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Volumes/GoogleDrive/Drive partagés/STOCK CO2/5 - STOCKEURS/02-FORESTIER/2-NOTIFIE/034-B-HERMOUET 3-PDL(85)-LE BOIS DE SAINT HUBERT-GROLLIER-St Julien des Landes /"/>
    </mc:Choice>
  </mc:AlternateContent>
  <xr:revisionPtr revIDLastSave="0" documentId="13_ncr:1_{F54AD461-82AD-2340-A57E-0F22BCA85BDE}" xr6:coauthVersionLast="45" xr6:coauthVersionMax="45" xr10:uidLastSave="{00000000-0000-0000-0000-000000000000}"/>
  <bookViews>
    <workbookView xWindow="-7840" yWindow="-27480" windowWidth="42860" windowHeight="21320" tabRatio="766" activeTab="1" xr2:uid="{00000000-000D-0000-FFFF-FFFF00000000}"/>
  </bookViews>
  <sheets>
    <sheet name="Tables de production employées" sheetId="23" r:id="rId1"/>
    <sheet name="Récapitulatif des résultats" sheetId="24" r:id="rId2"/>
    <sheet name="Chenes+Alisier - f. très forte" sheetId="13" r:id="rId3"/>
    <sheet name="Chenes+corm+merisier - f. forte" sheetId="18" r:id="rId4"/>
    <sheet name="Charme - fertil.forte" sheetId="19" r:id="rId5"/>
    <sheet name="Pin maritime - très forte" sheetId="20" r:id="rId6"/>
    <sheet name="P. sylv.+laricio+séquoia -forte" sheetId="26" r:id="rId7"/>
    <sheet name="Douglas - fertilité moyenne" sheetId="21" r:id="rId8"/>
    <sheet name="VAN" sheetId="27" r:id="rId9"/>
  </sheets>
  <definedNames>
    <definedName name="_xlnm.Print_Area" localSheetId="1">'Récapitulatif des résultats'!#REF!</definedName>
    <definedName name="_xlnm.Print_Area" localSheetId="0">'Tables de production employées'!$B$2:$R$45,'Tables de production employées'!$B$47:$R$90,'Tables de production employées'!$B$93:$R$136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8" l="1"/>
  <c r="J24" i="24"/>
  <c r="I24" i="24"/>
  <c r="R8" i="27" l="1"/>
  <c r="U8" i="27" s="1"/>
  <c r="R7" i="27"/>
  <c r="U7" i="27" s="1"/>
  <c r="X7" i="27" s="1"/>
  <c r="AA7" i="27" s="1"/>
  <c r="D51" i="26" l="1"/>
  <c r="D49" i="26"/>
  <c r="D47" i="26"/>
  <c r="D45" i="26"/>
  <c r="D43" i="26"/>
  <c r="D41" i="26"/>
  <c r="D39" i="26"/>
  <c r="D37" i="26"/>
  <c r="D35" i="26"/>
  <c r="D33" i="26"/>
  <c r="D31" i="26"/>
  <c r="D29" i="26"/>
  <c r="D27" i="26"/>
  <c r="C27" i="26"/>
  <c r="C29" i="26" s="1"/>
  <c r="B26" i="26"/>
  <c r="C26" i="26" s="1"/>
  <c r="D25" i="26"/>
  <c r="D25" i="20"/>
  <c r="B26" i="20"/>
  <c r="C26" i="20" s="1"/>
  <c r="C27" i="20"/>
  <c r="C29" i="20" s="1"/>
  <c r="D27" i="20"/>
  <c r="B28" i="20"/>
  <c r="D29" i="20"/>
  <c r="D31" i="20"/>
  <c r="D33" i="20"/>
  <c r="D35" i="20"/>
  <c r="D37" i="20"/>
  <c r="D39" i="20"/>
  <c r="D41" i="20"/>
  <c r="D43" i="20"/>
  <c r="D45" i="20"/>
  <c r="D47" i="20"/>
  <c r="D49" i="20"/>
  <c r="D51" i="20"/>
  <c r="D53" i="21"/>
  <c r="D51" i="21"/>
  <c r="D49" i="21"/>
  <c r="D47" i="21"/>
  <c r="D45" i="21"/>
  <c r="D43" i="21"/>
  <c r="D41" i="21"/>
  <c r="D39" i="21"/>
  <c r="D37" i="21"/>
  <c r="D35" i="21"/>
  <c r="D33" i="21"/>
  <c r="D31" i="21"/>
  <c r="D29" i="21"/>
  <c r="C29" i="21"/>
  <c r="B30" i="21" s="1"/>
  <c r="D27" i="21"/>
  <c r="C27" i="21"/>
  <c r="B28" i="21" s="1"/>
  <c r="B26" i="21"/>
  <c r="C26" i="21" s="1"/>
  <c r="D25" i="21"/>
  <c r="F21" i="19"/>
  <c r="C31" i="21" l="1"/>
  <c r="B32" i="21" s="1"/>
  <c r="B30" i="26"/>
  <c r="C31" i="26"/>
  <c r="C28" i="26"/>
  <c r="B27" i="26"/>
  <c r="B28" i="26"/>
  <c r="B30" i="20"/>
  <c r="C31" i="20"/>
  <c r="B27" i="20"/>
  <c r="C28" i="20"/>
  <c r="B27" i="21"/>
  <c r="C28" i="21"/>
  <c r="C33" i="21"/>
  <c r="B29" i="26" l="1"/>
  <c r="C30" i="26"/>
  <c r="B32" i="26"/>
  <c r="C33" i="26"/>
  <c r="B29" i="20"/>
  <c r="C30" i="20"/>
  <c r="B32" i="20"/>
  <c r="C33" i="20"/>
  <c r="B34" i="21"/>
  <c r="C35" i="21"/>
  <c r="C30" i="21"/>
  <c r="B29" i="21"/>
  <c r="B31" i="26" l="1"/>
  <c r="C32" i="26"/>
  <c r="C35" i="26"/>
  <c r="B34" i="26"/>
  <c r="C35" i="20"/>
  <c r="B34" i="20"/>
  <c r="C32" i="20"/>
  <c r="B31" i="20"/>
  <c r="B31" i="21"/>
  <c r="C32" i="21"/>
  <c r="C37" i="21"/>
  <c r="B36" i="21"/>
  <c r="B36" i="26" l="1"/>
  <c r="C37" i="26"/>
  <c r="B33" i="26"/>
  <c r="C34" i="26"/>
  <c r="B33" i="20"/>
  <c r="C34" i="20"/>
  <c r="B36" i="20"/>
  <c r="C37" i="20"/>
  <c r="B38" i="21"/>
  <c r="C39" i="21"/>
  <c r="C34" i="21"/>
  <c r="B33" i="21"/>
  <c r="B35" i="26" l="1"/>
  <c r="C36" i="26"/>
  <c r="C39" i="26"/>
  <c r="B38" i="26"/>
  <c r="C39" i="20"/>
  <c r="B38" i="20"/>
  <c r="B35" i="20"/>
  <c r="C36" i="20"/>
  <c r="C36" i="21"/>
  <c r="B35" i="21"/>
  <c r="B40" i="21"/>
  <c r="C41" i="21"/>
  <c r="C41" i="26" l="1"/>
  <c r="B40" i="26"/>
  <c r="C38" i="26"/>
  <c r="B37" i="26"/>
  <c r="C38" i="20"/>
  <c r="B37" i="20"/>
  <c r="C41" i="20"/>
  <c r="B40" i="20"/>
  <c r="B37" i="21"/>
  <c r="C38" i="21"/>
  <c r="C43" i="21"/>
  <c r="B42" i="21"/>
  <c r="B42" i="26" l="1"/>
  <c r="C43" i="26"/>
  <c r="C40" i="26"/>
  <c r="B39" i="26"/>
  <c r="B42" i="20"/>
  <c r="C43" i="20"/>
  <c r="B39" i="20"/>
  <c r="C40" i="20"/>
  <c r="C40" i="21"/>
  <c r="B39" i="21"/>
  <c r="C45" i="21"/>
  <c r="B44" i="21"/>
  <c r="C42" i="26" l="1"/>
  <c r="B41" i="26"/>
  <c r="C45" i="26"/>
  <c r="B44" i="26"/>
  <c r="C42" i="20"/>
  <c r="B41" i="20"/>
  <c r="B44" i="20"/>
  <c r="C45" i="20"/>
  <c r="C47" i="21"/>
  <c r="B46" i="21"/>
  <c r="B41" i="21"/>
  <c r="C42" i="21"/>
  <c r="B46" i="26" l="1"/>
  <c r="C47" i="26"/>
  <c r="B43" i="26"/>
  <c r="C44" i="26"/>
  <c r="B46" i="20"/>
  <c r="C47" i="20"/>
  <c r="B43" i="20"/>
  <c r="C44" i="20"/>
  <c r="C44" i="21"/>
  <c r="B43" i="21"/>
  <c r="C49" i="21"/>
  <c r="B48" i="21"/>
  <c r="C46" i="26" l="1"/>
  <c r="B45" i="26"/>
  <c r="B48" i="26"/>
  <c r="C49" i="26"/>
  <c r="B45" i="20"/>
  <c r="C46" i="20"/>
  <c r="B48" i="20"/>
  <c r="C49" i="20"/>
  <c r="B50" i="21"/>
  <c r="C51" i="21"/>
  <c r="C46" i="21"/>
  <c r="B45" i="21"/>
  <c r="B47" i="26" l="1"/>
  <c r="C48" i="26"/>
  <c r="C51" i="26"/>
  <c r="B52" i="26" s="1"/>
  <c r="B50" i="26"/>
  <c r="C51" i="20"/>
  <c r="B52" i="20" s="1"/>
  <c r="B50" i="20"/>
  <c r="C48" i="20"/>
  <c r="B47" i="20"/>
  <c r="B47" i="21"/>
  <c r="C48" i="21"/>
  <c r="C53" i="21"/>
  <c r="B54" i="21" s="1"/>
  <c r="B52" i="21"/>
  <c r="B49" i="26" l="1"/>
  <c r="C50" i="26"/>
  <c r="C50" i="20"/>
  <c r="B49" i="20"/>
  <c r="C50" i="21"/>
  <c r="B49" i="21"/>
  <c r="B51" i="26" l="1"/>
  <c r="C52" i="26"/>
  <c r="B51" i="20"/>
  <c r="C52" i="20"/>
  <c r="C52" i="21"/>
  <c r="B51" i="21"/>
  <c r="B53" i="21" l="1"/>
  <c r="C54" i="21"/>
  <c r="E48" i="19" l="1"/>
  <c r="F48" i="19" s="1"/>
  <c r="E49" i="19"/>
  <c r="E50" i="19"/>
  <c r="F50" i="19"/>
  <c r="E51" i="19"/>
  <c r="E52" i="19"/>
  <c r="F52" i="19" s="1"/>
  <c r="E53" i="19"/>
  <c r="E54" i="19"/>
  <c r="F54" i="19"/>
  <c r="E55" i="19"/>
  <c r="E56" i="19"/>
  <c r="F56" i="19" s="1"/>
  <c r="E57" i="19"/>
  <c r="F57" i="19" s="1"/>
  <c r="E58" i="19"/>
  <c r="F58" i="19" s="1"/>
  <c r="E59" i="19"/>
  <c r="E60" i="19"/>
  <c r="F60" i="19" s="1"/>
  <c r="E61" i="19"/>
  <c r="F61" i="19" s="1"/>
  <c r="E62" i="19"/>
  <c r="F62" i="19"/>
  <c r="E63" i="19"/>
  <c r="E64" i="19"/>
  <c r="F64" i="19" s="1"/>
  <c r="E65" i="19"/>
  <c r="F65" i="19" s="1"/>
  <c r="E66" i="19"/>
  <c r="F66" i="19" s="1"/>
  <c r="E67" i="19"/>
  <c r="E68" i="19"/>
  <c r="F68" i="19"/>
  <c r="E69" i="19"/>
  <c r="E70" i="19"/>
  <c r="F70" i="19"/>
  <c r="E71" i="19"/>
  <c r="E72" i="19"/>
  <c r="F72" i="19" s="1"/>
  <c r="E73" i="19"/>
  <c r="F73" i="19" s="1"/>
  <c r="E74" i="19"/>
  <c r="F74" i="19" s="1"/>
  <c r="E75" i="19"/>
  <c r="E76" i="19"/>
  <c r="F76" i="19"/>
  <c r="E77" i="19"/>
  <c r="F77" i="19" s="1"/>
  <c r="E78" i="19"/>
  <c r="F78" i="19"/>
  <c r="D77" i="19"/>
  <c r="D75" i="19"/>
  <c r="F75" i="19" s="1"/>
  <c r="D73" i="19"/>
  <c r="D71" i="19"/>
  <c r="F71" i="19" s="1"/>
  <c r="D69" i="19"/>
  <c r="F69" i="19" s="1"/>
  <c r="D67" i="19"/>
  <c r="F67" i="19" s="1"/>
  <c r="D65" i="19"/>
  <c r="D63" i="19"/>
  <c r="F63" i="19" s="1"/>
  <c r="D61" i="19"/>
  <c r="D59" i="19"/>
  <c r="F59" i="19" s="1"/>
  <c r="D57" i="19"/>
  <c r="D55" i="19"/>
  <c r="F55" i="19" s="1"/>
  <c r="D53" i="19"/>
  <c r="F53" i="19" s="1"/>
  <c r="D51" i="19"/>
  <c r="D49" i="19"/>
  <c r="D47" i="19"/>
  <c r="D45" i="19"/>
  <c r="D43" i="19"/>
  <c r="D41" i="19"/>
  <c r="D39" i="19"/>
  <c r="D37" i="19"/>
  <c r="D35" i="19"/>
  <c r="D33" i="19"/>
  <c r="D31" i="19"/>
  <c r="D29" i="19"/>
  <c r="D27" i="19"/>
  <c r="C27" i="19"/>
  <c r="C29" i="19" s="1"/>
  <c r="B26" i="19"/>
  <c r="C26" i="19" s="1"/>
  <c r="B27" i="19" s="1"/>
  <c r="D25" i="19"/>
  <c r="D77" i="18"/>
  <c r="D75" i="18"/>
  <c r="D73" i="18"/>
  <c r="D71" i="18"/>
  <c r="D69" i="18"/>
  <c r="D67" i="18"/>
  <c r="D65" i="18"/>
  <c r="D63" i="18"/>
  <c r="D61" i="18"/>
  <c r="D59" i="18"/>
  <c r="D57" i="18"/>
  <c r="D55" i="18"/>
  <c r="D53" i="18"/>
  <c r="D51" i="18"/>
  <c r="D49" i="18"/>
  <c r="D47" i="18"/>
  <c r="D45" i="18"/>
  <c r="D43" i="18"/>
  <c r="D41" i="18"/>
  <c r="D39" i="18"/>
  <c r="D37" i="18"/>
  <c r="D35" i="18"/>
  <c r="D33" i="18"/>
  <c r="D31" i="18"/>
  <c r="D29" i="18"/>
  <c r="D27" i="18"/>
  <c r="C27" i="18"/>
  <c r="C29" i="18" s="1"/>
  <c r="B26" i="18"/>
  <c r="C26" i="18" s="1"/>
  <c r="C28" i="18" s="1"/>
  <c r="D25" i="18"/>
  <c r="D77" i="13"/>
  <c r="D75" i="13"/>
  <c r="D73" i="13"/>
  <c r="D71" i="13"/>
  <c r="D69" i="13"/>
  <c r="D67" i="13"/>
  <c r="D65" i="13"/>
  <c r="D63" i="13"/>
  <c r="D61" i="13"/>
  <c r="D59" i="13"/>
  <c r="D57" i="13"/>
  <c r="D55" i="13"/>
  <c r="D53" i="13"/>
  <c r="D51" i="13"/>
  <c r="D49" i="13"/>
  <c r="D47" i="13"/>
  <c r="D45" i="13"/>
  <c r="D43" i="13"/>
  <c r="D41" i="13"/>
  <c r="D39" i="13"/>
  <c r="D37" i="13"/>
  <c r="D35" i="13"/>
  <c r="D33" i="13"/>
  <c r="D31" i="13"/>
  <c r="D29" i="13"/>
  <c r="D27" i="13"/>
  <c r="C27" i="13"/>
  <c r="C29" i="13" s="1"/>
  <c r="B26" i="13"/>
  <c r="C26" i="13" s="1"/>
  <c r="D25" i="13"/>
  <c r="C31" i="18" l="1"/>
  <c r="C33" i="18" s="1"/>
  <c r="B30" i="18"/>
  <c r="B28" i="18"/>
  <c r="F51" i="19"/>
  <c r="F49" i="19"/>
  <c r="B30" i="19"/>
  <c r="C31" i="19"/>
  <c r="B28" i="19"/>
  <c r="C28" i="19"/>
  <c r="C30" i="18"/>
  <c r="B29" i="18"/>
  <c r="B32" i="18"/>
  <c r="B27" i="18"/>
  <c r="C28" i="13"/>
  <c r="B27" i="13"/>
  <c r="B30" i="13"/>
  <c r="C31" i="13"/>
  <c r="B28" i="13"/>
  <c r="C33" i="19" l="1"/>
  <c r="B32" i="19"/>
  <c r="C30" i="19"/>
  <c r="B29" i="19"/>
  <c r="C32" i="18"/>
  <c r="B31" i="18"/>
  <c r="C35" i="18"/>
  <c r="B34" i="18"/>
  <c r="B29" i="13"/>
  <c r="C30" i="13"/>
  <c r="B32" i="13"/>
  <c r="C33" i="13"/>
  <c r="C32" i="19" l="1"/>
  <c r="B31" i="19"/>
  <c r="C35" i="19"/>
  <c r="B34" i="19"/>
  <c r="C37" i="18"/>
  <c r="B36" i="18"/>
  <c r="B33" i="18"/>
  <c r="C34" i="18"/>
  <c r="C32" i="13"/>
  <c r="B31" i="13"/>
  <c r="C35" i="13"/>
  <c r="B34" i="13"/>
  <c r="B36" i="19" l="1"/>
  <c r="C37" i="19"/>
  <c r="B33" i="19"/>
  <c r="C34" i="19"/>
  <c r="B38" i="18"/>
  <c r="C39" i="18"/>
  <c r="C36" i="18"/>
  <c r="B35" i="18"/>
  <c r="B33" i="13"/>
  <c r="C34" i="13"/>
  <c r="B36" i="13"/>
  <c r="C37" i="13"/>
  <c r="C36" i="19" l="1"/>
  <c r="B35" i="19"/>
  <c r="C39" i="19"/>
  <c r="B38" i="19"/>
  <c r="B37" i="18"/>
  <c r="C38" i="18"/>
  <c r="B40" i="18"/>
  <c r="C41" i="18"/>
  <c r="C39" i="13"/>
  <c r="B38" i="13"/>
  <c r="B35" i="13"/>
  <c r="C36" i="13"/>
  <c r="B40" i="19" l="1"/>
  <c r="C41" i="19"/>
  <c r="B37" i="19"/>
  <c r="C38" i="19"/>
  <c r="B39" i="18"/>
  <c r="C40" i="18"/>
  <c r="C43" i="18"/>
  <c r="B42" i="18"/>
  <c r="C41" i="13"/>
  <c r="B40" i="13"/>
  <c r="C38" i="13"/>
  <c r="B37" i="13"/>
  <c r="C43" i="19" l="1"/>
  <c r="B42" i="19"/>
  <c r="B39" i="19"/>
  <c r="C40" i="19"/>
  <c r="C42" i="18"/>
  <c r="B41" i="18"/>
  <c r="C45" i="18"/>
  <c r="B44" i="18"/>
  <c r="B42" i="13"/>
  <c r="C43" i="13"/>
  <c r="B39" i="13"/>
  <c r="C40" i="13"/>
  <c r="C45" i="19" l="1"/>
  <c r="B44" i="19"/>
  <c r="C42" i="19"/>
  <c r="B41" i="19"/>
  <c r="C47" i="18"/>
  <c r="B46" i="18"/>
  <c r="C44" i="18"/>
  <c r="B43" i="18"/>
  <c r="C42" i="13"/>
  <c r="B41" i="13"/>
  <c r="C45" i="13"/>
  <c r="B44" i="13"/>
  <c r="B43" i="19" l="1"/>
  <c r="C44" i="19"/>
  <c r="B46" i="19"/>
  <c r="C47" i="19"/>
  <c r="B48" i="18"/>
  <c r="C49" i="18"/>
  <c r="C46" i="18"/>
  <c r="B45" i="18"/>
  <c r="B46" i="13"/>
  <c r="C47" i="13"/>
  <c r="B43" i="13"/>
  <c r="C44" i="13"/>
  <c r="C46" i="19" l="1"/>
  <c r="B45" i="19"/>
  <c r="C49" i="19"/>
  <c r="B48" i="19"/>
  <c r="C51" i="18"/>
  <c r="B50" i="18"/>
  <c r="C48" i="18"/>
  <c r="B47" i="18"/>
  <c r="B45" i="13"/>
  <c r="C46" i="13"/>
  <c r="B48" i="13"/>
  <c r="C49" i="13"/>
  <c r="C48" i="19" l="1"/>
  <c r="B47" i="19"/>
  <c r="C51" i="19"/>
  <c r="B50" i="19"/>
  <c r="B49" i="18"/>
  <c r="C50" i="18"/>
  <c r="B52" i="18"/>
  <c r="C53" i="18"/>
  <c r="C48" i="13"/>
  <c r="B47" i="13"/>
  <c r="C51" i="13"/>
  <c r="B50" i="13"/>
  <c r="B52" i="19" l="1"/>
  <c r="C53" i="19"/>
  <c r="B49" i="19"/>
  <c r="G49" i="19" s="1"/>
  <c r="C50" i="19"/>
  <c r="G50" i="19" s="1"/>
  <c r="C55" i="18"/>
  <c r="B54" i="18"/>
  <c r="C52" i="18"/>
  <c r="B51" i="18"/>
  <c r="B49" i="13"/>
  <c r="C50" i="13"/>
  <c r="B52" i="13"/>
  <c r="C53" i="13"/>
  <c r="C52" i="19" l="1"/>
  <c r="G52" i="19" s="1"/>
  <c r="B51" i="19"/>
  <c r="G51" i="19" s="1"/>
  <c r="C55" i="19"/>
  <c r="B54" i="19"/>
  <c r="B53" i="18"/>
  <c r="C54" i="18"/>
  <c r="B56" i="18"/>
  <c r="C57" i="18"/>
  <c r="B51" i="13"/>
  <c r="C52" i="13"/>
  <c r="C55" i="13"/>
  <c r="B54" i="13"/>
  <c r="B56" i="19" l="1"/>
  <c r="C57" i="19"/>
  <c r="B53" i="19"/>
  <c r="G53" i="19" s="1"/>
  <c r="C54" i="19"/>
  <c r="G54" i="19" s="1"/>
  <c r="B55" i="18"/>
  <c r="C56" i="18"/>
  <c r="C59" i="18"/>
  <c r="B58" i="18"/>
  <c r="C54" i="13"/>
  <c r="B53" i="13"/>
  <c r="C57" i="13"/>
  <c r="B56" i="13"/>
  <c r="C59" i="19" l="1"/>
  <c r="B58" i="19"/>
  <c r="B55" i="19"/>
  <c r="G55" i="19" s="1"/>
  <c r="C56" i="19"/>
  <c r="G56" i="19" s="1"/>
  <c r="C58" i="18"/>
  <c r="B57" i="18"/>
  <c r="C61" i="18"/>
  <c r="B60" i="18"/>
  <c r="B55" i="13"/>
  <c r="C56" i="13"/>
  <c r="B58" i="13"/>
  <c r="C59" i="13"/>
  <c r="C61" i="19" l="1"/>
  <c r="B60" i="19"/>
  <c r="C58" i="19"/>
  <c r="G58" i="19" s="1"/>
  <c r="B57" i="19"/>
  <c r="G57" i="19" s="1"/>
  <c r="B59" i="18"/>
  <c r="C60" i="18"/>
  <c r="B62" i="18"/>
  <c r="C63" i="18"/>
  <c r="C61" i="13"/>
  <c r="B60" i="13"/>
  <c r="C58" i="13"/>
  <c r="B57" i="13"/>
  <c r="B59" i="19" l="1"/>
  <c r="G59" i="19" s="1"/>
  <c r="C60" i="19"/>
  <c r="G60" i="19" s="1"/>
  <c r="B62" i="19"/>
  <c r="C63" i="19"/>
  <c r="C62" i="18"/>
  <c r="B61" i="18"/>
  <c r="C65" i="18"/>
  <c r="B64" i="18"/>
  <c r="B62" i="13"/>
  <c r="C63" i="13"/>
  <c r="C60" i="13"/>
  <c r="B59" i="13"/>
  <c r="C62" i="19" l="1"/>
  <c r="G62" i="19" s="1"/>
  <c r="B61" i="19"/>
  <c r="G61" i="19" s="1"/>
  <c r="C65" i="19"/>
  <c r="B64" i="19"/>
  <c r="C64" i="18"/>
  <c r="B63" i="18"/>
  <c r="B66" i="18"/>
  <c r="C67" i="18"/>
  <c r="B61" i="13"/>
  <c r="C62" i="13"/>
  <c r="B64" i="13"/>
  <c r="C65" i="13"/>
  <c r="C67" i="19" l="1"/>
  <c r="B66" i="19"/>
  <c r="C64" i="19"/>
  <c r="G64" i="19" s="1"/>
  <c r="B63" i="19"/>
  <c r="G63" i="19" s="1"/>
  <c r="B65" i="18"/>
  <c r="C66" i="18"/>
  <c r="C69" i="18"/>
  <c r="B68" i="18"/>
  <c r="C67" i="13"/>
  <c r="B66" i="13"/>
  <c r="C64" i="13"/>
  <c r="B63" i="13"/>
  <c r="B65" i="19" l="1"/>
  <c r="G65" i="19" s="1"/>
  <c r="C66" i="19"/>
  <c r="G66" i="19" s="1"/>
  <c r="B68" i="19"/>
  <c r="C69" i="19"/>
  <c r="C71" i="18"/>
  <c r="B70" i="18"/>
  <c r="C68" i="18"/>
  <c r="B67" i="18"/>
  <c r="B68" i="13"/>
  <c r="C69" i="13"/>
  <c r="B65" i="13"/>
  <c r="C66" i="13"/>
  <c r="C71" i="19" l="1"/>
  <c r="B70" i="19"/>
  <c r="C68" i="19"/>
  <c r="G68" i="19" s="1"/>
  <c r="B67" i="19"/>
  <c r="G67" i="19" s="1"/>
  <c r="B69" i="18"/>
  <c r="C70" i="18"/>
  <c r="B72" i="18"/>
  <c r="C73" i="18"/>
  <c r="C68" i="13"/>
  <c r="B67" i="13"/>
  <c r="C71" i="13"/>
  <c r="B70" i="13"/>
  <c r="B69" i="19" l="1"/>
  <c r="G69" i="19" s="1"/>
  <c r="C70" i="19"/>
  <c r="G70" i="19" s="1"/>
  <c r="B72" i="19"/>
  <c r="C73" i="19"/>
  <c r="B71" i="18"/>
  <c r="C72" i="18"/>
  <c r="C75" i="18"/>
  <c r="B74" i="18"/>
  <c r="C70" i="13"/>
  <c r="B69" i="13"/>
  <c r="C73" i="13"/>
  <c r="B72" i="13"/>
  <c r="B71" i="19" l="1"/>
  <c r="G71" i="19" s="1"/>
  <c r="C72" i="19"/>
  <c r="G72" i="19" s="1"/>
  <c r="C75" i="19"/>
  <c r="B74" i="19"/>
  <c r="C74" i="18"/>
  <c r="B73" i="18"/>
  <c r="C77" i="18"/>
  <c r="B78" i="18" s="1"/>
  <c r="B76" i="18"/>
  <c r="B74" i="13"/>
  <c r="C75" i="13"/>
  <c r="B71" i="13"/>
  <c r="C72" i="13"/>
  <c r="C77" i="19" l="1"/>
  <c r="B76" i="19"/>
  <c r="C74" i="19"/>
  <c r="G74" i="19" s="1"/>
  <c r="B73" i="19"/>
  <c r="G73" i="19" s="1"/>
  <c r="B75" i="18"/>
  <c r="C76" i="18"/>
  <c r="C77" i="13"/>
  <c r="B78" i="13" s="1"/>
  <c r="B76" i="13"/>
  <c r="C74" i="13"/>
  <c r="B73" i="13"/>
  <c r="B78" i="19" l="1"/>
  <c r="B75" i="19"/>
  <c r="G75" i="19" s="1"/>
  <c r="C76" i="19"/>
  <c r="G76" i="19" s="1"/>
  <c r="C78" i="18"/>
  <c r="B77" i="18"/>
  <c r="C76" i="13"/>
  <c r="B75" i="13"/>
  <c r="C78" i="19" l="1"/>
  <c r="G78" i="19" s="1"/>
  <c r="B77" i="19"/>
  <c r="G77" i="19" s="1"/>
  <c r="B77" i="13"/>
  <c r="C78" i="13"/>
  <c r="F21" i="13" l="1"/>
  <c r="J20" i="24"/>
  <c r="J19" i="24"/>
  <c r="G108" i="20"/>
  <c r="E27" i="20"/>
  <c r="F27" i="20" s="1"/>
  <c r="E28" i="20"/>
  <c r="F28" i="20" s="1"/>
  <c r="E29" i="20"/>
  <c r="F29" i="20"/>
  <c r="E30" i="20"/>
  <c r="F30" i="20" s="1"/>
  <c r="E31" i="20"/>
  <c r="F31" i="20" s="1"/>
  <c r="E32" i="20"/>
  <c r="F32" i="20"/>
  <c r="E33" i="20"/>
  <c r="F33" i="20" s="1"/>
  <c r="E34" i="20"/>
  <c r="F34" i="20" s="1"/>
  <c r="E35" i="20"/>
  <c r="F35" i="20" s="1"/>
  <c r="E36" i="20"/>
  <c r="F36" i="20" s="1"/>
  <c r="E37" i="20"/>
  <c r="F37" i="20" s="1"/>
  <c r="E38" i="20"/>
  <c r="F38" i="20" s="1"/>
  <c r="E39" i="20"/>
  <c r="F39" i="20" s="1"/>
  <c r="E40" i="20"/>
  <c r="F40" i="20" s="1"/>
  <c r="E41" i="20"/>
  <c r="F41" i="20"/>
  <c r="E42" i="20"/>
  <c r="F42" i="20" s="1"/>
  <c r="E43" i="20"/>
  <c r="F43" i="20" s="1"/>
  <c r="E44" i="20"/>
  <c r="F44" i="20" s="1"/>
  <c r="E45" i="20"/>
  <c r="F45" i="20" s="1"/>
  <c r="E46" i="20"/>
  <c r="F46" i="20" s="1"/>
  <c r="E47" i="20"/>
  <c r="F47" i="20"/>
  <c r="E48" i="20"/>
  <c r="F48" i="20" s="1"/>
  <c r="E49" i="20"/>
  <c r="F49" i="20" s="1"/>
  <c r="E50" i="20"/>
  <c r="F50" i="20" s="1"/>
  <c r="E51" i="20"/>
  <c r="F51" i="20"/>
  <c r="G51" i="20" s="1"/>
  <c r="E52" i="20"/>
  <c r="F52" i="20" s="1"/>
  <c r="G35" i="20" l="1"/>
  <c r="G47" i="20"/>
  <c r="G33" i="20"/>
  <c r="G43" i="20"/>
  <c r="G30" i="20"/>
  <c r="G37" i="20"/>
  <c r="G31" i="20"/>
  <c r="G42" i="20"/>
  <c r="G29" i="20"/>
  <c r="G49" i="20"/>
  <c r="G48" i="20"/>
  <c r="G39" i="20"/>
  <c r="G40" i="20"/>
  <c r="G50" i="20"/>
  <c r="G38" i="20"/>
  <c r="G46" i="20"/>
  <c r="G45" i="20"/>
  <c r="G41" i="20"/>
  <c r="G32" i="20"/>
  <c r="G34" i="20"/>
  <c r="G52" i="20"/>
  <c r="G44" i="20"/>
  <c r="G36" i="20"/>
  <c r="G28" i="20"/>
  <c r="G94" i="18" l="1"/>
  <c r="G93" i="18"/>
  <c r="G92" i="18"/>
  <c r="G91" i="18"/>
  <c r="G90" i="18"/>
  <c r="G89" i="18"/>
  <c r="G88" i="18"/>
  <c r="G87" i="18"/>
  <c r="G86" i="18"/>
  <c r="G85" i="18"/>
  <c r="G84" i="18"/>
  <c r="G83" i="18"/>
  <c r="G82" i="18"/>
  <c r="G108" i="18" l="1"/>
  <c r="F19" i="19" l="1"/>
  <c r="B94" i="21" l="1"/>
  <c r="B93" i="21"/>
  <c r="B92" i="21"/>
  <c r="B91" i="21"/>
  <c r="B90" i="21"/>
  <c r="B89" i="21"/>
  <c r="B88" i="21"/>
  <c r="B87" i="21"/>
  <c r="B86" i="21"/>
  <c r="B85" i="21"/>
  <c r="B84" i="21"/>
  <c r="B83" i="21"/>
  <c r="B82" i="21"/>
  <c r="F19" i="20" l="1"/>
  <c r="B82" i="13" l="1"/>
  <c r="B94" i="18"/>
  <c r="B82" i="18"/>
  <c r="B94" i="19"/>
  <c r="B82" i="19"/>
  <c r="B94" i="20"/>
  <c r="B82" i="20"/>
  <c r="B94" i="26"/>
  <c r="B88" i="26"/>
  <c r="B87" i="26"/>
  <c r="B86" i="26"/>
  <c r="B85" i="26"/>
  <c r="B84" i="26"/>
  <c r="B83" i="26"/>
  <c r="B82" i="26"/>
  <c r="F20" i="13"/>
  <c r="F131" i="13"/>
  <c r="F132" i="13"/>
  <c r="F133" i="13"/>
  <c r="F134" i="13"/>
  <c r="F135" i="13"/>
  <c r="F136" i="13"/>
  <c r="F137" i="13"/>
  <c r="F138" i="13"/>
  <c r="F139" i="13"/>
  <c r="F140" i="13"/>
  <c r="F141" i="13"/>
  <c r="F142" i="13"/>
  <c r="F143" i="13"/>
  <c r="F144" i="13"/>
  <c r="F145" i="13"/>
  <c r="F146" i="13"/>
  <c r="F147" i="13"/>
  <c r="F148" i="13"/>
  <c r="F20" i="18" s="1"/>
  <c r="F149" i="13"/>
  <c r="F150" i="13"/>
  <c r="F151" i="13"/>
  <c r="F152" i="13"/>
  <c r="F153" i="13"/>
  <c r="F154" i="13"/>
  <c r="F155" i="13"/>
  <c r="F156" i="13"/>
  <c r="F157" i="13"/>
  <c r="F158" i="13"/>
  <c r="F159" i="13"/>
  <c r="F160" i="13"/>
  <c r="F161" i="13"/>
  <c r="F162" i="13"/>
  <c r="F163" i="13"/>
  <c r="F164" i="13"/>
  <c r="F165" i="13"/>
  <c r="F166" i="13"/>
  <c r="F167" i="13"/>
  <c r="F168" i="13"/>
  <c r="F169" i="13"/>
  <c r="F170" i="13"/>
  <c r="F171" i="13"/>
  <c r="F172" i="13"/>
  <c r="F173" i="13"/>
  <c r="F174" i="13"/>
  <c r="F175" i="13"/>
  <c r="F176" i="13"/>
  <c r="F177" i="13"/>
  <c r="F178" i="13"/>
  <c r="F179" i="13"/>
  <c r="F180" i="13"/>
  <c r="F181" i="13"/>
  <c r="F182" i="13"/>
  <c r="F183" i="13"/>
  <c r="F184" i="13"/>
  <c r="F185" i="13"/>
  <c r="F186" i="13"/>
  <c r="F187" i="13"/>
  <c r="F188" i="13"/>
  <c r="F189" i="13"/>
  <c r="F190" i="13"/>
  <c r="F191" i="13"/>
  <c r="F192" i="13"/>
  <c r="F193" i="13"/>
  <c r="F194" i="13"/>
  <c r="F195" i="13"/>
  <c r="F196" i="13"/>
  <c r="E55" i="13" l="1"/>
  <c r="F55" i="13" s="1"/>
  <c r="E60" i="13"/>
  <c r="F60" i="13" s="1"/>
  <c r="E65" i="13"/>
  <c r="F65" i="13" s="1"/>
  <c r="E69" i="13"/>
  <c r="F69" i="13" s="1"/>
  <c r="G69" i="13" s="1"/>
  <c r="E74" i="13"/>
  <c r="F74" i="13" s="1"/>
  <c r="E48" i="13"/>
  <c r="F48" i="13" s="1"/>
  <c r="E53" i="13"/>
  <c r="F53" i="13" s="1"/>
  <c r="G53" i="13" s="1"/>
  <c r="E71" i="13"/>
  <c r="F71" i="13" s="1"/>
  <c r="G71" i="13" s="1"/>
  <c r="E51" i="13"/>
  <c r="F51" i="13" s="1"/>
  <c r="E56" i="13"/>
  <c r="F56" i="13" s="1"/>
  <c r="G56" i="13" s="1"/>
  <c r="E78" i="13"/>
  <c r="F78" i="13" s="1"/>
  <c r="E58" i="13"/>
  <c r="F58" i="13" s="1"/>
  <c r="E64" i="13"/>
  <c r="F64" i="13" s="1"/>
  <c r="E52" i="13"/>
  <c r="F52" i="13" s="1"/>
  <c r="G52" i="13" s="1"/>
  <c r="E57" i="13"/>
  <c r="F57" i="13" s="1"/>
  <c r="G57" i="13" s="1"/>
  <c r="E61" i="13"/>
  <c r="F61" i="13" s="1"/>
  <c r="G61" i="13" s="1"/>
  <c r="E66" i="13"/>
  <c r="F66" i="13" s="1"/>
  <c r="G66" i="13" s="1"/>
  <c r="E70" i="13"/>
  <c r="F70" i="13" s="1"/>
  <c r="E49" i="13"/>
  <c r="F49" i="13" s="1"/>
  <c r="E59" i="13"/>
  <c r="F59" i="13" s="1"/>
  <c r="E75" i="13"/>
  <c r="F75" i="13" s="1"/>
  <c r="G75" i="13" s="1"/>
  <c r="E62" i="13"/>
  <c r="F62" i="13" s="1"/>
  <c r="E77" i="13"/>
  <c r="F77" i="13" s="1"/>
  <c r="G77" i="13" s="1"/>
  <c r="E67" i="13"/>
  <c r="F67" i="13" s="1"/>
  <c r="G67" i="13" s="1"/>
  <c r="E72" i="13"/>
  <c r="F72" i="13" s="1"/>
  <c r="E76" i="13"/>
  <c r="F76" i="13" s="1"/>
  <c r="E50" i="13"/>
  <c r="F50" i="13" s="1"/>
  <c r="G50" i="13" s="1"/>
  <c r="E54" i="13"/>
  <c r="F54" i="13" s="1"/>
  <c r="E63" i="13"/>
  <c r="F63" i="13" s="1"/>
  <c r="G63" i="13" s="1"/>
  <c r="E68" i="13"/>
  <c r="F68" i="13" s="1"/>
  <c r="E73" i="13"/>
  <c r="F73" i="13" s="1"/>
  <c r="G73" i="13" s="1"/>
  <c r="E52" i="18"/>
  <c r="F52" i="18" s="1"/>
  <c r="E57" i="18"/>
  <c r="F57" i="18" s="1"/>
  <c r="E69" i="18"/>
  <c r="F69" i="18" s="1"/>
  <c r="E67" i="18"/>
  <c r="F67" i="18" s="1"/>
  <c r="E77" i="18"/>
  <c r="F77" i="18" s="1"/>
  <c r="E49" i="18"/>
  <c r="F49" i="18" s="1"/>
  <c r="E61" i="18"/>
  <c r="F61" i="18" s="1"/>
  <c r="E74" i="18"/>
  <c r="F74" i="18" s="1"/>
  <c r="E78" i="18"/>
  <c r="F78" i="18" s="1"/>
  <c r="G78" i="18" s="1"/>
  <c r="E58" i="18"/>
  <c r="F58" i="18" s="1"/>
  <c r="E54" i="18"/>
  <c r="F54" i="18" s="1"/>
  <c r="E72" i="18"/>
  <c r="F72" i="18" s="1"/>
  <c r="E60" i="18"/>
  <c r="F60" i="18" s="1"/>
  <c r="G60" i="18" s="1"/>
  <c r="E53" i="18"/>
  <c r="F53" i="18" s="1"/>
  <c r="E66" i="18"/>
  <c r="F66" i="18" s="1"/>
  <c r="E70" i="18"/>
  <c r="F70" i="18" s="1"/>
  <c r="G70" i="18" s="1"/>
  <c r="E71" i="18"/>
  <c r="F71" i="18" s="1"/>
  <c r="G71" i="18" s="1"/>
  <c r="E50" i="18"/>
  <c r="F50" i="18" s="1"/>
  <c r="E63" i="18"/>
  <c r="F63" i="18" s="1"/>
  <c r="G63" i="18" s="1"/>
  <c r="E62" i="18"/>
  <c r="F62" i="18" s="1"/>
  <c r="E75" i="18"/>
  <c r="F75" i="18" s="1"/>
  <c r="E55" i="18"/>
  <c r="F55" i="18" s="1"/>
  <c r="G55" i="18" s="1"/>
  <c r="E59" i="18"/>
  <c r="F59" i="18" s="1"/>
  <c r="G59" i="18" s="1"/>
  <c r="E64" i="18"/>
  <c r="F64" i="18" s="1"/>
  <c r="G64" i="18" s="1"/>
  <c r="E76" i="18"/>
  <c r="F76" i="18" s="1"/>
  <c r="E48" i="18"/>
  <c r="F48" i="18" s="1"/>
  <c r="E51" i="18"/>
  <c r="F51" i="18" s="1"/>
  <c r="G51" i="18" s="1"/>
  <c r="E56" i="18"/>
  <c r="F56" i="18" s="1"/>
  <c r="E68" i="18"/>
  <c r="F68" i="18" s="1"/>
  <c r="G68" i="18" s="1"/>
  <c r="E73" i="18"/>
  <c r="F73" i="18" s="1"/>
  <c r="E65" i="18"/>
  <c r="F65" i="18" s="1"/>
  <c r="B89" i="26"/>
  <c r="B83" i="18"/>
  <c r="B84" i="13"/>
  <c r="B83" i="13"/>
  <c r="B85" i="13"/>
  <c r="F94" i="26"/>
  <c r="E94" i="26"/>
  <c r="F93" i="26"/>
  <c r="E93" i="26"/>
  <c r="F92" i="26"/>
  <c r="E92" i="26"/>
  <c r="F91" i="26"/>
  <c r="E91" i="26"/>
  <c r="C91" i="26"/>
  <c r="F90" i="26"/>
  <c r="E90" i="26"/>
  <c r="F89" i="26"/>
  <c r="E89" i="26"/>
  <c r="C89" i="26"/>
  <c r="F88" i="26"/>
  <c r="E88" i="26"/>
  <c r="F87" i="26"/>
  <c r="E87" i="26"/>
  <c r="F86" i="26"/>
  <c r="E86" i="26"/>
  <c r="F85" i="26"/>
  <c r="E85" i="26"/>
  <c r="F84" i="26"/>
  <c r="E84" i="26"/>
  <c r="F83" i="26"/>
  <c r="E83" i="26"/>
  <c r="C83" i="26"/>
  <c r="F82" i="26"/>
  <c r="E82" i="26"/>
  <c r="E52" i="26"/>
  <c r="F52" i="26" s="1"/>
  <c r="E51" i="26"/>
  <c r="F51" i="26" s="1"/>
  <c r="E50" i="26"/>
  <c r="F50" i="26" s="1"/>
  <c r="E49" i="26"/>
  <c r="F49" i="26" s="1"/>
  <c r="E48" i="26"/>
  <c r="F48" i="26" s="1"/>
  <c r="E47" i="26"/>
  <c r="F47" i="26" s="1"/>
  <c r="E46" i="26"/>
  <c r="F46" i="26" s="1"/>
  <c r="E45" i="26"/>
  <c r="C92" i="26"/>
  <c r="E44" i="26"/>
  <c r="F44" i="26" s="1"/>
  <c r="E43" i="26"/>
  <c r="F43" i="26"/>
  <c r="E42" i="26"/>
  <c r="F42" i="26" s="1"/>
  <c r="E41" i="26"/>
  <c r="F41" i="26" s="1"/>
  <c r="C90" i="26"/>
  <c r="E40" i="26"/>
  <c r="F40" i="26" s="1"/>
  <c r="E39" i="26"/>
  <c r="F39" i="26" s="1"/>
  <c r="E38" i="26"/>
  <c r="F38" i="26" s="1"/>
  <c r="E37" i="26"/>
  <c r="F37" i="26" s="1"/>
  <c r="C88" i="26"/>
  <c r="E36" i="26"/>
  <c r="F36" i="26" s="1"/>
  <c r="E35" i="26"/>
  <c r="C87" i="26"/>
  <c r="E34" i="26"/>
  <c r="F34" i="26" s="1"/>
  <c r="E33" i="26"/>
  <c r="F33" i="26" s="1"/>
  <c r="C86" i="26"/>
  <c r="E32" i="26"/>
  <c r="F32" i="26" s="1"/>
  <c r="E31" i="26"/>
  <c r="F31" i="26" s="1"/>
  <c r="E30" i="26"/>
  <c r="F30" i="26" s="1"/>
  <c r="E29" i="26"/>
  <c r="C84" i="26"/>
  <c r="E28" i="26"/>
  <c r="F28" i="26" s="1"/>
  <c r="E27" i="26"/>
  <c r="F27" i="26" s="1"/>
  <c r="E26" i="26"/>
  <c r="F26" i="26" s="1"/>
  <c r="E25" i="26"/>
  <c r="F25" i="26" s="1"/>
  <c r="G25" i="26" s="1"/>
  <c r="C82" i="26"/>
  <c r="F19" i="26"/>
  <c r="F15" i="26"/>
  <c r="F13" i="26"/>
  <c r="F11" i="26"/>
  <c r="F10" i="26"/>
  <c r="F9" i="26"/>
  <c r="D9" i="26"/>
  <c r="F8" i="26"/>
  <c r="F6" i="26"/>
  <c r="F5" i="26"/>
  <c r="G94" i="19"/>
  <c r="G93" i="19"/>
  <c r="G92" i="19"/>
  <c r="G91" i="19"/>
  <c r="G90" i="19"/>
  <c r="G89" i="19"/>
  <c r="G88" i="19"/>
  <c r="G87" i="19"/>
  <c r="G86" i="19"/>
  <c r="G85" i="19"/>
  <c r="G84" i="19"/>
  <c r="G83" i="19"/>
  <c r="G82" i="19"/>
  <c r="G82" i="13"/>
  <c r="G84" i="13"/>
  <c r="G85" i="13"/>
  <c r="G86" i="13"/>
  <c r="G87" i="13"/>
  <c r="G88" i="13"/>
  <c r="G89" i="13"/>
  <c r="G90" i="13"/>
  <c r="G91" i="13"/>
  <c r="G92" i="13"/>
  <c r="G93" i="13"/>
  <c r="G94" i="13"/>
  <c r="G95" i="13"/>
  <c r="G83" i="13"/>
  <c r="G53" i="18" l="1"/>
  <c r="G52" i="18"/>
  <c r="G66" i="18"/>
  <c r="G65" i="18"/>
  <c r="G61" i="18"/>
  <c r="G68" i="13"/>
  <c r="G62" i="13"/>
  <c r="G74" i="18"/>
  <c r="G73" i="18"/>
  <c r="G50" i="18"/>
  <c r="G49" i="18"/>
  <c r="G64" i="13"/>
  <c r="G74" i="13"/>
  <c r="G58" i="13"/>
  <c r="G56" i="18"/>
  <c r="G62" i="18"/>
  <c r="G72" i="18"/>
  <c r="G67" i="18"/>
  <c r="G49" i="13"/>
  <c r="G78" i="13"/>
  <c r="G65" i="13"/>
  <c r="G54" i="18"/>
  <c r="G69" i="18"/>
  <c r="G76" i="13"/>
  <c r="G70" i="13"/>
  <c r="G60" i="13"/>
  <c r="G77" i="18"/>
  <c r="G76" i="18"/>
  <c r="G75" i="18"/>
  <c r="G54" i="13"/>
  <c r="G59" i="13"/>
  <c r="G58" i="18"/>
  <c r="G57" i="18"/>
  <c r="G72" i="13"/>
  <c r="G51" i="13"/>
  <c r="G55" i="13"/>
  <c r="B90" i="26"/>
  <c r="B84" i="18"/>
  <c r="B86" i="13"/>
  <c r="G27" i="26"/>
  <c r="G28" i="26"/>
  <c r="G26" i="26"/>
  <c r="F29" i="26"/>
  <c r="F45" i="26"/>
  <c r="F35" i="26"/>
  <c r="C85" i="26"/>
  <c r="C93" i="26"/>
  <c r="E53" i="21"/>
  <c r="F53" i="21" s="1"/>
  <c r="E54" i="21"/>
  <c r="F54" i="21" s="1"/>
  <c r="E41" i="21"/>
  <c r="E42" i="21"/>
  <c r="F42" i="21" s="1"/>
  <c r="E43" i="21"/>
  <c r="E44" i="21"/>
  <c r="F44" i="21" s="1"/>
  <c r="E45" i="21"/>
  <c r="F45" i="21" s="1"/>
  <c r="E46" i="21"/>
  <c r="F46" i="21" s="1"/>
  <c r="E47" i="21"/>
  <c r="E48" i="21"/>
  <c r="F48" i="21" s="1"/>
  <c r="E49" i="21"/>
  <c r="E50" i="21"/>
  <c r="F50" i="21" s="1"/>
  <c r="E51" i="21"/>
  <c r="E52" i="21"/>
  <c r="F52" i="21" s="1"/>
  <c r="C93" i="19"/>
  <c r="C89" i="19"/>
  <c r="C85" i="19"/>
  <c r="F93" i="19"/>
  <c r="E93" i="19"/>
  <c r="F92" i="19"/>
  <c r="E92" i="19"/>
  <c r="E91" i="18"/>
  <c r="F91" i="18"/>
  <c r="E92" i="18"/>
  <c r="F92" i="18"/>
  <c r="E93" i="18"/>
  <c r="F93" i="18"/>
  <c r="C93" i="18"/>
  <c r="C92" i="18"/>
  <c r="C91" i="18"/>
  <c r="C90" i="18"/>
  <c r="C89" i="18"/>
  <c r="C88" i="18"/>
  <c r="C87" i="18"/>
  <c r="C86" i="18"/>
  <c r="C85" i="18"/>
  <c r="C84" i="18"/>
  <c r="C83" i="18"/>
  <c r="C82" i="18"/>
  <c r="C92" i="19"/>
  <c r="C91" i="19"/>
  <c r="C90" i="19"/>
  <c r="C88" i="19"/>
  <c r="C87" i="19"/>
  <c r="C86" i="19"/>
  <c r="C84" i="19"/>
  <c r="C83" i="19"/>
  <c r="C82" i="19"/>
  <c r="E47" i="18"/>
  <c r="F47" i="18" s="1"/>
  <c r="G48" i="18" s="1"/>
  <c r="B91" i="26" l="1"/>
  <c r="F51" i="21"/>
  <c r="F49" i="21"/>
  <c r="F47" i="21"/>
  <c r="F43" i="21"/>
  <c r="F41" i="21"/>
  <c r="B84" i="20"/>
  <c r="B83" i="20"/>
  <c r="B84" i="19"/>
  <c r="B83" i="19"/>
  <c r="B85" i="18"/>
  <c r="B87" i="13"/>
  <c r="G29" i="26"/>
  <c r="B85" i="19"/>
  <c r="B85" i="20" l="1"/>
  <c r="B92" i="26"/>
  <c r="B86" i="18"/>
  <c r="B88" i="13"/>
  <c r="G31" i="26"/>
  <c r="G30" i="26"/>
  <c r="B86" i="20"/>
  <c r="B86" i="19"/>
  <c r="B94" i="13" l="1"/>
  <c r="B93" i="26"/>
  <c r="B87" i="18"/>
  <c r="B89" i="13"/>
  <c r="G33" i="26"/>
  <c r="G32" i="26"/>
  <c r="B87" i="20"/>
  <c r="B87" i="19"/>
  <c r="F24" i="24"/>
  <c r="X8" i="27"/>
  <c r="AA8" i="27" s="1"/>
  <c r="AD8" i="27" s="1"/>
  <c r="AD7" i="27"/>
  <c r="AI205" i="21"/>
  <c r="AH205" i="21"/>
  <c r="AG205" i="21"/>
  <c r="AF205" i="21"/>
  <c r="AE205" i="21"/>
  <c r="AD205" i="21"/>
  <c r="AC205" i="21"/>
  <c r="AB205" i="21"/>
  <c r="Y205" i="21"/>
  <c r="V205" i="21"/>
  <c r="U205" i="21"/>
  <c r="R205" i="21"/>
  <c r="Q205" i="21"/>
  <c r="N205" i="21"/>
  <c r="AI204" i="21"/>
  <c r="AH204" i="21"/>
  <c r="AG204" i="21"/>
  <c r="AF204" i="21"/>
  <c r="AE204" i="21"/>
  <c r="AD204" i="21"/>
  <c r="AC204" i="21"/>
  <c r="AB204" i="21"/>
  <c r="Y204" i="21"/>
  <c r="V204" i="21"/>
  <c r="U204" i="21"/>
  <c r="R204" i="21"/>
  <c r="Q204" i="21"/>
  <c r="N204" i="21"/>
  <c r="AI203" i="21"/>
  <c r="AH203" i="21"/>
  <c r="AG203" i="21"/>
  <c r="AF203" i="21"/>
  <c r="AE203" i="21"/>
  <c r="AD203" i="21"/>
  <c r="AC203" i="21"/>
  <c r="AB203" i="21"/>
  <c r="Y203" i="21"/>
  <c r="V203" i="21"/>
  <c r="U203" i="21"/>
  <c r="R203" i="21"/>
  <c r="Q203" i="21"/>
  <c r="N203" i="21"/>
  <c r="AI202" i="21"/>
  <c r="AH202" i="21"/>
  <c r="AG202" i="21"/>
  <c r="AF202" i="21"/>
  <c r="AE202" i="21"/>
  <c r="AD202" i="21"/>
  <c r="AC202" i="21"/>
  <c r="AB202" i="21"/>
  <c r="Y202" i="21"/>
  <c r="V202" i="21"/>
  <c r="U202" i="21"/>
  <c r="R202" i="21"/>
  <c r="Q202" i="21"/>
  <c r="N202" i="21"/>
  <c r="AI201" i="21"/>
  <c r="AH201" i="21"/>
  <c r="AG201" i="21"/>
  <c r="AF201" i="21"/>
  <c r="AE201" i="21"/>
  <c r="AD201" i="21"/>
  <c r="AC201" i="21"/>
  <c r="AB201" i="21"/>
  <c r="Y201" i="21"/>
  <c r="V201" i="21"/>
  <c r="U201" i="21"/>
  <c r="R201" i="21"/>
  <c r="Q201" i="21"/>
  <c r="N201" i="21"/>
  <c r="AI200" i="21"/>
  <c r="AH200" i="21"/>
  <c r="AG200" i="21"/>
  <c r="AF200" i="21"/>
  <c r="AE200" i="21"/>
  <c r="AD200" i="21"/>
  <c r="AC200" i="21"/>
  <c r="AB200" i="21"/>
  <c r="Y200" i="21"/>
  <c r="V200" i="21"/>
  <c r="U200" i="21"/>
  <c r="R200" i="21"/>
  <c r="Q200" i="21"/>
  <c r="N200" i="21"/>
  <c r="AI199" i="21"/>
  <c r="AH199" i="21"/>
  <c r="AG199" i="21"/>
  <c r="AF199" i="21"/>
  <c r="AE199" i="21"/>
  <c r="AD199" i="21"/>
  <c r="AC199" i="21"/>
  <c r="AB199" i="21"/>
  <c r="Y199" i="21"/>
  <c r="V199" i="21"/>
  <c r="U199" i="21"/>
  <c r="R199" i="21"/>
  <c r="Q199" i="21"/>
  <c r="N199" i="21"/>
  <c r="AI198" i="21"/>
  <c r="AH198" i="21"/>
  <c r="AG198" i="21"/>
  <c r="AF198" i="21"/>
  <c r="AE198" i="21"/>
  <c r="AD198" i="21"/>
  <c r="AC198" i="21"/>
  <c r="AB198" i="21"/>
  <c r="Y198" i="21"/>
  <c r="V198" i="21"/>
  <c r="U198" i="21"/>
  <c r="R198" i="21"/>
  <c r="Q198" i="21"/>
  <c r="N198" i="21"/>
  <c r="AI197" i="21"/>
  <c r="AH197" i="21"/>
  <c r="AG197" i="21"/>
  <c r="AF197" i="21"/>
  <c r="AE197" i="21"/>
  <c r="AD197" i="21"/>
  <c r="AC197" i="21"/>
  <c r="AB197" i="21"/>
  <c r="Y197" i="21"/>
  <c r="V197" i="21"/>
  <c r="U197" i="21"/>
  <c r="R197" i="21"/>
  <c r="Q197" i="21"/>
  <c r="N197" i="21"/>
  <c r="AI196" i="21"/>
  <c r="AH196" i="21"/>
  <c r="AG196" i="21"/>
  <c r="AF196" i="21"/>
  <c r="AE196" i="21"/>
  <c r="AD196" i="21"/>
  <c r="AC196" i="21"/>
  <c r="AB196" i="21"/>
  <c r="Y196" i="21"/>
  <c r="V196" i="21"/>
  <c r="U196" i="21"/>
  <c r="R196" i="21"/>
  <c r="Q196" i="21"/>
  <c r="N196" i="21"/>
  <c r="AI195" i="21"/>
  <c r="AH195" i="21"/>
  <c r="AG195" i="21"/>
  <c r="AF195" i="21"/>
  <c r="AE195" i="21"/>
  <c r="AD195" i="21"/>
  <c r="AC195" i="21"/>
  <c r="AB195" i="21"/>
  <c r="Y195" i="21"/>
  <c r="V195" i="21"/>
  <c r="U195" i="21"/>
  <c r="R195" i="21"/>
  <c r="Q195" i="21"/>
  <c r="N195" i="21"/>
  <c r="AI194" i="21"/>
  <c r="AH194" i="21"/>
  <c r="AG194" i="21"/>
  <c r="AF194" i="21"/>
  <c r="AE194" i="21"/>
  <c r="AD194" i="21"/>
  <c r="AC194" i="21"/>
  <c r="AB194" i="21"/>
  <c r="Y194" i="21"/>
  <c r="V194" i="21"/>
  <c r="U194" i="21"/>
  <c r="R194" i="21"/>
  <c r="Q194" i="21"/>
  <c r="N194" i="21"/>
  <c r="AI193" i="21"/>
  <c r="AH193" i="21"/>
  <c r="AG193" i="21"/>
  <c r="AF193" i="21"/>
  <c r="AE193" i="21"/>
  <c r="AD193" i="21"/>
  <c r="AC193" i="21"/>
  <c r="AB193" i="21"/>
  <c r="Y193" i="21"/>
  <c r="V193" i="21"/>
  <c r="U193" i="21"/>
  <c r="R193" i="21"/>
  <c r="Q193" i="21"/>
  <c r="N193" i="21"/>
  <c r="AI192" i="21"/>
  <c r="AH192" i="21"/>
  <c r="AG192" i="21"/>
  <c r="AF192" i="21"/>
  <c r="AE192" i="21"/>
  <c r="AD192" i="21"/>
  <c r="AC192" i="21"/>
  <c r="AB192" i="21"/>
  <c r="Y192" i="21"/>
  <c r="V192" i="21"/>
  <c r="U192" i="21"/>
  <c r="R192" i="21"/>
  <c r="Q192" i="21"/>
  <c r="N192" i="21"/>
  <c r="AI191" i="21"/>
  <c r="AH191" i="21"/>
  <c r="AG191" i="21"/>
  <c r="AF191" i="21"/>
  <c r="AE191" i="21"/>
  <c r="AD191" i="21"/>
  <c r="AC191" i="21"/>
  <c r="AB191" i="21"/>
  <c r="Y191" i="21"/>
  <c r="V191" i="21"/>
  <c r="U191" i="21"/>
  <c r="R191" i="21"/>
  <c r="Q191" i="21"/>
  <c r="N191" i="21"/>
  <c r="AI190" i="21"/>
  <c r="AH190" i="21"/>
  <c r="AG190" i="21"/>
  <c r="AF190" i="21"/>
  <c r="AE190" i="21"/>
  <c r="AD190" i="21"/>
  <c r="AC190" i="21"/>
  <c r="AB190" i="21"/>
  <c r="Y190" i="21"/>
  <c r="V190" i="21"/>
  <c r="U190" i="21"/>
  <c r="R190" i="21"/>
  <c r="Q190" i="21"/>
  <c r="N190" i="21"/>
  <c r="AI189" i="21"/>
  <c r="AH189" i="21"/>
  <c r="AG189" i="21"/>
  <c r="AF189" i="21"/>
  <c r="AE189" i="21"/>
  <c r="AD189" i="21"/>
  <c r="AC189" i="21"/>
  <c r="AB189" i="21"/>
  <c r="Y189" i="21"/>
  <c r="V189" i="21"/>
  <c r="U189" i="21"/>
  <c r="R189" i="21"/>
  <c r="Q189" i="21"/>
  <c r="N189" i="21"/>
  <c r="AI188" i="21"/>
  <c r="AH188" i="21"/>
  <c r="AG188" i="21"/>
  <c r="AF188" i="21"/>
  <c r="AE188" i="21"/>
  <c r="AD188" i="21"/>
  <c r="AC188" i="21"/>
  <c r="AB188" i="21"/>
  <c r="Y188" i="21"/>
  <c r="V188" i="21"/>
  <c r="U188" i="21"/>
  <c r="R188" i="21"/>
  <c r="Q188" i="21"/>
  <c r="N188" i="21"/>
  <c r="AI187" i="21"/>
  <c r="AH187" i="21"/>
  <c r="AG187" i="21"/>
  <c r="AF187" i="21"/>
  <c r="AE187" i="21"/>
  <c r="AD187" i="21"/>
  <c r="AC187" i="21"/>
  <c r="AB187" i="21"/>
  <c r="Y187" i="21"/>
  <c r="V187" i="21"/>
  <c r="U187" i="21"/>
  <c r="R187" i="21"/>
  <c r="Q187" i="21"/>
  <c r="N187" i="21"/>
  <c r="AI186" i="21"/>
  <c r="AH186" i="21"/>
  <c r="AG186" i="21"/>
  <c r="AF186" i="21"/>
  <c r="AE186" i="21"/>
  <c r="AD186" i="21"/>
  <c r="AC186" i="21"/>
  <c r="AB186" i="21"/>
  <c r="Y186" i="21"/>
  <c r="V186" i="21"/>
  <c r="U186" i="21"/>
  <c r="R186" i="21"/>
  <c r="Q186" i="21"/>
  <c r="N186" i="21"/>
  <c r="AI185" i="21"/>
  <c r="AH185" i="21"/>
  <c r="AG185" i="21"/>
  <c r="AF185" i="21"/>
  <c r="AE185" i="21"/>
  <c r="AD185" i="21"/>
  <c r="AC185" i="21"/>
  <c r="AB185" i="21"/>
  <c r="Y185" i="21"/>
  <c r="V185" i="21"/>
  <c r="U185" i="21"/>
  <c r="R185" i="21"/>
  <c r="Q185" i="21"/>
  <c r="N185" i="21"/>
  <c r="AI184" i="21"/>
  <c r="AH184" i="21"/>
  <c r="AG184" i="21"/>
  <c r="AF184" i="21"/>
  <c r="AE184" i="21"/>
  <c r="AD184" i="21"/>
  <c r="AC184" i="21"/>
  <c r="AB184" i="21"/>
  <c r="Y184" i="21"/>
  <c r="V184" i="21"/>
  <c r="U184" i="21"/>
  <c r="R184" i="21"/>
  <c r="Q184" i="21"/>
  <c r="N184" i="21"/>
  <c r="AI183" i="21"/>
  <c r="AH183" i="21"/>
  <c r="AG183" i="21"/>
  <c r="AF183" i="21"/>
  <c r="AE183" i="21"/>
  <c r="AD183" i="21"/>
  <c r="AC183" i="21"/>
  <c r="AB183" i="21"/>
  <c r="Y183" i="21"/>
  <c r="V183" i="21"/>
  <c r="U183" i="21"/>
  <c r="R183" i="21"/>
  <c r="Q183" i="21"/>
  <c r="N183" i="21"/>
  <c r="AI182" i="21"/>
  <c r="AH182" i="21"/>
  <c r="AG182" i="21"/>
  <c r="AF182" i="21"/>
  <c r="AE182" i="21"/>
  <c r="AD182" i="21"/>
  <c r="AC182" i="21"/>
  <c r="AB182" i="21"/>
  <c r="Y182" i="21"/>
  <c r="V182" i="21"/>
  <c r="U182" i="21"/>
  <c r="R182" i="21"/>
  <c r="Q182" i="21"/>
  <c r="N182" i="21"/>
  <c r="AI181" i="21"/>
  <c r="AH181" i="21"/>
  <c r="AG181" i="21"/>
  <c r="AF181" i="21"/>
  <c r="AE181" i="21"/>
  <c r="AD181" i="21"/>
  <c r="AC181" i="21"/>
  <c r="AB181" i="21"/>
  <c r="Y181" i="21"/>
  <c r="V181" i="21"/>
  <c r="U181" i="21"/>
  <c r="R181" i="21"/>
  <c r="Q181" i="21"/>
  <c r="N181" i="21"/>
  <c r="AI180" i="21"/>
  <c r="AH180" i="21"/>
  <c r="AG180" i="21"/>
  <c r="AF180" i="21"/>
  <c r="AE180" i="21"/>
  <c r="AD180" i="21"/>
  <c r="AC180" i="21"/>
  <c r="AB180" i="21"/>
  <c r="Y180" i="21"/>
  <c r="V180" i="21"/>
  <c r="U180" i="21"/>
  <c r="R180" i="21"/>
  <c r="Q180" i="21"/>
  <c r="N180" i="21"/>
  <c r="AI179" i="21"/>
  <c r="AH179" i="21"/>
  <c r="AG179" i="21"/>
  <c r="AF179" i="21"/>
  <c r="AE179" i="21"/>
  <c r="AD179" i="21"/>
  <c r="AC179" i="21"/>
  <c r="AB179" i="21"/>
  <c r="Y179" i="21"/>
  <c r="V179" i="21"/>
  <c r="U179" i="21"/>
  <c r="R179" i="21"/>
  <c r="Q179" i="21"/>
  <c r="N179" i="21"/>
  <c r="AI178" i="21"/>
  <c r="AH178" i="21"/>
  <c r="AG178" i="21"/>
  <c r="AF178" i="21"/>
  <c r="AE178" i="21"/>
  <c r="AD178" i="21"/>
  <c r="AC178" i="21"/>
  <c r="AB178" i="21"/>
  <c r="Y178" i="21"/>
  <c r="V178" i="21"/>
  <c r="U178" i="21"/>
  <c r="R178" i="21"/>
  <c r="Q178" i="21"/>
  <c r="N178" i="21"/>
  <c r="AI177" i="21"/>
  <c r="AH177" i="21"/>
  <c r="AG177" i="21"/>
  <c r="AF177" i="21"/>
  <c r="AE177" i="21"/>
  <c r="AD177" i="21"/>
  <c r="AC177" i="21"/>
  <c r="AB177" i="21"/>
  <c r="Y177" i="21"/>
  <c r="V177" i="21"/>
  <c r="U177" i="21"/>
  <c r="R177" i="21"/>
  <c r="Q177" i="21"/>
  <c r="N177" i="21"/>
  <c r="AI176" i="21"/>
  <c r="AH176" i="21"/>
  <c r="AG176" i="21"/>
  <c r="AF176" i="21"/>
  <c r="AE176" i="21"/>
  <c r="AD176" i="21"/>
  <c r="AC176" i="21"/>
  <c r="AB176" i="21"/>
  <c r="Y176" i="21"/>
  <c r="V176" i="21"/>
  <c r="U176" i="21"/>
  <c r="R176" i="21"/>
  <c r="Q176" i="21"/>
  <c r="N176" i="21"/>
  <c r="AI175" i="21"/>
  <c r="AH175" i="21"/>
  <c r="AG175" i="21"/>
  <c r="AF175" i="21"/>
  <c r="AE175" i="21"/>
  <c r="AD175" i="21"/>
  <c r="AC175" i="21"/>
  <c r="AB175" i="21"/>
  <c r="Y175" i="21"/>
  <c r="V175" i="21"/>
  <c r="U175" i="21"/>
  <c r="R175" i="21"/>
  <c r="Q175" i="21"/>
  <c r="N175" i="21"/>
  <c r="AI174" i="21"/>
  <c r="AH174" i="21"/>
  <c r="AG174" i="21"/>
  <c r="AF174" i="21"/>
  <c r="AE174" i="21"/>
  <c r="AD174" i="21"/>
  <c r="AC174" i="21"/>
  <c r="AB174" i="21"/>
  <c r="Y174" i="21"/>
  <c r="V174" i="21"/>
  <c r="U174" i="21"/>
  <c r="R174" i="21"/>
  <c r="Q174" i="21"/>
  <c r="N174" i="21"/>
  <c r="AI173" i="21"/>
  <c r="AH173" i="21"/>
  <c r="AG173" i="21"/>
  <c r="AF173" i="21"/>
  <c r="AE173" i="21"/>
  <c r="AD173" i="21"/>
  <c r="AC173" i="21"/>
  <c r="AB173" i="21"/>
  <c r="Y173" i="21"/>
  <c r="V173" i="21"/>
  <c r="U173" i="21"/>
  <c r="R173" i="21"/>
  <c r="Q173" i="21"/>
  <c r="N173" i="21"/>
  <c r="AI172" i="21"/>
  <c r="AH172" i="21"/>
  <c r="AG172" i="21"/>
  <c r="AF172" i="21"/>
  <c r="AE172" i="21"/>
  <c r="AD172" i="21"/>
  <c r="AC172" i="21"/>
  <c r="AB172" i="21"/>
  <c r="Y172" i="21"/>
  <c r="V172" i="21"/>
  <c r="U172" i="21"/>
  <c r="R172" i="21"/>
  <c r="Q172" i="21"/>
  <c r="N172" i="21"/>
  <c r="AI171" i="21"/>
  <c r="AH171" i="21"/>
  <c r="AG171" i="21"/>
  <c r="AF171" i="21"/>
  <c r="AE171" i="21"/>
  <c r="AD171" i="21"/>
  <c r="AC171" i="21"/>
  <c r="AB171" i="21"/>
  <c r="Y171" i="21"/>
  <c r="V171" i="21"/>
  <c r="U171" i="21"/>
  <c r="R171" i="21"/>
  <c r="Q171" i="21"/>
  <c r="N171" i="21"/>
  <c r="AI170" i="21"/>
  <c r="AH170" i="21"/>
  <c r="AG170" i="21"/>
  <c r="AF170" i="21"/>
  <c r="AE170" i="21"/>
  <c r="AD170" i="21"/>
  <c r="AC170" i="21"/>
  <c r="AB170" i="21"/>
  <c r="Y170" i="21"/>
  <c r="V170" i="21"/>
  <c r="U170" i="21"/>
  <c r="R170" i="21"/>
  <c r="Q170" i="21"/>
  <c r="N170" i="21"/>
  <c r="AI169" i="21"/>
  <c r="AH169" i="21"/>
  <c r="AG169" i="21"/>
  <c r="AF169" i="21"/>
  <c r="AE169" i="21"/>
  <c r="AD169" i="21"/>
  <c r="AC169" i="21"/>
  <c r="AB169" i="21"/>
  <c r="Y169" i="21"/>
  <c r="V169" i="21"/>
  <c r="U169" i="21"/>
  <c r="R169" i="21"/>
  <c r="Q169" i="21"/>
  <c r="N169" i="21"/>
  <c r="AI168" i="21"/>
  <c r="AH168" i="21"/>
  <c r="AG168" i="21"/>
  <c r="AF168" i="21"/>
  <c r="AE168" i="21"/>
  <c r="AD168" i="21"/>
  <c r="AC168" i="21"/>
  <c r="AB168" i="21"/>
  <c r="Y168" i="21"/>
  <c r="V168" i="21"/>
  <c r="U168" i="21"/>
  <c r="R168" i="21"/>
  <c r="Q168" i="21"/>
  <c r="N168" i="21"/>
  <c r="AI167" i="21"/>
  <c r="AH167" i="21"/>
  <c r="AG167" i="21"/>
  <c r="AF167" i="21"/>
  <c r="AE167" i="21"/>
  <c r="AD167" i="21"/>
  <c r="AC167" i="21"/>
  <c r="AB167" i="21"/>
  <c r="Y167" i="21"/>
  <c r="V167" i="21"/>
  <c r="U167" i="21"/>
  <c r="R167" i="21"/>
  <c r="Q167" i="21"/>
  <c r="N167" i="21"/>
  <c r="AI166" i="21"/>
  <c r="AH166" i="21"/>
  <c r="AG166" i="21"/>
  <c r="AF166" i="21"/>
  <c r="AE166" i="21"/>
  <c r="AD166" i="21"/>
  <c r="AC166" i="21"/>
  <c r="AB166" i="21"/>
  <c r="Y166" i="21"/>
  <c r="V166" i="21"/>
  <c r="U166" i="21"/>
  <c r="R166" i="21"/>
  <c r="Q166" i="21"/>
  <c r="N166" i="21"/>
  <c r="AI165" i="21"/>
  <c r="AH165" i="21"/>
  <c r="AG165" i="21"/>
  <c r="AF165" i="21"/>
  <c r="AE165" i="21"/>
  <c r="AD165" i="21"/>
  <c r="AC165" i="21"/>
  <c r="AB165" i="21"/>
  <c r="Y165" i="21"/>
  <c r="V165" i="21"/>
  <c r="U165" i="21"/>
  <c r="R165" i="21"/>
  <c r="Q165" i="21"/>
  <c r="N165" i="21"/>
  <c r="AI164" i="21"/>
  <c r="AH164" i="21"/>
  <c r="AG164" i="21"/>
  <c r="AF164" i="21"/>
  <c r="AE164" i="21"/>
  <c r="AD164" i="21"/>
  <c r="AC164" i="21"/>
  <c r="AB164" i="21"/>
  <c r="Y164" i="21"/>
  <c r="V164" i="21"/>
  <c r="U164" i="21"/>
  <c r="R164" i="21"/>
  <c r="Q164" i="21"/>
  <c r="N164" i="21"/>
  <c r="AI163" i="21"/>
  <c r="AH163" i="21"/>
  <c r="AG163" i="21"/>
  <c r="AF163" i="21"/>
  <c r="AE163" i="21"/>
  <c r="AD163" i="21"/>
  <c r="AC163" i="21"/>
  <c r="AB163" i="21"/>
  <c r="Y163" i="21"/>
  <c r="V163" i="21"/>
  <c r="U163" i="21"/>
  <c r="R163" i="21"/>
  <c r="Q163" i="21"/>
  <c r="N163" i="21"/>
  <c r="AI162" i="21"/>
  <c r="AH162" i="21"/>
  <c r="AG162" i="21"/>
  <c r="AF162" i="21"/>
  <c r="AE162" i="21"/>
  <c r="AD162" i="21"/>
  <c r="AC162" i="21"/>
  <c r="AB162" i="21"/>
  <c r="Y162" i="21"/>
  <c r="V162" i="21"/>
  <c r="U162" i="21"/>
  <c r="R162" i="21"/>
  <c r="Q162" i="21"/>
  <c r="N162" i="21"/>
  <c r="AI161" i="21"/>
  <c r="AH161" i="21"/>
  <c r="AG161" i="21"/>
  <c r="AF161" i="21"/>
  <c r="AE161" i="21"/>
  <c r="AD161" i="21"/>
  <c r="AC161" i="21"/>
  <c r="AB161" i="21"/>
  <c r="Y161" i="21"/>
  <c r="V161" i="21"/>
  <c r="U161" i="21"/>
  <c r="R161" i="21"/>
  <c r="Q161" i="21"/>
  <c r="N161" i="21"/>
  <c r="AI160" i="21"/>
  <c r="AH160" i="21"/>
  <c r="AG160" i="21"/>
  <c r="AF160" i="21"/>
  <c r="AE160" i="21"/>
  <c r="AD160" i="21"/>
  <c r="AC160" i="21"/>
  <c r="AB160" i="21"/>
  <c r="Y160" i="21"/>
  <c r="V160" i="21"/>
  <c r="U160" i="21"/>
  <c r="R160" i="21"/>
  <c r="Q160" i="21"/>
  <c r="N160" i="21"/>
  <c r="AI159" i="21"/>
  <c r="AH159" i="21"/>
  <c r="AG159" i="21"/>
  <c r="AF159" i="21"/>
  <c r="AE159" i="21"/>
  <c r="AD159" i="21"/>
  <c r="AC159" i="21"/>
  <c r="AB159" i="21"/>
  <c r="Y159" i="21"/>
  <c r="V159" i="21"/>
  <c r="U159" i="21"/>
  <c r="R159" i="21"/>
  <c r="Q159" i="21"/>
  <c r="N159" i="21"/>
  <c r="AI158" i="21"/>
  <c r="AH158" i="21"/>
  <c r="AG158" i="21"/>
  <c r="AF158" i="21"/>
  <c r="AE158" i="21"/>
  <c r="AD158" i="21"/>
  <c r="AC158" i="21"/>
  <c r="AB158" i="21"/>
  <c r="Y158" i="21"/>
  <c r="V158" i="21"/>
  <c r="U158" i="21"/>
  <c r="R158" i="21"/>
  <c r="Q158" i="21"/>
  <c r="N158" i="21"/>
  <c r="AI157" i="21"/>
  <c r="AH157" i="21"/>
  <c r="AG157" i="21"/>
  <c r="AF157" i="21"/>
  <c r="AE157" i="21"/>
  <c r="AD157" i="21"/>
  <c r="AC157" i="21"/>
  <c r="AB157" i="21"/>
  <c r="Y157" i="21"/>
  <c r="V157" i="21"/>
  <c r="U157" i="21"/>
  <c r="R157" i="21"/>
  <c r="Q157" i="21"/>
  <c r="N157" i="21"/>
  <c r="AI156" i="21"/>
  <c r="AH156" i="21"/>
  <c r="AG156" i="21"/>
  <c r="AF156" i="21"/>
  <c r="AE156" i="21"/>
  <c r="AD156" i="21"/>
  <c r="AC156" i="21"/>
  <c r="AB156" i="21"/>
  <c r="Y156" i="21"/>
  <c r="V156" i="21"/>
  <c r="U156" i="21"/>
  <c r="R156" i="21"/>
  <c r="Q156" i="21"/>
  <c r="N156" i="21"/>
  <c r="AI155" i="21"/>
  <c r="AH155" i="21"/>
  <c r="AG155" i="21"/>
  <c r="AF155" i="21"/>
  <c r="AE155" i="21"/>
  <c r="AD155" i="21"/>
  <c r="AC155" i="21"/>
  <c r="AB155" i="21"/>
  <c r="Y155" i="21"/>
  <c r="V155" i="21"/>
  <c r="U155" i="21"/>
  <c r="R155" i="21"/>
  <c r="Q155" i="21"/>
  <c r="N155" i="21"/>
  <c r="AI154" i="21"/>
  <c r="AH154" i="21"/>
  <c r="AG154" i="21"/>
  <c r="AF154" i="21"/>
  <c r="AE154" i="21"/>
  <c r="AD154" i="21"/>
  <c r="AC154" i="21"/>
  <c r="AB154" i="21"/>
  <c r="Y154" i="21"/>
  <c r="V154" i="21"/>
  <c r="U154" i="21"/>
  <c r="R154" i="21"/>
  <c r="Q154" i="21"/>
  <c r="N154" i="21"/>
  <c r="AI153" i="21"/>
  <c r="AH153" i="21"/>
  <c r="AG153" i="21"/>
  <c r="AF153" i="21"/>
  <c r="AE153" i="21"/>
  <c r="AD153" i="21"/>
  <c r="AC153" i="21"/>
  <c r="AB153" i="21"/>
  <c r="Y153" i="21"/>
  <c r="V153" i="21"/>
  <c r="U153" i="21"/>
  <c r="R153" i="21"/>
  <c r="Q153" i="21"/>
  <c r="N153" i="21"/>
  <c r="AI152" i="21"/>
  <c r="AH152" i="21"/>
  <c r="AG152" i="21"/>
  <c r="AF152" i="21"/>
  <c r="AE152" i="21"/>
  <c r="AD152" i="21"/>
  <c r="AC152" i="21"/>
  <c r="AB152" i="21"/>
  <c r="Y152" i="21"/>
  <c r="V152" i="21"/>
  <c r="U152" i="21"/>
  <c r="R152" i="21"/>
  <c r="Q152" i="21"/>
  <c r="N152" i="21"/>
  <c r="AI151" i="21"/>
  <c r="AH151" i="21"/>
  <c r="AG151" i="21"/>
  <c r="AF151" i="21"/>
  <c r="AE151" i="21"/>
  <c r="AD151" i="21"/>
  <c r="AC151" i="21"/>
  <c r="AB151" i="21"/>
  <c r="Y151" i="21"/>
  <c r="V151" i="21"/>
  <c r="U151" i="21"/>
  <c r="R151" i="21"/>
  <c r="Q151" i="21"/>
  <c r="N151" i="21"/>
  <c r="AI150" i="21"/>
  <c r="AH150" i="21"/>
  <c r="AG150" i="21"/>
  <c r="AF150" i="21"/>
  <c r="AE150" i="21"/>
  <c r="AD150" i="21"/>
  <c r="AC150" i="21"/>
  <c r="AB150" i="21"/>
  <c r="Y150" i="21"/>
  <c r="V150" i="21"/>
  <c r="U150" i="21"/>
  <c r="R150" i="21"/>
  <c r="Q150" i="21"/>
  <c r="N150" i="21"/>
  <c r="AI149" i="21"/>
  <c r="AH149" i="21"/>
  <c r="AG149" i="21"/>
  <c r="AF149" i="21"/>
  <c r="AE149" i="21"/>
  <c r="AD149" i="21"/>
  <c r="AC149" i="21"/>
  <c r="AB149" i="21"/>
  <c r="Y149" i="21"/>
  <c r="V149" i="21"/>
  <c r="U149" i="21"/>
  <c r="R149" i="21"/>
  <c r="Q149" i="21"/>
  <c r="N149" i="21"/>
  <c r="AI148" i="21"/>
  <c r="AH148" i="21"/>
  <c r="AG148" i="21"/>
  <c r="AF148" i="21"/>
  <c r="AE148" i="21"/>
  <c r="AD148" i="21"/>
  <c r="AC148" i="21"/>
  <c r="AB148" i="21"/>
  <c r="Y148" i="21"/>
  <c r="V148" i="21"/>
  <c r="U148" i="21"/>
  <c r="R148" i="21"/>
  <c r="Q148" i="21"/>
  <c r="N148" i="21"/>
  <c r="AI147" i="21"/>
  <c r="AH147" i="21"/>
  <c r="AG147" i="21"/>
  <c r="AF147" i="21"/>
  <c r="AE147" i="21"/>
  <c r="AD147" i="21"/>
  <c r="AC147" i="21"/>
  <c r="AB147" i="21"/>
  <c r="Y147" i="21"/>
  <c r="V147" i="21"/>
  <c r="U147" i="21"/>
  <c r="R147" i="21"/>
  <c r="Q147" i="21"/>
  <c r="N147" i="21"/>
  <c r="AI146" i="21"/>
  <c r="AH146" i="21"/>
  <c r="AG146" i="21"/>
  <c r="AF146" i="21"/>
  <c r="AE146" i="21"/>
  <c r="AD146" i="21"/>
  <c r="AC146" i="21"/>
  <c r="AB146" i="21"/>
  <c r="Y146" i="21"/>
  <c r="V146" i="21"/>
  <c r="U146" i="21"/>
  <c r="R146" i="21"/>
  <c r="Q146" i="21"/>
  <c r="N146" i="21"/>
  <c r="AI145" i="21"/>
  <c r="AH145" i="21"/>
  <c r="AG145" i="21"/>
  <c r="AF145" i="21"/>
  <c r="AE145" i="21"/>
  <c r="AD145" i="21"/>
  <c r="AC145" i="21"/>
  <c r="AB145" i="21"/>
  <c r="Y145" i="21"/>
  <c r="V145" i="21"/>
  <c r="U145" i="21"/>
  <c r="R145" i="21"/>
  <c r="Q145" i="21"/>
  <c r="N145" i="21"/>
  <c r="AI144" i="21"/>
  <c r="AH144" i="21"/>
  <c r="AG144" i="21"/>
  <c r="AF144" i="21"/>
  <c r="AE144" i="21"/>
  <c r="AD144" i="21"/>
  <c r="AC144" i="21"/>
  <c r="AB144" i="21"/>
  <c r="Y144" i="21"/>
  <c r="V144" i="21"/>
  <c r="U144" i="21"/>
  <c r="R144" i="21"/>
  <c r="Q144" i="21"/>
  <c r="N144" i="21"/>
  <c r="AI143" i="21"/>
  <c r="AH143" i="21"/>
  <c r="AG143" i="21"/>
  <c r="AF143" i="21"/>
  <c r="AE143" i="21"/>
  <c r="AD143" i="21"/>
  <c r="AC143" i="21"/>
  <c r="AB143" i="21"/>
  <c r="Y143" i="21"/>
  <c r="V143" i="21"/>
  <c r="U143" i="21"/>
  <c r="R143" i="21"/>
  <c r="Q143" i="21"/>
  <c r="N143" i="21"/>
  <c r="AI142" i="21"/>
  <c r="AH142" i="21"/>
  <c r="AG142" i="21"/>
  <c r="AF142" i="21"/>
  <c r="AE142" i="21"/>
  <c r="AD142" i="21"/>
  <c r="AC142" i="21"/>
  <c r="AB142" i="21"/>
  <c r="Y142" i="21"/>
  <c r="V142" i="21"/>
  <c r="U142" i="21"/>
  <c r="R142" i="21"/>
  <c r="Q142" i="21"/>
  <c r="N142" i="21"/>
  <c r="AI141" i="21"/>
  <c r="AH141" i="21"/>
  <c r="AG141" i="21"/>
  <c r="AF141" i="21"/>
  <c r="AE141" i="21"/>
  <c r="AD141" i="21"/>
  <c r="AC141" i="21"/>
  <c r="AB141" i="21"/>
  <c r="Y141" i="21"/>
  <c r="V141" i="21"/>
  <c r="U141" i="21"/>
  <c r="R141" i="21"/>
  <c r="Q141" i="21"/>
  <c r="N141" i="21"/>
  <c r="AI140" i="21"/>
  <c r="AH140" i="21"/>
  <c r="AG140" i="21"/>
  <c r="AF140" i="21"/>
  <c r="AE140" i="21"/>
  <c r="AD140" i="21"/>
  <c r="AC140" i="21"/>
  <c r="AB140" i="21"/>
  <c r="Y140" i="21"/>
  <c r="V140" i="21"/>
  <c r="U140" i="21"/>
  <c r="R140" i="21"/>
  <c r="Q140" i="21"/>
  <c r="N140" i="21"/>
  <c r="AI139" i="21"/>
  <c r="AH139" i="21"/>
  <c r="AG139" i="21"/>
  <c r="AF139" i="21"/>
  <c r="AE139" i="21"/>
  <c r="AD139" i="21"/>
  <c r="AC139" i="21"/>
  <c r="AB139" i="21"/>
  <c r="Y139" i="21"/>
  <c r="V139" i="21"/>
  <c r="U139" i="21"/>
  <c r="R139" i="21"/>
  <c r="Q139" i="21"/>
  <c r="N139" i="21"/>
  <c r="AI138" i="21"/>
  <c r="AH138" i="21"/>
  <c r="AG138" i="21"/>
  <c r="AF138" i="21"/>
  <c r="AE138" i="21"/>
  <c r="AD138" i="21"/>
  <c r="AC138" i="21"/>
  <c r="AB138" i="21"/>
  <c r="Y138" i="21"/>
  <c r="V138" i="21"/>
  <c r="U138" i="21"/>
  <c r="R138" i="21"/>
  <c r="Q138" i="21"/>
  <c r="N138" i="21"/>
  <c r="AI137" i="21"/>
  <c r="AH137" i="21"/>
  <c r="AG137" i="21"/>
  <c r="AF137" i="21"/>
  <c r="AE137" i="21"/>
  <c r="AD137" i="21"/>
  <c r="AC137" i="21"/>
  <c r="AB137" i="21"/>
  <c r="Y137" i="21"/>
  <c r="V137" i="21"/>
  <c r="U137" i="21"/>
  <c r="R137" i="21"/>
  <c r="Q137" i="21"/>
  <c r="N137" i="21"/>
  <c r="AI136" i="21"/>
  <c r="AH136" i="21"/>
  <c r="AG136" i="21"/>
  <c r="AF136" i="21"/>
  <c r="AE136" i="21"/>
  <c r="AD136" i="21"/>
  <c r="AC136" i="21"/>
  <c r="AB136" i="21"/>
  <c r="Y136" i="21"/>
  <c r="V136" i="21"/>
  <c r="U136" i="21"/>
  <c r="R136" i="21"/>
  <c r="Q136" i="21"/>
  <c r="N136" i="21"/>
  <c r="AI135" i="21"/>
  <c r="AH135" i="21"/>
  <c r="AG135" i="21"/>
  <c r="AF135" i="21"/>
  <c r="AE135" i="21"/>
  <c r="AD135" i="21"/>
  <c r="AC135" i="21"/>
  <c r="AB135" i="21"/>
  <c r="Y135" i="21"/>
  <c r="V135" i="21"/>
  <c r="U135" i="21"/>
  <c r="R135" i="21"/>
  <c r="Q135" i="21"/>
  <c r="N135" i="21"/>
  <c r="AI134" i="21"/>
  <c r="AH134" i="21"/>
  <c r="AG134" i="21"/>
  <c r="AF134" i="21"/>
  <c r="AE134" i="21"/>
  <c r="AD134" i="21"/>
  <c r="AC134" i="21"/>
  <c r="AB134" i="21"/>
  <c r="Y134" i="21"/>
  <c r="V134" i="21"/>
  <c r="U134" i="21"/>
  <c r="R134" i="21"/>
  <c r="Q134" i="21"/>
  <c r="N134" i="21"/>
  <c r="AI133" i="21"/>
  <c r="AH133" i="21"/>
  <c r="AG133" i="21"/>
  <c r="AF133" i="21"/>
  <c r="AE133" i="21"/>
  <c r="AD133" i="21"/>
  <c r="AC133" i="21"/>
  <c r="AB133" i="21"/>
  <c r="Y133" i="21"/>
  <c r="V133" i="21"/>
  <c r="U133" i="21"/>
  <c r="R133" i="21"/>
  <c r="Q133" i="21"/>
  <c r="N133" i="21"/>
  <c r="AI132" i="21"/>
  <c r="AH132" i="21"/>
  <c r="AG132" i="21"/>
  <c r="AF132" i="21"/>
  <c r="AE132" i="21"/>
  <c r="AD132" i="21"/>
  <c r="AC132" i="21"/>
  <c r="AB132" i="21"/>
  <c r="Y132" i="21"/>
  <c r="V132" i="21"/>
  <c r="U132" i="21"/>
  <c r="R132" i="21"/>
  <c r="Q132" i="21"/>
  <c r="N132" i="21"/>
  <c r="AI131" i="21"/>
  <c r="AH131" i="21"/>
  <c r="AG131" i="21"/>
  <c r="AF131" i="21"/>
  <c r="AE131" i="21"/>
  <c r="AD131" i="21"/>
  <c r="AC131" i="21"/>
  <c r="AB131" i="21"/>
  <c r="Y131" i="21"/>
  <c r="V131" i="21"/>
  <c r="U131" i="21"/>
  <c r="R131" i="21"/>
  <c r="Q131" i="21"/>
  <c r="N131" i="21"/>
  <c r="AI130" i="21"/>
  <c r="AH130" i="21"/>
  <c r="AG130" i="21"/>
  <c r="AF130" i="21"/>
  <c r="AE130" i="21"/>
  <c r="AD130" i="21"/>
  <c r="AC130" i="21"/>
  <c r="AB130" i="21"/>
  <c r="Y130" i="21"/>
  <c r="V130" i="21"/>
  <c r="U130" i="21"/>
  <c r="R130" i="21"/>
  <c r="Q130" i="21"/>
  <c r="N130" i="21"/>
  <c r="AI129" i="21"/>
  <c r="AH129" i="21"/>
  <c r="AG129" i="21"/>
  <c r="AF129" i="21"/>
  <c r="AE129" i="21"/>
  <c r="AD129" i="21"/>
  <c r="AC129" i="21"/>
  <c r="AB129" i="21"/>
  <c r="Y129" i="21"/>
  <c r="V129" i="21"/>
  <c r="U129" i="21"/>
  <c r="R129" i="21"/>
  <c r="Q129" i="21"/>
  <c r="N129" i="21"/>
  <c r="AI128" i="21"/>
  <c r="AH128" i="21"/>
  <c r="AG128" i="21"/>
  <c r="AF128" i="21"/>
  <c r="AE128" i="21"/>
  <c r="AD128" i="21"/>
  <c r="AC128" i="21"/>
  <c r="AB128" i="21"/>
  <c r="Y128" i="21"/>
  <c r="V128" i="21"/>
  <c r="U128" i="21"/>
  <c r="R128" i="21"/>
  <c r="Q128" i="21"/>
  <c r="N128" i="21"/>
  <c r="AI127" i="21"/>
  <c r="AH127" i="21"/>
  <c r="AG127" i="21"/>
  <c r="AF127" i="21"/>
  <c r="AE127" i="21"/>
  <c r="AD127" i="21"/>
  <c r="AC127" i="21"/>
  <c r="AB127" i="21"/>
  <c r="Y127" i="21"/>
  <c r="V127" i="21"/>
  <c r="U127" i="21"/>
  <c r="R127" i="21"/>
  <c r="Q127" i="21"/>
  <c r="N127" i="21"/>
  <c r="AI126" i="21"/>
  <c r="AH126" i="21"/>
  <c r="AG126" i="21"/>
  <c r="AF126" i="21"/>
  <c r="AE126" i="21"/>
  <c r="AD126" i="21"/>
  <c r="AC126" i="21"/>
  <c r="AB126" i="21"/>
  <c r="Y126" i="21"/>
  <c r="V126" i="21"/>
  <c r="U126" i="21"/>
  <c r="R126" i="21"/>
  <c r="Q126" i="21"/>
  <c r="N126" i="21"/>
  <c r="AI125" i="21"/>
  <c r="AH125" i="21"/>
  <c r="AG125" i="21"/>
  <c r="AF125" i="21"/>
  <c r="AE125" i="21"/>
  <c r="AD125" i="21"/>
  <c r="AC125" i="21"/>
  <c r="AB125" i="21"/>
  <c r="Y125" i="21"/>
  <c r="V125" i="21"/>
  <c r="U125" i="21"/>
  <c r="R125" i="21"/>
  <c r="Q125" i="21"/>
  <c r="N125" i="21"/>
  <c r="AI124" i="21"/>
  <c r="AH124" i="21"/>
  <c r="AG124" i="21"/>
  <c r="AF124" i="21"/>
  <c r="AE124" i="21"/>
  <c r="AD124" i="21"/>
  <c r="AC124" i="21"/>
  <c r="AB124" i="21"/>
  <c r="Y124" i="21"/>
  <c r="V124" i="21"/>
  <c r="U124" i="21"/>
  <c r="R124" i="21"/>
  <c r="Q124" i="21"/>
  <c r="N124" i="21"/>
  <c r="AI123" i="21"/>
  <c r="AH123" i="21"/>
  <c r="AG123" i="21"/>
  <c r="AF123" i="21"/>
  <c r="AE123" i="21"/>
  <c r="AD123" i="21"/>
  <c r="AC123" i="21"/>
  <c r="AB123" i="21"/>
  <c r="Y123" i="21"/>
  <c r="V123" i="21"/>
  <c r="U123" i="21"/>
  <c r="R123" i="21"/>
  <c r="Q123" i="21"/>
  <c r="N123" i="21"/>
  <c r="D123" i="21"/>
  <c r="AI122" i="21"/>
  <c r="AH122" i="21"/>
  <c r="AG122" i="21"/>
  <c r="AF122" i="21"/>
  <c r="AE122" i="21"/>
  <c r="AD122" i="21"/>
  <c r="AC122" i="21"/>
  <c r="AB122" i="21"/>
  <c r="Y122" i="21"/>
  <c r="V122" i="21"/>
  <c r="U122" i="21"/>
  <c r="R122" i="21"/>
  <c r="Q122" i="21"/>
  <c r="N122" i="21"/>
  <c r="AI121" i="21"/>
  <c r="AH121" i="21"/>
  <c r="AG121" i="21"/>
  <c r="AF121" i="21"/>
  <c r="AE121" i="21"/>
  <c r="AD121" i="21"/>
  <c r="AC121" i="21"/>
  <c r="AB121" i="21"/>
  <c r="Y121" i="21"/>
  <c r="V121" i="21"/>
  <c r="U121" i="21"/>
  <c r="R121" i="21"/>
  <c r="Q121" i="21"/>
  <c r="N121" i="21"/>
  <c r="AI120" i="21"/>
  <c r="AH120" i="21"/>
  <c r="AG120" i="21"/>
  <c r="AF120" i="21"/>
  <c r="AE120" i="21"/>
  <c r="AD120" i="21"/>
  <c r="AC120" i="21"/>
  <c r="AB120" i="21"/>
  <c r="Y120" i="21"/>
  <c r="V120" i="21"/>
  <c r="U120" i="21"/>
  <c r="R120" i="21"/>
  <c r="Q120" i="21"/>
  <c r="N120" i="21"/>
  <c r="AI119" i="21"/>
  <c r="AH119" i="21"/>
  <c r="AG119" i="21"/>
  <c r="AF119" i="21"/>
  <c r="AE119" i="21"/>
  <c r="AD119" i="21"/>
  <c r="AC119" i="21"/>
  <c r="AB119" i="21"/>
  <c r="Y119" i="21"/>
  <c r="V119" i="21"/>
  <c r="U119" i="21"/>
  <c r="R119" i="21"/>
  <c r="Q119" i="21"/>
  <c r="N119" i="21"/>
  <c r="AI118" i="21"/>
  <c r="AH118" i="21"/>
  <c r="AG118" i="21"/>
  <c r="AF118" i="21"/>
  <c r="AE118" i="21"/>
  <c r="AD118" i="21"/>
  <c r="AC118" i="21"/>
  <c r="AB118" i="21"/>
  <c r="Y118" i="21"/>
  <c r="V118" i="21"/>
  <c r="U118" i="21"/>
  <c r="R118" i="21"/>
  <c r="Q118" i="21"/>
  <c r="N118" i="21"/>
  <c r="AI117" i="21"/>
  <c r="AH117" i="21"/>
  <c r="AG117" i="21"/>
  <c r="AF117" i="21"/>
  <c r="AE117" i="21"/>
  <c r="AD117" i="21"/>
  <c r="AC117" i="21"/>
  <c r="AB117" i="21"/>
  <c r="Y117" i="21"/>
  <c r="V117" i="21"/>
  <c r="U117" i="21"/>
  <c r="R117" i="21"/>
  <c r="Q117" i="21"/>
  <c r="N117" i="21"/>
  <c r="AI116" i="21"/>
  <c r="AH116" i="21"/>
  <c r="AG116" i="21"/>
  <c r="AF116" i="21"/>
  <c r="AE116" i="21"/>
  <c r="AD116" i="21"/>
  <c r="AC116" i="21"/>
  <c r="AB116" i="21"/>
  <c r="Y116" i="21"/>
  <c r="V116" i="21"/>
  <c r="U116" i="21"/>
  <c r="R116" i="21"/>
  <c r="Q116" i="21"/>
  <c r="N116" i="21"/>
  <c r="AI115" i="21"/>
  <c r="AH115" i="21"/>
  <c r="AG115" i="21"/>
  <c r="AF115" i="21"/>
  <c r="AE115" i="21"/>
  <c r="AD115" i="21"/>
  <c r="AC115" i="21"/>
  <c r="AB115" i="21"/>
  <c r="Y115" i="21"/>
  <c r="V115" i="21"/>
  <c r="U115" i="21"/>
  <c r="R115" i="21"/>
  <c r="Q115" i="21"/>
  <c r="N115" i="21"/>
  <c r="AI114" i="21"/>
  <c r="AH114" i="21"/>
  <c r="AG114" i="21"/>
  <c r="AF114" i="21"/>
  <c r="AE114" i="21"/>
  <c r="AD114" i="21"/>
  <c r="AC114" i="21"/>
  <c r="AB114" i="21"/>
  <c r="Y114" i="21"/>
  <c r="V114" i="21"/>
  <c r="U114" i="21"/>
  <c r="R114" i="21"/>
  <c r="Q114" i="21"/>
  <c r="N114" i="21"/>
  <c r="AI113" i="21"/>
  <c r="AH113" i="21"/>
  <c r="AG113" i="21"/>
  <c r="AF113" i="21"/>
  <c r="AE113" i="21"/>
  <c r="AD113" i="21"/>
  <c r="AC113" i="21"/>
  <c r="AB113" i="21"/>
  <c r="Y113" i="21"/>
  <c r="V113" i="21"/>
  <c r="U113" i="21"/>
  <c r="R113" i="21"/>
  <c r="Q113" i="21"/>
  <c r="N113" i="21"/>
  <c r="AI112" i="21"/>
  <c r="AH112" i="21"/>
  <c r="AG112" i="21"/>
  <c r="AF112" i="21"/>
  <c r="AE112" i="21"/>
  <c r="AD112" i="21"/>
  <c r="AC112" i="21"/>
  <c r="AB112" i="21"/>
  <c r="Y112" i="21"/>
  <c r="V112" i="21"/>
  <c r="U112" i="21"/>
  <c r="R112" i="21"/>
  <c r="Q112" i="21"/>
  <c r="N112" i="21"/>
  <c r="AI111" i="21"/>
  <c r="AH111" i="21"/>
  <c r="AG111" i="21"/>
  <c r="AF111" i="21"/>
  <c r="AE111" i="21"/>
  <c r="AD111" i="21"/>
  <c r="AC111" i="21"/>
  <c r="AB111" i="21"/>
  <c r="Y111" i="21"/>
  <c r="V111" i="21"/>
  <c r="U111" i="21"/>
  <c r="R111" i="21"/>
  <c r="Q111" i="21"/>
  <c r="N111" i="21"/>
  <c r="AI110" i="21"/>
  <c r="AH110" i="21"/>
  <c r="AG110" i="21"/>
  <c r="AF110" i="21"/>
  <c r="AE110" i="21"/>
  <c r="AD110" i="21"/>
  <c r="AC110" i="21"/>
  <c r="AB110" i="21"/>
  <c r="Y110" i="21"/>
  <c r="V110" i="21"/>
  <c r="U110" i="21"/>
  <c r="R110" i="21"/>
  <c r="Q110" i="21"/>
  <c r="N110" i="21"/>
  <c r="AI109" i="21"/>
  <c r="AH109" i="21"/>
  <c r="AG109" i="21"/>
  <c r="AF109" i="21"/>
  <c r="AE109" i="21"/>
  <c r="AD109" i="21"/>
  <c r="AC109" i="21"/>
  <c r="AB109" i="21"/>
  <c r="Y109" i="21"/>
  <c r="V109" i="21"/>
  <c r="U109" i="21"/>
  <c r="R109" i="21"/>
  <c r="Q109" i="21"/>
  <c r="N109" i="21"/>
  <c r="AI108" i="21"/>
  <c r="AH108" i="21"/>
  <c r="AG108" i="21"/>
  <c r="AF108" i="21"/>
  <c r="AE108" i="21"/>
  <c r="AD108" i="21"/>
  <c r="AC108" i="21"/>
  <c r="AB108" i="21"/>
  <c r="Y108" i="21"/>
  <c r="V108" i="21"/>
  <c r="U108" i="21"/>
  <c r="R108" i="21"/>
  <c r="Q108" i="21"/>
  <c r="N108" i="21"/>
  <c r="G108" i="21"/>
  <c r="AI107" i="21"/>
  <c r="AH107" i="21"/>
  <c r="AG107" i="21"/>
  <c r="AF107" i="21"/>
  <c r="AE107" i="21"/>
  <c r="AD107" i="21"/>
  <c r="AC107" i="21"/>
  <c r="AB107" i="21"/>
  <c r="Y107" i="21"/>
  <c r="V107" i="21"/>
  <c r="U107" i="21"/>
  <c r="R107" i="21"/>
  <c r="Q107" i="21"/>
  <c r="N107" i="21"/>
  <c r="D107" i="21"/>
  <c r="C107" i="21"/>
  <c r="AI106" i="21"/>
  <c r="AH106" i="21"/>
  <c r="AG106" i="21"/>
  <c r="AF106" i="21"/>
  <c r="AE106" i="21"/>
  <c r="AD106" i="21"/>
  <c r="AC106" i="21"/>
  <c r="AB106" i="21"/>
  <c r="Y106" i="21"/>
  <c r="V106" i="21"/>
  <c r="U106" i="21"/>
  <c r="R106" i="21"/>
  <c r="Q106" i="21"/>
  <c r="N106" i="21"/>
  <c r="AI105" i="21"/>
  <c r="AH105" i="21"/>
  <c r="AG105" i="21"/>
  <c r="AF105" i="21"/>
  <c r="AE105" i="21"/>
  <c r="AD105" i="21"/>
  <c r="AC105" i="21"/>
  <c r="AB105" i="21"/>
  <c r="Y105" i="21"/>
  <c r="V105" i="21"/>
  <c r="U105" i="21"/>
  <c r="R105" i="21"/>
  <c r="Q105" i="21"/>
  <c r="N105" i="21"/>
  <c r="AI104" i="21"/>
  <c r="AH104" i="21"/>
  <c r="AG104" i="21"/>
  <c r="AF104" i="21"/>
  <c r="AE104" i="21"/>
  <c r="AD104" i="21"/>
  <c r="AC104" i="21"/>
  <c r="AB104" i="21"/>
  <c r="Y104" i="21"/>
  <c r="V104" i="21"/>
  <c r="U104" i="21"/>
  <c r="R104" i="21"/>
  <c r="Q104" i="21"/>
  <c r="N104" i="21"/>
  <c r="AI103" i="21"/>
  <c r="AH103" i="21"/>
  <c r="AG103" i="21"/>
  <c r="AF103" i="21"/>
  <c r="AE103" i="21"/>
  <c r="AD103" i="21"/>
  <c r="AC103" i="21"/>
  <c r="AB103" i="21"/>
  <c r="Y103" i="21"/>
  <c r="V103" i="21"/>
  <c r="U103" i="21"/>
  <c r="R103" i="21"/>
  <c r="Q103" i="21"/>
  <c r="N103" i="21"/>
  <c r="AI102" i="21"/>
  <c r="AH102" i="21"/>
  <c r="AG102" i="21"/>
  <c r="AF102" i="21"/>
  <c r="AE102" i="21"/>
  <c r="AD102" i="21"/>
  <c r="AC102" i="21"/>
  <c r="AB102" i="21"/>
  <c r="Y102" i="21"/>
  <c r="V102" i="21"/>
  <c r="U102" i="21"/>
  <c r="R102" i="21"/>
  <c r="Q102" i="21"/>
  <c r="N102" i="21"/>
  <c r="AI101" i="21"/>
  <c r="AH101" i="21"/>
  <c r="AG101" i="21"/>
  <c r="AF101" i="21"/>
  <c r="AE101" i="21"/>
  <c r="AD101" i="21"/>
  <c r="AC101" i="21"/>
  <c r="AB101" i="21"/>
  <c r="Y101" i="21"/>
  <c r="V101" i="21"/>
  <c r="U101" i="21"/>
  <c r="R101" i="21"/>
  <c r="Q101" i="21"/>
  <c r="N101" i="21"/>
  <c r="AI100" i="21"/>
  <c r="AH100" i="21"/>
  <c r="AG100" i="21"/>
  <c r="AF100" i="21"/>
  <c r="AE100" i="21"/>
  <c r="AD100" i="21"/>
  <c r="AC100" i="21"/>
  <c r="AB100" i="21"/>
  <c r="Y100" i="21"/>
  <c r="V100" i="21"/>
  <c r="U100" i="21"/>
  <c r="R100" i="21"/>
  <c r="Q100" i="21"/>
  <c r="N100" i="21"/>
  <c r="AI99" i="21"/>
  <c r="AH99" i="21"/>
  <c r="AG99" i="21"/>
  <c r="AF99" i="21"/>
  <c r="AE99" i="21"/>
  <c r="AD99" i="21"/>
  <c r="AC99" i="21"/>
  <c r="AB99" i="21"/>
  <c r="Y99" i="21"/>
  <c r="V99" i="21"/>
  <c r="U99" i="21"/>
  <c r="R99" i="21"/>
  <c r="Q99" i="21"/>
  <c r="N99" i="21"/>
  <c r="AI98" i="21"/>
  <c r="AH98" i="21"/>
  <c r="AG98" i="21"/>
  <c r="AF98" i="21"/>
  <c r="AE98" i="21"/>
  <c r="AD98" i="21"/>
  <c r="AC98" i="21"/>
  <c r="AB98" i="21"/>
  <c r="Y98" i="21"/>
  <c r="V98" i="21"/>
  <c r="U98" i="21"/>
  <c r="R98" i="21"/>
  <c r="Q98" i="21"/>
  <c r="N98" i="21"/>
  <c r="AI97" i="21"/>
  <c r="AH97" i="21"/>
  <c r="AG97" i="21"/>
  <c r="AF97" i="21"/>
  <c r="AE97" i="21"/>
  <c r="AD97" i="21"/>
  <c r="AC97" i="21"/>
  <c r="AB97" i="21"/>
  <c r="Y97" i="21"/>
  <c r="V97" i="21"/>
  <c r="U97" i="21"/>
  <c r="R97" i="21"/>
  <c r="Q97" i="21"/>
  <c r="N97" i="21"/>
  <c r="AI96" i="21"/>
  <c r="AH96" i="21"/>
  <c r="AG96" i="21"/>
  <c r="AF96" i="21"/>
  <c r="AE96" i="21"/>
  <c r="AD96" i="21"/>
  <c r="AC96" i="21"/>
  <c r="AB96" i="21"/>
  <c r="Y96" i="21"/>
  <c r="V96" i="21"/>
  <c r="U96" i="21"/>
  <c r="R96" i="21"/>
  <c r="Q96" i="21"/>
  <c r="N96" i="21"/>
  <c r="N95" i="21"/>
  <c r="N94" i="21"/>
  <c r="F94" i="21"/>
  <c r="E94" i="21"/>
  <c r="N93" i="21"/>
  <c r="F93" i="21"/>
  <c r="E93" i="21"/>
  <c r="C93" i="21"/>
  <c r="N92" i="21"/>
  <c r="F92" i="21"/>
  <c r="E92" i="21"/>
  <c r="C92" i="21"/>
  <c r="N91" i="21"/>
  <c r="F91" i="21"/>
  <c r="E91" i="21"/>
  <c r="C91" i="21"/>
  <c r="N90" i="21"/>
  <c r="F90" i="21"/>
  <c r="E90" i="21"/>
  <c r="C90" i="21"/>
  <c r="N89" i="21"/>
  <c r="F89" i="21"/>
  <c r="E89" i="21"/>
  <c r="C89" i="21"/>
  <c r="N88" i="21"/>
  <c r="F88" i="21"/>
  <c r="E88" i="21"/>
  <c r="C88" i="21"/>
  <c r="N87" i="21"/>
  <c r="F87" i="21"/>
  <c r="E87" i="21"/>
  <c r="C87" i="21"/>
  <c r="N86" i="21"/>
  <c r="F86" i="21"/>
  <c r="E86" i="21"/>
  <c r="C86" i="21"/>
  <c r="N85" i="21"/>
  <c r="F85" i="21"/>
  <c r="E85" i="21"/>
  <c r="C85" i="21"/>
  <c r="N84" i="21"/>
  <c r="F84" i="21"/>
  <c r="E84" i="21"/>
  <c r="C84" i="21"/>
  <c r="N83" i="21"/>
  <c r="F83" i="21"/>
  <c r="E83" i="21"/>
  <c r="C83" i="21"/>
  <c r="N82" i="21"/>
  <c r="F82" i="21"/>
  <c r="E82" i="21"/>
  <c r="C82" i="21"/>
  <c r="N81" i="21"/>
  <c r="N80" i="21"/>
  <c r="N79" i="21"/>
  <c r="N78" i="21"/>
  <c r="N77" i="21"/>
  <c r="N76" i="21"/>
  <c r="N75" i="21"/>
  <c r="N74" i="21"/>
  <c r="N73" i="21"/>
  <c r="N72" i="21"/>
  <c r="N71" i="21"/>
  <c r="N70" i="21"/>
  <c r="N69" i="21"/>
  <c r="N68" i="21"/>
  <c r="N67" i="21"/>
  <c r="N66" i="21"/>
  <c r="N65" i="21"/>
  <c r="U64" i="21"/>
  <c r="N64" i="21"/>
  <c r="N63" i="21"/>
  <c r="N62" i="21"/>
  <c r="N61" i="21"/>
  <c r="N60" i="21"/>
  <c r="N59" i="21"/>
  <c r="N58" i="21"/>
  <c r="N57" i="21"/>
  <c r="U56" i="21"/>
  <c r="N56" i="21"/>
  <c r="N55" i="21"/>
  <c r="N54" i="21"/>
  <c r="N53" i="21"/>
  <c r="N52" i="21"/>
  <c r="N51" i="21"/>
  <c r="N50" i="21"/>
  <c r="N49" i="21"/>
  <c r="N48" i="21"/>
  <c r="N47" i="21"/>
  <c r="N46" i="21"/>
  <c r="N45" i="21"/>
  <c r="N44" i="21"/>
  <c r="N43" i="21"/>
  <c r="N42" i="21"/>
  <c r="N41" i="21"/>
  <c r="N40" i="21"/>
  <c r="E40" i="21"/>
  <c r="F40" i="21" s="1"/>
  <c r="N39" i="21"/>
  <c r="E39" i="21"/>
  <c r="F39" i="21" s="1"/>
  <c r="N38" i="21"/>
  <c r="E38" i="21"/>
  <c r="F38" i="21" s="1"/>
  <c r="N37" i="21"/>
  <c r="E37" i="21"/>
  <c r="F37" i="21" s="1"/>
  <c r="N36" i="21"/>
  <c r="E36" i="21"/>
  <c r="F36" i="21" s="1"/>
  <c r="N35" i="21"/>
  <c r="E35" i="21"/>
  <c r="F35" i="21" s="1"/>
  <c r="N34" i="21"/>
  <c r="E34" i="21"/>
  <c r="F34" i="21" s="1"/>
  <c r="N33" i="21"/>
  <c r="E33" i="21"/>
  <c r="F33" i="21" s="1"/>
  <c r="N32" i="21"/>
  <c r="E32" i="21"/>
  <c r="F32" i="21" s="1"/>
  <c r="N31" i="21"/>
  <c r="E31" i="21"/>
  <c r="F31" i="21" s="1"/>
  <c r="N30" i="21"/>
  <c r="E30" i="21"/>
  <c r="F30" i="21" s="1"/>
  <c r="N29" i="21"/>
  <c r="E29" i="21"/>
  <c r="F29" i="21" s="1"/>
  <c r="N28" i="21"/>
  <c r="E28" i="21"/>
  <c r="F28" i="21" s="1"/>
  <c r="N27" i="21"/>
  <c r="E27" i="21"/>
  <c r="F27" i="21" s="1"/>
  <c r="N26" i="21"/>
  <c r="E26" i="21"/>
  <c r="F26" i="21" s="1"/>
  <c r="N25" i="21"/>
  <c r="E25" i="21"/>
  <c r="F25" i="21" s="1"/>
  <c r="G25" i="21" s="1"/>
  <c r="N24" i="21"/>
  <c r="N23" i="21"/>
  <c r="N22" i="21"/>
  <c r="N21" i="21"/>
  <c r="N20" i="21"/>
  <c r="N19" i="21"/>
  <c r="F19" i="21"/>
  <c r="S5" i="21" s="1"/>
  <c r="T5" i="21" s="1"/>
  <c r="N18" i="21"/>
  <c r="N17" i="21"/>
  <c r="N16" i="21"/>
  <c r="N15" i="21"/>
  <c r="F15" i="21"/>
  <c r="N14" i="21"/>
  <c r="N13" i="21"/>
  <c r="F13" i="21"/>
  <c r="N12" i="21"/>
  <c r="N11" i="21"/>
  <c r="F11" i="21"/>
  <c r="N10" i="21"/>
  <c r="F10" i="21"/>
  <c r="N9" i="21"/>
  <c r="F9" i="21"/>
  <c r="D9" i="21"/>
  <c r="N8" i="21"/>
  <c r="F8" i="21"/>
  <c r="N7" i="21"/>
  <c r="N6" i="21"/>
  <c r="F6" i="21"/>
  <c r="V7" i="21" s="1"/>
  <c r="AI5" i="21"/>
  <c r="N5" i="21"/>
  <c r="F5" i="21"/>
  <c r="U19" i="21" s="1"/>
  <c r="U17" i="21" l="1"/>
  <c r="H91" i="21"/>
  <c r="H87" i="21"/>
  <c r="H93" i="21"/>
  <c r="H92" i="21"/>
  <c r="B88" i="18"/>
  <c r="B90" i="13"/>
  <c r="G35" i="26"/>
  <c r="G34" i="26"/>
  <c r="V53" i="21"/>
  <c r="U48" i="21"/>
  <c r="V61" i="21"/>
  <c r="V77" i="21"/>
  <c r="U87" i="21"/>
  <c r="U6" i="21"/>
  <c r="U9" i="21"/>
  <c r="V48" i="21"/>
  <c r="U51" i="21"/>
  <c r="V56" i="21"/>
  <c r="U59" i="21"/>
  <c r="V64" i="21"/>
  <c r="U67" i="21"/>
  <c r="V72" i="21"/>
  <c r="U75" i="21"/>
  <c r="V80" i="21"/>
  <c r="V83" i="21"/>
  <c r="V87" i="21"/>
  <c r="V91" i="21"/>
  <c r="V69" i="21"/>
  <c r="L29" i="21"/>
  <c r="U46" i="21"/>
  <c r="V51" i="21"/>
  <c r="U54" i="21"/>
  <c r="V59" i="21"/>
  <c r="U62" i="21"/>
  <c r="V67" i="21"/>
  <c r="U70" i="21"/>
  <c r="V75" i="21"/>
  <c r="U78" i="21"/>
  <c r="U82" i="21"/>
  <c r="U86" i="21"/>
  <c r="U90" i="21"/>
  <c r="U94" i="21"/>
  <c r="U83" i="21"/>
  <c r="U91" i="21"/>
  <c r="U7" i="21"/>
  <c r="V46" i="21"/>
  <c r="U49" i="21"/>
  <c r="V54" i="21"/>
  <c r="U57" i="21"/>
  <c r="V62" i="21"/>
  <c r="U65" i="21"/>
  <c r="V70" i="21"/>
  <c r="U73" i="21"/>
  <c r="V78" i="21"/>
  <c r="U81" i="21"/>
  <c r="V82" i="21"/>
  <c r="V86" i="21"/>
  <c r="V90" i="21"/>
  <c r="V94" i="21"/>
  <c r="V15" i="21"/>
  <c r="V49" i="21"/>
  <c r="U52" i="21"/>
  <c r="V57" i="21"/>
  <c r="U60" i="21"/>
  <c r="V65" i="21"/>
  <c r="U68" i="21"/>
  <c r="V73" i="21"/>
  <c r="U76" i="21"/>
  <c r="V81" i="21"/>
  <c r="U85" i="21"/>
  <c r="U89" i="21"/>
  <c r="U93" i="21"/>
  <c r="U72" i="21"/>
  <c r="U20" i="21"/>
  <c r="U47" i="21"/>
  <c r="V52" i="21"/>
  <c r="U55" i="21"/>
  <c r="V60" i="21"/>
  <c r="U63" i="21"/>
  <c r="V68" i="21"/>
  <c r="U71" i="21"/>
  <c r="V76" i="21"/>
  <c r="U79" i="21"/>
  <c r="V85" i="21"/>
  <c r="V89" i="21"/>
  <c r="V93" i="21"/>
  <c r="U95" i="21"/>
  <c r="U80" i="21"/>
  <c r="U16" i="21"/>
  <c r="V47" i="21"/>
  <c r="U50" i="21"/>
  <c r="V55" i="21"/>
  <c r="U58" i="21"/>
  <c r="V63" i="21"/>
  <c r="U66" i="21"/>
  <c r="V71" i="21"/>
  <c r="U74" i="21"/>
  <c r="V79" i="21"/>
  <c r="U84" i="21"/>
  <c r="U88" i="21"/>
  <c r="U92" i="21"/>
  <c r="V95" i="21"/>
  <c r="V50" i="21"/>
  <c r="U53" i="21"/>
  <c r="V58" i="21"/>
  <c r="U61" i="21"/>
  <c r="V66" i="21"/>
  <c r="U69" i="21"/>
  <c r="V74" i="21"/>
  <c r="U77" i="21"/>
  <c r="V84" i="21"/>
  <c r="V88" i="21"/>
  <c r="V92" i="21"/>
  <c r="H90" i="21"/>
  <c r="H89" i="21"/>
  <c r="H83" i="21"/>
  <c r="G26" i="21"/>
  <c r="H85" i="21"/>
  <c r="L8" i="21"/>
  <c r="J6" i="21"/>
  <c r="K6" i="21" s="1"/>
  <c r="M15" i="21"/>
  <c r="L9" i="21"/>
  <c r="B88" i="20"/>
  <c r="B88" i="19"/>
  <c r="H84" i="21"/>
  <c r="V5" i="21"/>
  <c r="L6" i="21"/>
  <c r="V6" i="21"/>
  <c r="M8" i="21"/>
  <c r="M204" i="21"/>
  <c r="M200" i="21"/>
  <c r="M196" i="21"/>
  <c r="M192" i="21"/>
  <c r="M188" i="21"/>
  <c r="M184" i="21"/>
  <c r="M180" i="21"/>
  <c r="M176" i="21"/>
  <c r="M172" i="21"/>
  <c r="M168" i="21"/>
  <c r="M164" i="21"/>
  <c r="M160" i="21"/>
  <c r="M156" i="21"/>
  <c r="M152" i="21"/>
  <c r="L204" i="21"/>
  <c r="J203" i="21"/>
  <c r="L200" i="21"/>
  <c r="J199" i="21"/>
  <c r="L196" i="21"/>
  <c r="J195" i="21"/>
  <c r="L192" i="21"/>
  <c r="J191" i="21"/>
  <c r="L188" i="21"/>
  <c r="J187" i="21"/>
  <c r="L184" i="21"/>
  <c r="J183" i="21"/>
  <c r="L180" i="21"/>
  <c r="J179" i="21"/>
  <c r="L176" i="21"/>
  <c r="J175" i="21"/>
  <c r="L172" i="21"/>
  <c r="J171" i="21"/>
  <c r="L168" i="21"/>
  <c r="J167" i="21"/>
  <c r="L164" i="21"/>
  <c r="J163" i="21"/>
  <c r="L160" i="21"/>
  <c r="J159" i="21"/>
  <c r="L156" i="21"/>
  <c r="J155" i="21"/>
  <c r="M205" i="21"/>
  <c r="M201" i="21"/>
  <c r="M197" i="21"/>
  <c r="M193" i="21"/>
  <c r="M189" i="21"/>
  <c r="M185" i="21"/>
  <c r="M181" i="21"/>
  <c r="M177" i="21"/>
  <c r="M173" i="21"/>
  <c r="M169" i="21"/>
  <c r="M165" i="21"/>
  <c r="M161" i="21"/>
  <c r="M157" i="21"/>
  <c r="M153" i="21"/>
  <c r="L205" i="21"/>
  <c r="J204" i="21"/>
  <c r="L201" i="21"/>
  <c r="J200" i="21"/>
  <c r="L197" i="21"/>
  <c r="J196" i="21"/>
  <c r="L193" i="21"/>
  <c r="J192" i="21"/>
  <c r="L189" i="21"/>
  <c r="J188" i="21"/>
  <c r="L185" i="21"/>
  <c r="J184" i="21"/>
  <c r="L181" i="21"/>
  <c r="J180" i="21"/>
  <c r="L177" i="21"/>
  <c r="J176" i="21"/>
  <c r="L173" i="21"/>
  <c r="J172" i="21"/>
  <c r="L169" i="21"/>
  <c r="J168" i="21"/>
  <c r="L165" i="21"/>
  <c r="J164" i="21"/>
  <c r="L161" i="21"/>
  <c r="J160" i="21"/>
  <c r="L157" i="21"/>
  <c r="J156" i="21"/>
  <c r="L153" i="21"/>
  <c r="J152" i="21"/>
  <c r="L149" i="21"/>
  <c r="J148" i="21"/>
  <c r="L145" i="21"/>
  <c r="J144" i="21"/>
  <c r="L141" i="21"/>
  <c r="J140" i="21"/>
  <c r="L137" i="21"/>
  <c r="J136" i="21"/>
  <c r="L133" i="21"/>
  <c r="J132" i="21"/>
  <c r="L129" i="21"/>
  <c r="J128" i="21"/>
  <c r="J126" i="21"/>
  <c r="L123" i="21"/>
  <c r="M122" i="21"/>
  <c r="M202" i="21"/>
  <c r="M198" i="21"/>
  <c r="M194" i="21"/>
  <c r="M190" i="21"/>
  <c r="M186" i="21"/>
  <c r="M182" i="21"/>
  <c r="M178" i="21"/>
  <c r="M174" i="21"/>
  <c r="M170" i="21"/>
  <c r="M166" i="21"/>
  <c r="M162" i="21"/>
  <c r="M158" i="21"/>
  <c r="J205" i="21"/>
  <c r="L202" i="21"/>
  <c r="J201" i="21"/>
  <c r="L198" i="21"/>
  <c r="J197" i="21"/>
  <c r="L194" i="21"/>
  <c r="J193" i="21"/>
  <c r="L190" i="21"/>
  <c r="J189" i="21"/>
  <c r="L186" i="21"/>
  <c r="J185" i="21"/>
  <c r="L182" i="21"/>
  <c r="J181" i="21"/>
  <c r="L178" i="21"/>
  <c r="J177" i="21"/>
  <c r="L174" i="21"/>
  <c r="J173" i="21"/>
  <c r="L170" i="21"/>
  <c r="J169" i="21"/>
  <c r="L166" i="21"/>
  <c r="J165" i="21"/>
  <c r="L162" i="21"/>
  <c r="J161" i="21"/>
  <c r="L158" i="21"/>
  <c r="J157" i="21"/>
  <c r="L154" i="21"/>
  <c r="J153" i="21"/>
  <c r="L150" i="21"/>
  <c r="J149" i="21"/>
  <c r="L146" i="21"/>
  <c r="J145" i="21"/>
  <c r="L142" i="21"/>
  <c r="J141" i="21"/>
  <c r="L138" i="21"/>
  <c r="J137" i="21"/>
  <c r="M203" i="21"/>
  <c r="M199" i="21"/>
  <c r="M195" i="21"/>
  <c r="M191" i="21"/>
  <c r="M187" i="21"/>
  <c r="M183" i="21"/>
  <c r="M179" i="21"/>
  <c r="M175" i="21"/>
  <c r="M171" i="21"/>
  <c r="M167" i="21"/>
  <c r="M163" i="21"/>
  <c r="M159" i="21"/>
  <c r="M155" i="21"/>
  <c r="M151" i="21"/>
  <c r="M147" i="21"/>
  <c r="M143" i="21"/>
  <c r="M139" i="21"/>
  <c r="M135" i="21"/>
  <c r="M131" i="21"/>
  <c r="M127" i="21"/>
  <c r="M125" i="21"/>
  <c r="J122" i="21"/>
  <c r="L148" i="21"/>
  <c r="L140" i="21"/>
  <c r="L122" i="21"/>
  <c r="M119" i="21"/>
  <c r="M114" i="21"/>
  <c r="M111" i="21"/>
  <c r="L105" i="21"/>
  <c r="J104" i="21"/>
  <c r="L101" i="21"/>
  <c r="J100" i="21"/>
  <c r="L97" i="21"/>
  <c r="J96" i="21"/>
  <c r="J151" i="21"/>
  <c r="M145" i="21"/>
  <c r="J143" i="21"/>
  <c r="M137" i="21"/>
  <c r="J135" i="21"/>
  <c r="J133" i="21"/>
  <c r="J131" i="21"/>
  <c r="J129" i="21"/>
  <c r="J127" i="21"/>
  <c r="L119" i="21"/>
  <c r="J118" i="21"/>
  <c r="J117" i="21"/>
  <c r="L114" i="21"/>
  <c r="M113" i="21"/>
  <c r="L111" i="21"/>
  <c r="J110" i="21"/>
  <c r="M107" i="21"/>
  <c r="M106" i="21"/>
  <c r="M102" i="21"/>
  <c r="M98" i="21"/>
  <c r="M94" i="21"/>
  <c r="L89" i="21"/>
  <c r="M86" i="21"/>
  <c r="L81" i="21"/>
  <c r="L77" i="21"/>
  <c r="L73" i="21"/>
  <c r="L69" i="21"/>
  <c r="L203" i="21"/>
  <c r="J202" i="21"/>
  <c r="L195" i="21"/>
  <c r="J194" i="21"/>
  <c r="L187" i="21"/>
  <c r="J186" i="21"/>
  <c r="L179" i="21"/>
  <c r="J178" i="21"/>
  <c r="L171" i="21"/>
  <c r="J170" i="21"/>
  <c r="L163" i="21"/>
  <c r="J162" i="21"/>
  <c r="M150" i="21"/>
  <c r="M142" i="21"/>
  <c r="M134" i="21"/>
  <c r="M132" i="21"/>
  <c r="M130" i="21"/>
  <c r="M128" i="21"/>
  <c r="L125" i="21"/>
  <c r="M123" i="21"/>
  <c r="M120" i="21"/>
  <c r="M115" i="21"/>
  <c r="L113" i="21"/>
  <c r="M112" i="21"/>
  <c r="M108" i="21"/>
  <c r="L107" i="21"/>
  <c r="L106" i="21"/>
  <c r="J105" i="21"/>
  <c r="L102" i="21"/>
  <c r="J101" i="21"/>
  <c r="L98" i="21"/>
  <c r="J97" i="21"/>
  <c r="L94" i="21"/>
  <c r="L155" i="21"/>
  <c r="M154" i="21"/>
  <c r="J150" i="21"/>
  <c r="L147" i="21"/>
  <c r="M144" i="21"/>
  <c r="J142" i="21"/>
  <c r="L139" i="21"/>
  <c r="M136" i="21"/>
  <c r="L134" i="21"/>
  <c r="L132" i="21"/>
  <c r="L130" i="21"/>
  <c r="L128" i="21"/>
  <c r="L120" i="21"/>
  <c r="J119" i="21"/>
  <c r="L115" i="21"/>
  <c r="J114" i="21"/>
  <c r="L112" i="21"/>
  <c r="J111" i="21"/>
  <c r="L108" i="21"/>
  <c r="M103" i="21"/>
  <c r="M99" i="21"/>
  <c r="M95" i="21"/>
  <c r="L91" i="21"/>
  <c r="M88" i="21"/>
  <c r="L83" i="21"/>
  <c r="L78" i="21"/>
  <c r="L74" i="21"/>
  <c r="L70" i="21"/>
  <c r="J154" i="21"/>
  <c r="L144" i="21"/>
  <c r="L136" i="21"/>
  <c r="J134" i="21"/>
  <c r="J130" i="21"/>
  <c r="J125" i="21"/>
  <c r="J123" i="21"/>
  <c r="M121" i="21"/>
  <c r="M116" i="21"/>
  <c r="J113" i="21"/>
  <c r="M109" i="21"/>
  <c r="J107" i="21"/>
  <c r="J106" i="21"/>
  <c r="L103" i="21"/>
  <c r="J102" i="21"/>
  <c r="L99" i="21"/>
  <c r="J98" i="21"/>
  <c r="L95" i="21"/>
  <c r="M93" i="21"/>
  <c r="L88" i="21"/>
  <c r="M85" i="21"/>
  <c r="M79" i="21"/>
  <c r="L152" i="21"/>
  <c r="M149" i="21"/>
  <c r="J147" i="21"/>
  <c r="M141" i="21"/>
  <c r="J139" i="21"/>
  <c r="M126" i="21"/>
  <c r="M124" i="21"/>
  <c r="L121" i="21"/>
  <c r="J120" i="21"/>
  <c r="L116" i="21"/>
  <c r="J115" i="21"/>
  <c r="J112" i="21"/>
  <c r="L109" i="21"/>
  <c r="J108" i="21"/>
  <c r="M104" i="21"/>
  <c r="M100" i="21"/>
  <c r="M96" i="21"/>
  <c r="L93" i="21"/>
  <c r="M90" i="21"/>
  <c r="L85" i="21"/>
  <c r="M82" i="21"/>
  <c r="L79" i="21"/>
  <c r="L75" i="21"/>
  <c r="L71" i="21"/>
  <c r="L191" i="21"/>
  <c r="L175" i="21"/>
  <c r="L159" i="21"/>
  <c r="M146" i="21"/>
  <c r="M138" i="21"/>
  <c r="L127" i="21"/>
  <c r="L126" i="21"/>
  <c r="J121" i="21"/>
  <c r="J116" i="21"/>
  <c r="J109" i="21"/>
  <c r="J103" i="21"/>
  <c r="J99" i="21"/>
  <c r="L82" i="21"/>
  <c r="M81" i="21"/>
  <c r="M77" i="21"/>
  <c r="J146" i="21"/>
  <c r="J138" i="21"/>
  <c r="M129" i="21"/>
  <c r="M91" i="21"/>
  <c r="M87" i="21"/>
  <c r="L86" i="21"/>
  <c r="M80" i="21"/>
  <c r="M76" i="21"/>
  <c r="M71" i="21"/>
  <c r="M67" i="21"/>
  <c r="M63" i="21"/>
  <c r="M59" i="21"/>
  <c r="M55" i="21"/>
  <c r="M51" i="21"/>
  <c r="M47" i="21"/>
  <c r="M43" i="21"/>
  <c r="M148" i="21"/>
  <c r="M140" i="21"/>
  <c r="L87" i="21"/>
  <c r="M83" i="21"/>
  <c r="L80" i="21"/>
  <c r="L76" i="21"/>
  <c r="J198" i="21"/>
  <c r="J182" i="21"/>
  <c r="J166" i="21"/>
  <c r="L131" i="21"/>
  <c r="M92" i="21"/>
  <c r="M73" i="21"/>
  <c r="M68" i="21"/>
  <c r="M64" i="21"/>
  <c r="M60" i="21"/>
  <c r="M56" i="21"/>
  <c r="M52" i="21"/>
  <c r="M48" i="21"/>
  <c r="M44" i="21"/>
  <c r="M40" i="21"/>
  <c r="L199" i="21"/>
  <c r="L183" i="21"/>
  <c r="L167" i="21"/>
  <c r="M133" i="21"/>
  <c r="L92" i="21"/>
  <c r="M84" i="21"/>
  <c r="M70" i="21"/>
  <c r="L68" i="21"/>
  <c r="L64" i="21"/>
  <c r="L60" i="21"/>
  <c r="L56" i="21"/>
  <c r="L52" i="21"/>
  <c r="L48" i="21"/>
  <c r="L44" i="21"/>
  <c r="L40" i="21"/>
  <c r="M37" i="21"/>
  <c r="M118" i="21"/>
  <c r="M117" i="21"/>
  <c r="M110" i="21"/>
  <c r="L84" i="21"/>
  <c r="M75" i="21"/>
  <c r="M72" i="21"/>
  <c r="M65" i="21"/>
  <c r="M61" i="21"/>
  <c r="M57" i="21"/>
  <c r="M53" i="21"/>
  <c r="M49" i="21"/>
  <c r="M45" i="21"/>
  <c r="M41" i="21"/>
  <c r="L37" i="21"/>
  <c r="L151" i="21"/>
  <c r="L143" i="21"/>
  <c r="L135" i="21"/>
  <c r="L124" i="21"/>
  <c r="L118" i="21"/>
  <c r="L117" i="21"/>
  <c r="L110" i="21"/>
  <c r="M78" i="21"/>
  <c r="L72" i="21"/>
  <c r="L65" i="21"/>
  <c r="L61" i="21"/>
  <c r="L57" i="21"/>
  <c r="L53" i="21"/>
  <c r="L49" i="21"/>
  <c r="L45" i="21"/>
  <c r="L41" i="21"/>
  <c r="M39" i="21"/>
  <c r="M74" i="21"/>
  <c r="L67" i="21"/>
  <c r="M66" i="21"/>
  <c r="L59" i="21"/>
  <c r="M58" i="21"/>
  <c r="L51" i="21"/>
  <c r="M50" i="21"/>
  <c r="L42" i="21"/>
  <c r="L33" i="21"/>
  <c r="J190" i="21"/>
  <c r="L104" i="21"/>
  <c r="L66" i="21"/>
  <c r="L58" i="21"/>
  <c r="L50" i="21"/>
  <c r="M105" i="21"/>
  <c r="M89" i="21"/>
  <c r="J174" i="21"/>
  <c r="L100" i="21"/>
  <c r="L36" i="21"/>
  <c r="L34" i="21"/>
  <c r="M29" i="21"/>
  <c r="L26" i="21"/>
  <c r="L24" i="21"/>
  <c r="L23" i="21"/>
  <c r="L22" i="21"/>
  <c r="L21" i="21"/>
  <c r="M20" i="21"/>
  <c r="M19" i="21"/>
  <c r="M101" i="21"/>
  <c r="L63" i="21"/>
  <c r="M62" i="21"/>
  <c r="L55" i="21"/>
  <c r="M54" i="21"/>
  <c r="L47" i="21"/>
  <c r="M46" i="21"/>
  <c r="M32" i="21"/>
  <c r="J158" i="21"/>
  <c r="J124" i="21"/>
  <c r="L96" i="21"/>
  <c r="L62" i="21"/>
  <c r="L54" i="21"/>
  <c r="L46" i="21"/>
  <c r="M35" i="21"/>
  <c r="L32" i="21"/>
  <c r="M27" i="21"/>
  <c r="M97" i="21"/>
  <c r="L90" i="21"/>
  <c r="M38" i="21"/>
  <c r="L35" i="21"/>
  <c r="M30" i="21"/>
  <c r="L27" i="21"/>
  <c r="L28" i="21"/>
  <c r="M25" i="21"/>
  <c r="M24" i="21"/>
  <c r="L43" i="21"/>
  <c r="M36" i="21"/>
  <c r="M21" i="21"/>
  <c r="M69" i="21"/>
  <c r="L14" i="21"/>
  <c r="L13" i="21"/>
  <c r="M12" i="21"/>
  <c r="M11" i="21"/>
  <c r="M42" i="21"/>
  <c r="L39" i="21"/>
  <c r="L38" i="21"/>
  <c r="M33" i="21"/>
  <c r="M31" i="21"/>
  <c r="L20" i="21"/>
  <c r="L19" i="21"/>
  <c r="L12" i="21"/>
  <c r="L11" i="21"/>
  <c r="M10" i="21"/>
  <c r="M34" i="21"/>
  <c r="L31" i="21"/>
  <c r="M22" i="21"/>
  <c r="M18" i="21"/>
  <c r="L10" i="21"/>
  <c r="M9" i="21"/>
  <c r="M13" i="21"/>
  <c r="V17" i="21"/>
  <c r="U18" i="21"/>
  <c r="L30" i="21"/>
  <c r="V16" i="21"/>
  <c r="X5" i="21"/>
  <c r="M6" i="21"/>
  <c r="V14" i="21"/>
  <c r="L15" i="21"/>
  <c r="V18" i="21"/>
  <c r="M23" i="21"/>
  <c r="L25" i="21"/>
  <c r="G27" i="21"/>
  <c r="U44" i="21"/>
  <c r="U40" i="21"/>
  <c r="U37" i="21"/>
  <c r="U45" i="21"/>
  <c r="U41" i="21"/>
  <c r="U33" i="21"/>
  <c r="U38" i="21"/>
  <c r="U34" i="21"/>
  <c r="U26" i="21"/>
  <c r="U24" i="21"/>
  <c r="U23" i="21"/>
  <c r="U22" i="21"/>
  <c r="U21" i="21"/>
  <c r="U43" i="21"/>
  <c r="U42" i="21"/>
  <c r="U32" i="21"/>
  <c r="U36" i="21"/>
  <c r="U35" i="21"/>
  <c r="U27" i="21"/>
  <c r="U39" i="21"/>
  <c r="U30" i="21"/>
  <c r="U28" i="21"/>
  <c r="U25" i="21"/>
  <c r="U15" i="21"/>
  <c r="U14" i="21"/>
  <c r="U13" i="21"/>
  <c r="U29" i="21"/>
  <c r="U12" i="21"/>
  <c r="U11" i="21"/>
  <c r="U10" i="21"/>
  <c r="J7" i="21"/>
  <c r="L16" i="21"/>
  <c r="L17" i="21"/>
  <c r="M16" i="21"/>
  <c r="M17" i="21"/>
  <c r="L18" i="21"/>
  <c r="M26" i="21"/>
  <c r="M5" i="21"/>
  <c r="O5" i="21" s="1"/>
  <c r="S203" i="21"/>
  <c r="S199" i="21"/>
  <c r="S195" i="21"/>
  <c r="S191" i="21"/>
  <c r="S187" i="21"/>
  <c r="S183" i="21"/>
  <c r="S179" i="21"/>
  <c r="S175" i="21"/>
  <c r="S171" i="21"/>
  <c r="S167" i="21"/>
  <c r="S163" i="21"/>
  <c r="S159" i="21"/>
  <c r="S155" i="21"/>
  <c r="S204" i="21"/>
  <c r="S200" i="21"/>
  <c r="S196" i="21"/>
  <c r="S192" i="21"/>
  <c r="S188" i="21"/>
  <c r="S184" i="21"/>
  <c r="S180" i="21"/>
  <c r="S176" i="21"/>
  <c r="S172" i="21"/>
  <c r="S168" i="21"/>
  <c r="S164" i="21"/>
  <c r="S160" i="21"/>
  <c r="S156" i="21"/>
  <c r="S152" i="21"/>
  <c r="S148" i="21"/>
  <c r="S144" i="21"/>
  <c r="S140" i="21"/>
  <c r="S136" i="21"/>
  <c r="S132" i="21"/>
  <c r="S128" i="21"/>
  <c r="S126" i="21"/>
  <c r="S205" i="21"/>
  <c r="S201" i="21"/>
  <c r="S197" i="21"/>
  <c r="S193" i="21"/>
  <c r="S189" i="21"/>
  <c r="S185" i="21"/>
  <c r="S181" i="21"/>
  <c r="S177" i="21"/>
  <c r="S173" i="21"/>
  <c r="S169" i="21"/>
  <c r="S165" i="21"/>
  <c r="S161" i="21"/>
  <c r="S157" i="21"/>
  <c r="S153" i="21"/>
  <c r="S149" i="21"/>
  <c r="S145" i="21"/>
  <c r="S141" i="21"/>
  <c r="S137" i="21"/>
  <c r="S122" i="21"/>
  <c r="S124" i="21"/>
  <c r="S104" i="21"/>
  <c r="S100" i="21"/>
  <c r="S96" i="21"/>
  <c r="S146" i="21"/>
  <c r="S138" i="21"/>
  <c r="S118" i="21"/>
  <c r="S117" i="21"/>
  <c r="S110" i="21"/>
  <c r="S198" i="21"/>
  <c r="S190" i="21"/>
  <c r="S182" i="21"/>
  <c r="S174" i="21"/>
  <c r="S166" i="21"/>
  <c r="S158" i="21"/>
  <c r="S151" i="21"/>
  <c r="S143" i="21"/>
  <c r="S135" i="21"/>
  <c r="S133" i="21"/>
  <c r="S131" i="21"/>
  <c r="S129" i="21"/>
  <c r="S127" i="21"/>
  <c r="S105" i="21"/>
  <c r="S101" i="21"/>
  <c r="S97" i="21"/>
  <c r="S119" i="21"/>
  <c r="S114" i="21"/>
  <c r="S111" i="21"/>
  <c r="S113" i="21"/>
  <c r="S107" i="21"/>
  <c r="S106" i="21"/>
  <c r="S102" i="21"/>
  <c r="S98" i="21"/>
  <c r="S150" i="21"/>
  <c r="S142" i="21"/>
  <c r="S134" i="21"/>
  <c r="S130" i="21"/>
  <c r="S125" i="21"/>
  <c r="S123" i="21"/>
  <c r="S120" i="21"/>
  <c r="S115" i="21"/>
  <c r="S112" i="21"/>
  <c r="S108" i="21"/>
  <c r="S194" i="21"/>
  <c r="S178" i="21"/>
  <c r="S162" i="21"/>
  <c r="S121" i="21"/>
  <c r="S116" i="21"/>
  <c r="S109" i="21"/>
  <c r="S103" i="21"/>
  <c r="S99" i="21"/>
  <c r="S202" i="21"/>
  <c r="S186" i="21"/>
  <c r="S170" i="21"/>
  <c r="S154" i="21"/>
  <c r="S147" i="21"/>
  <c r="S139" i="21"/>
  <c r="U31" i="21"/>
  <c r="L7" i="21"/>
  <c r="U8" i="21"/>
  <c r="M14" i="21"/>
  <c r="M28" i="21"/>
  <c r="V43" i="21"/>
  <c r="V44" i="21"/>
  <c r="V40" i="21"/>
  <c r="V37" i="21"/>
  <c r="V45" i="21"/>
  <c r="V41" i="21"/>
  <c r="V39" i="21"/>
  <c r="V42" i="21"/>
  <c r="V29" i="21"/>
  <c r="V20" i="21"/>
  <c r="V19" i="21"/>
  <c r="V32" i="21"/>
  <c r="V36" i="21"/>
  <c r="V35" i="21"/>
  <c r="V27" i="21"/>
  <c r="V30" i="21"/>
  <c r="V33" i="21"/>
  <c r="V31" i="21"/>
  <c r="V22" i="21"/>
  <c r="V38" i="21"/>
  <c r="V34" i="21"/>
  <c r="V28" i="21"/>
  <c r="V25" i="21"/>
  <c r="V24" i="21"/>
  <c r="V12" i="21"/>
  <c r="V11" i="21"/>
  <c r="V26" i="21"/>
  <c r="V23" i="21"/>
  <c r="V21" i="21"/>
  <c r="V10" i="21"/>
  <c r="V9" i="21"/>
  <c r="M7" i="21"/>
  <c r="V8" i="21"/>
  <c r="V13" i="21"/>
  <c r="H88" i="21"/>
  <c r="H82" i="21"/>
  <c r="H86" i="21"/>
  <c r="B89" i="18" l="1"/>
  <c r="B91" i="13"/>
  <c r="G37" i="26"/>
  <c r="G36" i="26"/>
  <c r="O6" i="21"/>
  <c r="B89" i="20"/>
  <c r="B89" i="19"/>
  <c r="T154" i="21"/>
  <c r="X154" i="21" s="1"/>
  <c r="T103" i="21"/>
  <c r="X103" i="21" s="1"/>
  <c r="T134" i="21"/>
  <c r="X134" i="21" s="1"/>
  <c r="T107" i="21"/>
  <c r="X107" i="21" s="1"/>
  <c r="T114" i="21"/>
  <c r="X114" i="21" s="1"/>
  <c r="T133" i="21"/>
  <c r="X133" i="21" s="1"/>
  <c r="T190" i="21"/>
  <c r="X190" i="21" s="1"/>
  <c r="T118" i="21"/>
  <c r="X118" i="21" s="1"/>
  <c r="T137" i="21"/>
  <c r="X137" i="21" s="1"/>
  <c r="T169" i="21"/>
  <c r="X169" i="21" s="1"/>
  <c r="T201" i="21"/>
  <c r="X201" i="21" s="1"/>
  <c r="T148" i="21"/>
  <c r="X148" i="21" s="1"/>
  <c r="T180" i="21"/>
  <c r="X180" i="21" s="1"/>
  <c r="T159" i="21"/>
  <c r="X159" i="21" s="1"/>
  <c r="T191" i="21"/>
  <c r="X191" i="21" s="1"/>
  <c r="K190" i="21"/>
  <c r="O190" i="21" s="1"/>
  <c r="K121" i="21"/>
  <c r="O121" i="21" s="1"/>
  <c r="K139" i="21"/>
  <c r="O139" i="21" s="1"/>
  <c r="K106" i="21"/>
  <c r="O106" i="21" s="1"/>
  <c r="K130" i="21"/>
  <c r="O130" i="21" s="1"/>
  <c r="K119" i="21"/>
  <c r="O119" i="21" s="1"/>
  <c r="K142" i="21"/>
  <c r="O142" i="21" s="1"/>
  <c r="K133" i="21"/>
  <c r="O133" i="21" s="1"/>
  <c r="K100" i="21"/>
  <c r="O100" i="21" s="1"/>
  <c r="K137" i="21"/>
  <c r="O137" i="21" s="1"/>
  <c r="K153" i="21"/>
  <c r="O153" i="21" s="1"/>
  <c r="K169" i="21"/>
  <c r="O169" i="21" s="1"/>
  <c r="K185" i="21"/>
  <c r="O185" i="21" s="1"/>
  <c r="K201" i="21"/>
  <c r="O201" i="21" s="1"/>
  <c r="K140" i="21"/>
  <c r="O140" i="21" s="1"/>
  <c r="K156" i="21"/>
  <c r="O156" i="21" s="1"/>
  <c r="K172" i="21"/>
  <c r="O172" i="21" s="1"/>
  <c r="K188" i="21"/>
  <c r="O188" i="21" s="1"/>
  <c r="K204" i="21"/>
  <c r="O204" i="21" s="1"/>
  <c r="K155" i="21"/>
  <c r="O155" i="21" s="1"/>
  <c r="K171" i="21"/>
  <c r="O171" i="21" s="1"/>
  <c r="K187" i="21"/>
  <c r="O187" i="21" s="1"/>
  <c r="K203" i="21"/>
  <c r="O203" i="21" s="1"/>
  <c r="T147" i="21"/>
  <c r="X147" i="21" s="1"/>
  <c r="T130" i="21"/>
  <c r="X130" i="21" s="1"/>
  <c r="T122" i="21"/>
  <c r="X122" i="21" s="1"/>
  <c r="T176" i="21"/>
  <c r="X176" i="21" s="1"/>
  <c r="K146" i="21"/>
  <c r="O146" i="21" s="1"/>
  <c r="K108" i="21"/>
  <c r="O108" i="21" s="1"/>
  <c r="K125" i="21"/>
  <c r="O125" i="21" s="1"/>
  <c r="K178" i="21"/>
  <c r="O178" i="21" s="1"/>
  <c r="T170" i="21"/>
  <c r="X170" i="21" s="1"/>
  <c r="T108" i="21"/>
  <c r="X108" i="21" s="1"/>
  <c r="T142" i="21"/>
  <c r="X142" i="21" s="1"/>
  <c r="T113" i="21"/>
  <c r="X113" i="21" s="1"/>
  <c r="T119" i="21"/>
  <c r="X119" i="21" s="1"/>
  <c r="T135" i="21"/>
  <c r="X135" i="21" s="1"/>
  <c r="T198" i="21"/>
  <c r="X198" i="21" s="1"/>
  <c r="T138" i="21"/>
  <c r="X138" i="21" s="1"/>
  <c r="T141" i="21"/>
  <c r="X141" i="21" s="1"/>
  <c r="T173" i="21"/>
  <c r="X173" i="21" s="1"/>
  <c r="T205" i="21"/>
  <c r="X205" i="21" s="1"/>
  <c r="T152" i="21"/>
  <c r="X152" i="21" s="1"/>
  <c r="T184" i="21"/>
  <c r="X184" i="21" s="1"/>
  <c r="T163" i="21"/>
  <c r="X163" i="21" s="1"/>
  <c r="T195" i="21"/>
  <c r="X195" i="21" s="1"/>
  <c r="G28" i="21"/>
  <c r="K112" i="21"/>
  <c r="O112" i="21" s="1"/>
  <c r="K107" i="21"/>
  <c r="O107" i="21" s="1"/>
  <c r="K134" i="21"/>
  <c r="O134" i="21" s="1"/>
  <c r="K101" i="21"/>
  <c r="O101" i="21" s="1"/>
  <c r="K186" i="21"/>
  <c r="O186" i="21" s="1"/>
  <c r="K135" i="21"/>
  <c r="O135" i="21" s="1"/>
  <c r="K126" i="21"/>
  <c r="O126" i="21" s="1"/>
  <c r="T186" i="21"/>
  <c r="X186" i="21" s="1"/>
  <c r="T109" i="21"/>
  <c r="X109" i="21" s="1"/>
  <c r="T112" i="21"/>
  <c r="X112" i="21" s="1"/>
  <c r="T150" i="21"/>
  <c r="X150" i="21" s="1"/>
  <c r="T97" i="21"/>
  <c r="X97" i="21" s="1"/>
  <c r="T143" i="21"/>
  <c r="X143" i="21" s="1"/>
  <c r="T146" i="21"/>
  <c r="X146" i="21" s="1"/>
  <c r="T145" i="21"/>
  <c r="X145" i="21" s="1"/>
  <c r="T177" i="21"/>
  <c r="X177" i="21" s="1"/>
  <c r="T126" i="21"/>
  <c r="X126" i="21" s="1"/>
  <c r="T156" i="21"/>
  <c r="X156" i="21" s="1"/>
  <c r="T188" i="21"/>
  <c r="X188" i="21" s="1"/>
  <c r="T167" i="21"/>
  <c r="X167" i="21" s="1"/>
  <c r="T199" i="21"/>
  <c r="X199" i="21" s="1"/>
  <c r="K124" i="21"/>
  <c r="O124" i="21" s="1"/>
  <c r="K115" i="21"/>
  <c r="O115" i="21" s="1"/>
  <c r="K147" i="21"/>
  <c r="O147" i="21" s="1"/>
  <c r="K117" i="21"/>
  <c r="O117" i="21" s="1"/>
  <c r="K104" i="21"/>
  <c r="O104" i="21" s="1"/>
  <c r="K122" i="21"/>
  <c r="O122" i="21" s="1"/>
  <c r="K141" i="21"/>
  <c r="O141" i="21" s="1"/>
  <c r="K157" i="21"/>
  <c r="O157" i="21" s="1"/>
  <c r="K173" i="21"/>
  <c r="O173" i="21" s="1"/>
  <c r="K189" i="21"/>
  <c r="O189" i="21" s="1"/>
  <c r="K205" i="21"/>
  <c r="O205" i="21" s="1"/>
  <c r="K128" i="21"/>
  <c r="O128" i="21" s="1"/>
  <c r="K144" i="21"/>
  <c r="O144" i="21" s="1"/>
  <c r="K160" i="21"/>
  <c r="O160" i="21" s="1"/>
  <c r="K176" i="21"/>
  <c r="O176" i="21" s="1"/>
  <c r="K192" i="21"/>
  <c r="O192" i="21" s="1"/>
  <c r="K159" i="21"/>
  <c r="O159" i="21" s="1"/>
  <c r="K175" i="21"/>
  <c r="O175" i="21" s="1"/>
  <c r="K191" i="21"/>
  <c r="O191" i="21" s="1"/>
  <c r="T99" i="21"/>
  <c r="X99" i="21" s="1"/>
  <c r="T111" i="21"/>
  <c r="X111" i="21" s="1"/>
  <c r="T165" i="21"/>
  <c r="X165" i="21" s="1"/>
  <c r="T155" i="21"/>
  <c r="X155" i="21" s="1"/>
  <c r="T202" i="21"/>
  <c r="X202" i="21" s="1"/>
  <c r="T116" i="21"/>
  <c r="X116" i="21" s="1"/>
  <c r="T115" i="21"/>
  <c r="X115" i="21" s="1"/>
  <c r="T101" i="21"/>
  <c r="X101" i="21" s="1"/>
  <c r="T151" i="21"/>
  <c r="X151" i="21" s="1"/>
  <c r="T96" i="21"/>
  <c r="X96" i="21" s="1"/>
  <c r="T149" i="21"/>
  <c r="X149" i="21" s="1"/>
  <c r="T181" i="21"/>
  <c r="X181" i="21" s="1"/>
  <c r="T128" i="21"/>
  <c r="X128" i="21" s="1"/>
  <c r="T160" i="21"/>
  <c r="X160" i="21" s="1"/>
  <c r="T192" i="21"/>
  <c r="X192" i="21" s="1"/>
  <c r="T171" i="21"/>
  <c r="X171" i="21" s="1"/>
  <c r="T203" i="21"/>
  <c r="X203" i="21" s="1"/>
  <c r="K158" i="21"/>
  <c r="O158" i="21" s="1"/>
  <c r="K113" i="21"/>
  <c r="O113" i="21" s="1"/>
  <c r="K150" i="21"/>
  <c r="O150" i="21" s="1"/>
  <c r="K105" i="21"/>
  <c r="O105" i="21" s="1"/>
  <c r="K162" i="21"/>
  <c r="O162" i="21" s="1"/>
  <c r="K194" i="21"/>
  <c r="O194" i="21" s="1"/>
  <c r="K118" i="21"/>
  <c r="O118" i="21" s="1"/>
  <c r="K143" i="21"/>
  <c r="O143" i="21" s="1"/>
  <c r="T131" i="21"/>
  <c r="X131" i="21" s="1"/>
  <c r="T117" i="21"/>
  <c r="X117" i="21" s="1"/>
  <c r="T144" i="21"/>
  <c r="X144" i="21" s="1"/>
  <c r="T187" i="21"/>
  <c r="X187" i="21" s="1"/>
  <c r="K7" i="21"/>
  <c r="O7" i="21" s="1"/>
  <c r="K198" i="21"/>
  <c r="O198" i="21" s="1"/>
  <c r="K116" i="21"/>
  <c r="O116" i="21" s="1"/>
  <c r="K97" i="21"/>
  <c r="O97" i="21" s="1"/>
  <c r="K131" i="21"/>
  <c r="O131" i="21" s="1"/>
  <c r="T121" i="21"/>
  <c r="X121" i="21" s="1"/>
  <c r="T120" i="21"/>
  <c r="X120" i="21" s="1"/>
  <c r="T105" i="21"/>
  <c r="X105" i="21" s="1"/>
  <c r="T158" i="21"/>
  <c r="X158" i="21" s="1"/>
  <c r="T100" i="21"/>
  <c r="X100" i="21" s="1"/>
  <c r="T153" i="21"/>
  <c r="X153" i="21" s="1"/>
  <c r="T185" i="21"/>
  <c r="X185" i="21" s="1"/>
  <c r="T132" i="21"/>
  <c r="X132" i="21" s="1"/>
  <c r="T164" i="21"/>
  <c r="X164" i="21" s="1"/>
  <c r="T196" i="21"/>
  <c r="X196" i="21" s="1"/>
  <c r="T175" i="21"/>
  <c r="X175" i="21" s="1"/>
  <c r="K174" i="21"/>
  <c r="O174" i="21" s="1"/>
  <c r="K99" i="21"/>
  <c r="O99" i="21" s="1"/>
  <c r="K120" i="21"/>
  <c r="O120" i="21" s="1"/>
  <c r="K98" i="21"/>
  <c r="O98" i="21" s="1"/>
  <c r="K154" i="21"/>
  <c r="O154" i="21" s="1"/>
  <c r="K111" i="21"/>
  <c r="O111" i="21" s="1"/>
  <c r="K145" i="21"/>
  <c r="O145" i="21" s="1"/>
  <c r="K161" i="21"/>
  <c r="O161" i="21" s="1"/>
  <c r="K177" i="21"/>
  <c r="O177" i="21" s="1"/>
  <c r="K193" i="21"/>
  <c r="O193" i="21" s="1"/>
  <c r="K132" i="21"/>
  <c r="O132" i="21" s="1"/>
  <c r="K148" i="21"/>
  <c r="O148" i="21" s="1"/>
  <c r="K164" i="21"/>
  <c r="O164" i="21" s="1"/>
  <c r="K180" i="21"/>
  <c r="O180" i="21" s="1"/>
  <c r="K196" i="21"/>
  <c r="O196" i="21" s="1"/>
  <c r="K163" i="21"/>
  <c r="O163" i="21" s="1"/>
  <c r="K179" i="21"/>
  <c r="O179" i="21" s="1"/>
  <c r="K195" i="21"/>
  <c r="O195" i="21" s="1"/>
  <c r="G29" i="21"/>
  <c r="T162" i="21"/>
  <c r="X162" i="21" s="1"/>
  <c r="T123" i="21"/>
  <c r="X123" i="21" s="1"/>
  <c r="T98" i="21"/>
  <c r="X98" i="21" s="1"/>
  <c r="T127" i="21"/>
  <c r="X127" i="21" s="1"/>
  <c r="T166" i="21"/>
  <c r="X166" i="21" s="1"/>
  <c r="T104" i="21"/>
  <c r="X104" i="21" s="1"/>
  <c r="T157" i="21"/>
  <c r="X157" i="21" s="1"/>
  <c r="T189" i="21"/>
  <c r="X189" i="21" s="1"/>
  <c r="T136" i="21"/>
  <c r="X136" i="21" s="1"/>
  <c r="T168" i="21"/>
  <c r="X168" i="21" s="1"/>
  <c r="T200" i="21"/>
  <c r="X200" i="21" s="1"/>
  <c r="T179" i="21"/>
  <c r="X179" i="21" s="1"/>
  <c r="K166" i="21"/>
  <c r="O166" i="21" s="1"/>
  <c r="K103" i="21"/>
  <c r="O103" i="21" s="1"/>
  <c r="K170" i="21"/>
  <c r="O170" i="21" s="1"/>
  <c r="K202" i="21"/>
  <c r="O202" i="21" s="1"/>
  <c r="K127" i="21"/>
  <c r="O127" i="21" s="1"/>
  <c r="K151" i="21"/>
  <c r="O151" i="21" s="1"/>
  <c r="T194" i="21"/>
  <c r="X194" i="21" s="1"/>
  <c r="T106" i="21"/>
  <c r="X106" i="21" s="1"/>
  <c r="T182" i="21"/>
  <c r="X182" i="21" s="1"/>
  <c r="T197" i="21"/>
  <c r="X197" i="21" s="1"/>
  <c r="T139" i="21"/>
  <c r="X139" i="21" s="1"/>
  <c r="T178" i="21"/>
  <c r="X178" i="21" s="1"/>
  <c r="T125" i="21"/>
  <c r="X125" i="21" s="1"/>
  <c r="T102" i="21"/>
  <c r="X102" i="21" s="1"/>
  <c r="T129" i="21"/>
  <c r="X129" i="21" s="1"/>
  <c r="T174" i="21"/>
  <c r="X174" i="21" s="1"/>
  <c r="T110" i="21"/>
  <c r="X110" i="21" s="1"/>
  <c r="T124" i="21"/>
  <c r="X124" i="21" s="1"/>
  <c r="T161" i="21"/>
  <c r="X161" i="21" s="1"/>
  <c r="T193" i="21"/>
  <c r="X193" i="21" s="1"/>
  <c r="T140" i="21"/>
  <c r="X140" i="21" s="1"/>
  <c r="T172" i="21"/>
  <c r="X172" i="21" s="1"/>
  <c r="T204" i="21"/>
  <c r="X204" i="21" s="1"/>
  <c r="T183" i="21"/>
  <c r="X183" i="21" s="1"/>
  <c r="Y5" i="21"/>
  <c r="K182" i="21"/>
  <c r="O182" i="21" s="1"/>
  <c r="K138" i="21"/>
  <c r="O138" i="21" s="1"/>
  <c r="K109" i="21"/>
  <c r="O109" i="21" s="1"/>
  <c r="K102" i="21"/>
  <c r="O102" i="21" s="1"/>
  <c r="K123" i="21"/>
  <c r="O123" i="21" s="1"/>
  <c r="K114" i="21"/>
  <c r="O114" i="21" s="1"/>
  <c r="K110" i="21"/>
  <c r="O110" i="21" s="1"/>
  <c r="K129" i="21"/>
  <c r="O129" i="21" s="1"/>
  <c r="K96" i="21"/>
  <c r="O96" i="21" s="1"/>
  <c r="K149" i="21"/>
  <c r="O149" i="21" s="1"/>
  <c r="K165" i="21"/>
  <c r="O165" i="21" s="1"/>
  <c r="K181" i="21"/>
  <c r="O181" i="21" s="1"/>
  <c r="K197" i="21"/>
  <c r="O197" i="21" s="1"/>
  <c r="K136" i="21"/>
  <c r="O136" i="21" s="1"/>
  <c r="K152" i="21"/>
  <c r="O152" i="21" s="1"/>
  <c r="K168" i="21"/>
  <c r="O168" i="21" s="1"/>
  <c r="K184" i="21"/>
  <c r="O184" i="21" s="1"/>
  <c r="K200" i="21"/>
  <c r="O200" i="21" s="1"/>
  <c r="K167" i="21"/>
  <c r="O167" i="21" s="1"/>
  <c r="K183" i="21"/>
  <c r="O183" i="21" s="1"/>
  <c r="K199" i="21"/>
  <c r="O199" i="21" s="1"/>
  <c r="J8" i="21"/>
  <c r="B90" i="18" l="1"/>
  <c r="B92" i="13"/>
  <c r="G39" i="26"/>
  <c r="G38" i="26"/>
  <c r="B90" i="20"/>
  <c r="B90" i="19"/>
  <c r="G30" i="21"/>
  <c r="G31" i="21"/>
  <c r="K8" i="21"/>
  <c r="O8" i="21" s="1"/>
  <c r="J9" i="21"/>
  <c r="B91" i="18" l="1"/>
  <c r="B93" i="13"/>
  <c r="G41" i="26"/>
  <c r="G40" i="26"/>
  <c r="B91" i="20"/>
  <c r="B91" i="19"/>
  <c r="G33" i="21"/>
  <c r="G32" i="21"/>
  <c r="K9" i="21"/>
  <c r="O9" i="21" s="1"/>
  <c r="J10" i="21"/>
  <c r="AM35" i="21"/>
  <c r="AC35" i="21"/>
  <c r="AB35" i="21"/>
  <c r="AL35" i="21"/>
  <c r="AO35" i="21"/>
  <c r="AN35" i="21" l="1"/>
  <c r="AR35" i="21" s="1"/>
  <c r="AP35" i="21"/>
  <c r="AT35" i="21" s="1"/>
  <c r="AD35" i="21"/>
  <c r="AE35" i="21"/>
  <c r="B92" i="18"/>
  <c r="G43" i="26"/>
  <c r="G42" i="26"/>
  <c r="G42" i="21"/>
  <c r="G41" i="21"/>
  <c r="B92" i="20"/>
  <c r="B92" i="19"/>
  <c r="G34" i="21"/>
  <c r="AQ35" i="21"/>
  <c r="AS35" i="21"/>
  <c r="G35" i="21"/>
  <c r="K10" i="21"/>
  <c r="O10" i="21" s="1"/>
  <c r="J11" i="21"/>
  <c r="B93" i="18" l="1"/>
  <c r="G45" i="26"/>
  <c r="G44" i="26"/>
  <c r="G43" i="21"/>
  <c r="G44" i="21"/>
  <c r="B93" i="20"/>
  <c r="B93" i="19"/>
  <c r="G36" i="21"/>
  <c r="K11" i="21"/>
  <c r="O11" i="21" s="1"/>
  <c r="J12" i="21"/>
  <c r="G37" i="21"/>
  <c r="G47" i="26" l="1"/>
  <c r="G46" i="26"/>
  <c r="G45" i="21"/>
  <c r="G46" i="21"/>
  <c r="AD47" i="21"/>
  <c r="G39" i="21"/>
  <c r="G40" i="21"/>
  <c r="G38" i="21"/>
  <c r="K12" i="21"/>
  <c r="O12" i="21" s="1"/>
  <c r="J13" i="21"/>
  <c r="AB47" i="21" l="1"/>
  <c r="AE41" i="21"/>
  <c r="AM23" i="21"/>
  <c r="AB41" i="21"/>
  <c r="G49" i="26"/>
  <c r="G48" i="26"/>
  <c r="AD53" i="21"/>
  <c r="AN26" i="21"/>
  <c r="AM29" i="21"/>
  <c r="AC29" i="21"/>
  <c r="G48" i="21"/>
  <c r="G47" i="21"/>
  <c r="AP26" i="21"/>
  <c r="AC41" i="21"/>
  <c r="AC53" i="21"/>
  <c r="AD78" i="21"/>
  <c r="AE47" i="21"/>
  <c r="AN29" i="21"/>
  <c r="AL29" i="21"/>
  <c r="AD29" i="21"/>
  <c r="AE26" i="21"/>
  <c r="AE53" i="21"/>
  <c r="AD41" i="21"/>
  <c r="AP29" i="21"/>
  <c r="AC26" i="21"/>
  <c r="AO29" i="21"/>
  <c r="AE29" i="21"/>
  <c r="AB53" i="21"/>
  <c r="AB26" i="21"/>
  <c r="AB29" i="21"/>
  <c r="AC47" i="21"/>
  <c r="AE31" i="21"/>
  <c r="AC58" i="21"/>
  <c r="AC57" i="21"/>
  <c r="AE74" i="21"/>
  <c r="AO13" i="21"/>
  <c r="AE76" i="21"/>
  <c r="AC83" i="21"/>
  <c r="AB78" i="21"/>
  <c r="AE88" i="21"/>
  <c r="AC60" i="21"/>
  <c r="AB90" i="21"/>
  <c r="AD80" i="21"/>
  <c r="AC74" i="21"/>
  <c r="AC75" i="21"/>
  <c r="AD34" i="21"/>
  <c r="AP31" i="21"/>
  <c r="AP19" i="21"/>
  <c r="AE28" i="21"/>
  <c r="AO31" i="21"/>
  <c r="AE5" i="21"/>
  <c r="AB65" i="21"/>
  <c r="AB66" i="21"/>
  <c r="AE90" i="21"/>
  <c r="AC93" i="21"/>
  <c r="AB91" i="21"/>
  <c r="AE71" i="21"/>
  <c r="AD69" i="21"/>
  <c r="AE87" i="21"/>
  <c r="AB77" i="21"/>
  <c r="AC86" i="21"/>
  <c r="AD95" i="21"/>
  <c r="AB59" i="21"/>
  <c r="AC87" i="21"/>
  <c r="AC94" i="21"/>
  <c r="AB57" i="21"/>
  <c r="AB74" i="21"/>
  <c r="AC95" i="21"/>
  <c r="AC40" i="21"/>
  <c r="AC27" i="21"/>
  <c r="AD92" i="21"/>
  <c r="AC62" i="21"/>
  <c r="AD94" i="21"/>
  <c r="AE95" i="21"/>
  <c r="AD83" i="21"/>
  <c r="AC71" i="21"/>
  <c r="AP8" i="21"/>
  <c r="AC67" i="21"/>
  <c r="AC63" i="21"/>
  <c r="AB86" i="21"/>
  <c r="AE92" i="21"/>
  <c r="AE58" i="21"/>
  <c r="AB88" i="21"/>
  <c r="AB62" i="21"/>
  <c r="AN15" i="21"/>
  <c r="AE45" i="21"/>
  <c r="AM12" i="21"/>
  <c r="AB36" i="21"/>
  <c r="AB17" i="21"/>
  <c r="AP25" i="21"/>
  <c r="AM8" i="21"/>
  <c r="AB9" i="21"/>
  <c r="AP17" i="21"/>
  <c r="AE64" i="21"/>
  <c r="AB83" i="21"/>
  <c r="AD86" i="21"/>
  <c r="AB85" i="21"/>
  <c r="AE89" i="21"/>
  <c r="AC78" i="21"/>
  <c r="AC79" i="21"/>
  <c r="AD67" i="21"/>
  <c r="AD60" i="21"/>
  <c r="AE84" i="21"/>
  <c r="AC61" i="21"/>
  <c r="AB67" i="21"/>
  <c r="AD72" i="21"/>
  <c r="AB69" i="21"/>
  <c r="AB60" i="21"/>
  <c r="AC77" i="21"/>
  <c r="AD84" i="21"/>
  <c r="AN9" i="21"/>
  <c r="AL33" i="21"/>
  <c r="AC76" i="21"/>
  <c r="AM6" i="21"/>
  <c r="AE33" i="21"/>
  <c r="AD22" i="21"/>
  <c r="AE15" i="21"/>
  <c r="AE65" i="21"/>
  <c r="AE75" i="21"/>
  <c r="AE73" i="21"/>
  <c r="AD81" i="21"/>
  <c r="AC66" i="21"/>
  <c r="AE30" i="21"/>
  <c r="AE8" i="21"/>
  <c r="AN21" i="21"/>
  <c r="AN27" i="21"/>
  <c r="AP6" i="21"/>
  <c r="AE52" i="21"/>
  <c r="AE69" i="21"/>
  <c r="AE61" i="21"/>
  <c r="AB58" i="21"/>
  <c r="AE72" i="21"/>
  <c r="AC68" i="21"/>
  <c r="AD68" i="21"/>
  <c r="AE94" i="21"/>
  <c r="AB68" i="21"/>
  <c r="AC65" i="21"/>
  <c r="AB81" i="21"/>
  <c r="AD63" i="21"/>
  <c r="AE68" i="21"/>
  <c r="AD87" i="21"/>
  <c r="AD82" i="21"/>
  <c r="AB70" i="21"/>
  <c r="AE83" i="21"/>
  <c r="AC90" i="21"/>
  <c r="AD50" i="21"/>
  <c r="AE91" i="21"/>
  <c r="AB63" i="21"/>
  <c r="AC85" i="21"/>
  <c r="AC89" i="21"/>
  <c r="AD62" i="21"/>
  <c r="AC69" i="21"/>
  <c r="AB56" i="21"/>
  <c r="AB72" i="21"/>
  <c r="AD58" i="21"/>
  <c r="AE70" i="21"/>
  <c r="AB82" i="21"/>
  <c r="AE59" i="21"/>
  <c r="AC56" i="21"/>
  <c r="AB93" i="21"/>
  <c r="AB64" i="21"/>
  <c r="AE56" i="21"/>
  <c r="AC82" i="21"/>
  <c r="AB94" i="21"/>
  <c r="AB79" i="21"/>
  <c r="AE93" i="21"/>
  <c r="AD71" i="21"/>
  <c r="AD59" i="21"/>
  <c r="AE66" i="21"/>
  <c r="AE80" i="21"/>
  <c r="AC24" i="21"/>
  <c r="AO22" i="21"/>
  <c r="AB20" i="21"/>
  <c r="AD44" i="21"/>
  <c r="AD73" i="21"/>
  <c r="AD76" i="21"/>
  <c r="AE81" i="21"/>
  <c r="AC91" i="21"/>
  <c r="AC73" i="21"/>
  <c r="AC88" i="21"/>
  <c r="AP15" i="21"/>
  <c r="AO28" i="21"/>
  <c r="AC44" i="21"/>
  <c r="AO17" i="21"/>
  <c r="AB31" i="21"/>
  <c r="AB52" i="21"/>
  <c r="AD70" i="21"/>
  <c r="AC80" i="21"/>
  <c r="AE77" i="21"/>
  <c r="AE63" i="21"/>
  <c r="AC81" i="21"/>
  <c r="AD65" i="21"/>
  <c r="AB89" i="21"/>
  <c r="AB71" i="21"/>
  <c r="AC84" i="21"/>
  <c r="AB92" i="21"/>
  <c r="AE82" i="21"/>
  <c r="AE86" i="21"/>
  <c r="AE62" i="21"/>
  <c r="AD77" i="21"/>
  <c r="AD74" i="21"/>
  <c r="AB73" i="21"/>
  <c r="AB61" i="21"/>
  <c r="AE79" i="21"/>
  <c r="AN11" i="21"/>
  <c r="AB87" i="21"/>
  <c r="AD91" i="21"/>
  <c r="AC92" i="21"/>
  <c r="AC6" i="21"/>
  <c r="AD24" i="21"/>
  <c r="AP5" i="21"/>
  <c r="AC46" i="21"/>
  <c r="AB76" i="21"/>
  <c r="AD88" i="21"/>
  <c r="AB80" i="21"/>
  <c r="AD61" i="21"/>
  <c r="AE57" i="21"/>
  <c r="AD56" i="21"/>
  <c r="AD64" i="21"/>
  <c r="AE12" i="21"/>
  <c r="AC38" i="21"/>
  <c r="AB40" i="21"/>
  <c r="AP20" i="21"/>
  <c r="AB8" i="21"/>
  <c r="AO24" i="21"/>
  <c r="AE48" i="21"/>
  <c r="AB75" i="21"/>
  <c r="AE67" i="21"/>
  <c r="AD57" i="21"/>
  <c r="AC72" i="21"/>
  <c r="AE60" i="21"/>
  <c r="AD93" i="21"/>
  <c r="AE85" i="21"/>
  <c r="AC70" i="21"/>
  <c r="AD79" i="21"/>
  <c r="AB84" i="21"/>
  <c r="AC59" i="21"/>
  <c r="AD89" i="21"/>
  <c r="AD90" i="21"/>
  <c r="AD66" i="21"/>
  <c r="AC64" i="21"/>
  <c r="AD85" i="21"/>
  <c r="AD75" i="21"/>
  <c r="AE78" i="21"/>
  <c r="AE18" i="21"/>
  <c r="AL13" i="21"/>
  <c r="AM19" i="21"/>
  <c r="AM13" i="21"/>
  <c r="AP9" i="21"/>
  <c r="AN30" i="21"/>
  <c r="AD51" i="21"/>
  <c r="AB43" i="21"/>
  <c r="AB37" i="21"/>
  <c r="AN6" i="21"/>
  <c r="AM17" i="21"/>
  <c r="AE13" i="21"/>
  <c r="AL27" i="21"/>
  <c r="AB22" i="21"/>
  <c r="AM20" i="21"/>
  <c r="AO8" i="21"/>
  <c r="AD10" i="21"/>
  <c r="AO15" i="21"/>
  <c r="AM31" i="21"/>
  <c r="AC21" i="21"/>
  <c r="AE7" i="21"/>
  <c r="AM25" i="21"/>
  <c r="AB32" i="21"/>
  <c r="AC39" i="21"/>
  <c r="AL9" i="21"/>
  <c r="AB11" i="21"/>
  <c r="AC8" i="21"/>
  <c r="AE25" i="21"/>
  <c r="AB13" i="21"/>
  <c r="AC10" i="21"/>
  <c r="AE50" i="21"/>
  <c r="AC49" i="21"/>
  <c r="AB46" i="21"/>
  <c r="AC25" i="21"/>
  <c r="AN34" i="21"/>
  <c r="AM18" i="21"/>
  <c r="AL28" i="21"/>
  <c r="AD27" i="21"/>
  <c r="AC50" i="21"/>
  <c r="AD25" i="21"/>
  <c r="AP10" i="21"/>
  <c r="AN18" i="21"/>
  <c r="AL15" i="21"/>
  <c r="AD40" i="21"/>
  <c r="AB45" i="21"/>
  <c r="AE20" i="21"/>
  <c r="AE34" i="21"/>
  <c r="AL8" i="21"/>
  <c r="AD19" i="21"/>
  <c r="AE21" i="21"/>
  <c r="AP32" i="21"/>
  <c r="AO14" i="21"/>
  <c r="AE37" i="21"/>
  <c r="AP24" i="21"/>
  <c r="AM15" i="21"/>
  <c r="AM24" i="21"/>
  <c r="AD45" i="21"/>
  <c r="AE14" i="21"/>
  <c r="AO25" i="21"/>
  <c r="AN25" i="21"/>
  <c r="AM30" i="21"/>
  <c r="AN28" i="21"/>
  <c r="AO6" i="21"/>
  <c r="AC48" i="21"/>
  <c r="AC55" i="21"/>
  <c r="AD6" i="21"/>
  <c r="AC16" i="21"/>
  <c r="AD31" i="21"/>
  <c r="AL18" i="21"/>
  <c r="AE11" i="21"/>
  <c r="AP27" i="21"/>
  <c r="AM32" i="21"/>
  <c r="AM34" i="21"/>
  <c r="AP13" i="21"/>
  <c r="AN31" i="21"/>
  <c r="AO33" i="21"/>
  <c r="AS33" i="21" s="1"/>
  <c r="AE9" i="21"/>
  <c r="AC13" i="21"/>
  <c r="AB12" i="21"/>
  <c r="AP34" i="21"/>
  <c r="AN19" i="21"/>
  <c r="AP12" i="21"/>
  <c r="AL12" i="21"/>
  <c r="AQ12" i="21" s="1"/>
  <c r="AN24" i="21"/>
  <c r="AO27" i="21"/>
  <c r="AC11" i="21"/>
  <c r="AM7" i="21"/>
  <c r="AN32" i="21"/>
  <c r="AE6" i="21"/>
  <c r="AB42" i="21"/>
  <c r="AM28" i="21"/>
  <c r="AP18" i="21"/>
  <c r="AP14" i="21"/>
  <c r="AD46" i="21"/>
  <c r="AM27" i="21"/>
  <c r="AC5" i="21"/>
  <c r="AL25" i="21"/>
  <c r="AC51" i="21"/>
  <c r="AL19" i="21"/>
  <c r="AE17" i="21"/>
  <c r="AD18" i="21"/>
  <c r="AE27" i="21"/>
  <c r="AC15" i="21"/>
  <c r="AL6" i="21"/>
  <c r="AY6" i="21" s="1"/>
  <c r="AE42" i="21"/>
  <c r="AC18" i="21"/>
  <c r="AC33" i="21"/>
  <c r="AB6" i="21"/>
  <c r="AC20" i="21"/>
  <c r="AD37" i="21"/>
  <c r="AC9" i="21"/>
  <c r="AO12" i="21"/>
  <c r="AC12" i="21"/>
  <c r="AC30" i="21"/>
  <c r="AE16" i="21"/>
  <c r="AP22" i="21"/>
  <c r="AE39" i="21"/>
  <c r="AE10" i="21"/>
  <c r="AL24" i="21"/>
  <c r="AN16" i="21"/>
  <c r="AE46" i="21"/>
  <c r="AB49" i="21"/>
  <c r="AC34" i="21"/>
  <c r="AD54" i="21"/>
  <c r="AD52" i="21"/>
  <c r="AB50" i="21"/>
  <c r="AC54" i="21"/>
  <c r="AB48" i="21"/>
  <c r="AD49" i="21"/>
  <c r="AE54" i="21"/>
  <c r="AB54" i="21"/>
  <c r="AO9" i="21"/>
  <c r="AO21" i="21"/>
  <c r="AC36" i="21"/>
  <c r="AB24" i="21"/>
  <c r="AL31" i="21"/>
  <c r="AC17" i="21"/>
  <c r="AD36" i="21"/>
  <c r="AD5" i="21"/>
  <c r="AB21" i="21"/>
  <c r="AN10" i="21"/>
  <c r="AO19" i="21"/>
  <c r="AD8" i="21"/>
  <c r="AD13" i="21"/>
  <c r="AD38" i="21"/>
  <c r="AE44" i="21"/>
  <c r="AL34" i="21"/>
  <c r="AP21" i="21"/>
  <c r="AO7" i="21"/>
  <c r="AE19" i="21"/>
  <c r="AN22" i="21"/>
  <c r="AD32" i="21"/>
  <c r="AB14" i="21"/>
  <c r="AD48" i="21"/>
  <c r="AB51" i="21"/>
  <c r="AC52" i="21"/>
  <c r="AD55" i="21"/>
  <c r="AE55" i="21"/>
  <c r="AE51" i="21"/>
  <c r="AE49" i="21"/>
  <c r="AB28" i="21"/>
  <c r="AM21" i="21"/>
  <c r="AM22" i="21"/>
  <c r="AL21" i="21"/>
  <c r="AB15" i="21"/>
  <c r="AM5" i="21"/>
  <c r="AE36" i="21"/>
  <c r="AM10" i="21"/>
  <c r="AN13" i="21"/>
  <c r="AM9" i="21"/>
  <c r="AE24" i="21"/>
  <c r="AP7" i="21"/>
  <c r="AL16" i="21"/>
  <c r="AL10" i="21"/>
  <c r="AN20" i="21"/>
  <c r="AD14" i="21"/>
  <c r="AB30" i="21"/>
  <c r="AN12" i="21"/>
  <c r="AO32" i="21"/>
  <c r="AE32" i="21"/>
  <c r="AE43" i="21"/>
  <c r="AB34" i="21"/>
  <c r="AC37" i="21"/>
  <c r="AM14" i="21"/>
  <c r="AD16" i="21"/>
  <c r="AO18" i="21"/>
  <c r="AP11" i="21"/>
  <c r="AL14" i="21"/>
  <c r="AP16" i="21"/>
  <c r="AC22" i="21"/>
  <c r="AB18" i="21"/>
  <c r="AL32" i="21"/>
  <c r="AM11" i="21"/>
  <c r="AD12" i="21"/>
  <c r="AN7" i="21"/>
  <c r="AB10" i="21"/>
  <c r="AM16" i="21"/>
  <c r="AN33" i="21"/>
  <c r="AB44" i="21"/>
  <c r="K13" i="21"/>
  <c r="O13" i="21" s="1"/>
  <c r="J14" i="21"/>
  <c r="AN5" i="21"/>
  <c r="AO16" i="21"/>
  <c r="AL22" i="21"/>
  <c r="AE40" i="21"/>
  <c r="AC7" i="21"/>
  <c r="AL17" i="21"/>
  <c r="AO5" i="21"/>
  <c r="AB16" i="21"/>
  <c r="AD7" i="21"/>
  <c r="AC42" i="21"/>
  <c r="AP33" i="21"/>
  <c r="AL11" i="21"/>
  <c r="AO20" i="21"/>
  <c r="AB39" i="21"/>
  <c r="AL30" i="21"/>
  <c r="AB19" i="21"/>
  <c r="AD28" i="21"/>
  <c r="AM33" i="21"/>
  <c r="AE22" i="21"/>
  <c r="AB33" i="21"/>
  <c r="AL20" i="21"/>
  <c r="AO11" i="21"/>
  <c r="AD11" i="21"/>
  <c r="AB25" i="21"/>
  <c r="AC43" i="21"/>
  <c r="AD43" i="21"/>
  <c r="AC19" i="21"/>
  <c r="AO34" i="21"/>
  <c r="AD33" i="21"/>
  <c r="AD15" i="21"/>
  <c r="AP30" i="21"/>
  <c r="AC14" i="21"/>
  <c r="AB7" i="21"/>
  <c r="AB38" i="21"/>
  <c r="AD9" i="21"/>
  <c r="AE38" i="21"/>
  <c r="AP28" i="21"/>
  <c r="AC31" i="21"/>
  <c r="AN8" i="21"/>
  <c r="AD30" i="21"/>
  <c r="AD17" i="21"/>
  <c r="AO10" i="21"/>
  <c r="AD20" i="21"/>
  <c r="AD21" i="21"/>
  <c r="AL7" i="21"/>
  <c r="AN14" i="21"/>
  <c r="AC32" i="21"/>
  <c r="AO30" i="21"/>
  <c r="AC45" i="21"/>
  <c r="AD39" i="21"/>
  <c r="AB27" i="21"/>
  <c r="AN17" i="21"/>
  <c r="AC28" i="21"/>
  <c r="AD42" i="21"/>
  <c r="AQ33" i="21" l="1"/>
  <c r="AY7" i="21"/>
  <c r="AY8" i="21" s="1"/>
  <c r="AY9" i="21" s="1"/>
  <c r="AY10" i="21" s="1"/>
  <c r="AY11" i="21" s="1"/>
  <c r="AY12" i="21" s="1"/>
  <c r="AY13" i="21" s="1"/>
  <c r="AY14" i="21" s="1"/>
  <c r="AY15" i="21" s="1"/>
  <c r="AY16" i="21" s="1"/>
  <c r="AY17" i="21" s="1"/>
  <c r="AY18" i="21" s="1"/>
  <c r="AY19" i="21" s="1"/>
  <c r="AY20" i="21" s="1"/>
  <c r="AY21" i="21" s="1"/>
  <c r="AY22" i="21" s="1"/>
  <c r="AR33" i="21"/>
  <c r="AT19" i="21"/>
  <c r="AS25" i="21"/>
  <c r="AQ8" i="21"/>
  <c r="AQ15" i="21"/>
  <c r="AR34" i="21"/>
  <c r="AR31" i="21"/>
  <c r="AT6" i="21"/>
  <c r="G51" i="26"/>
  <c r="G50" i="26"/>
  <c r="AS28" i="21"/>
  <c r="AT27" i="21"/>
  <c r="AT18" i="21"/>
  <c r="AS24" i="21"/>
  <c r="AF6" i="21"/>
  <c r="AF7" i="21" s="1"/>
  <c r="AR25" i="21"/>
  <c r="AQ18" i="21"/>
  <c r="AQ25" i="21"/>
  <c r="AS13" i="21"/>
  <c r="AQ31" i="21"/>
  <c r="AQ19" i="21"/>
  <c r="AQ27" i="21"/>
  <c r="AT29" i="21"/>
  <c r="AR29" i="21"/>
  <c r="AQ29" i="21"/>
  <c r="AS29" i="21"/>
  <c r="G49" i="21"/>
  <c r="G50" i="21"/>
  <c r="AS12" i="21"/>
  <c r="AT12" i="21"/>
  <c r="AS34" i="21"/>
  <c r="AT25" i="21"/>
  <c r="AR19" i="21"/>
  <c r="AQ34" i="21"/>
  <c r="AS9" i="21"/>
  <c r="AT33" i="21"/>
  <c r="AT34" i="21"/>
  <c r="AT15" i="21"/>
  <c r="AR15" i="21"/>
  <c r="AT28" i="21"/>
  <c r="AR28" i="21"/>
  <c r="AR24" i="21"/>
  <c r="AR27" i="21"/>
  <c r="AT31" i="21"/>
  <c r="AQ28" i="21"/>
  <c r="AS27" i="21"/>
  <c r="AR12" i="21"/>
  <c r="AS18" i="21"/>
  <c r="AS19" i="21"/>
  <c r="AH6" i="21"/>
  <c r="AH7" i="21" s="1"/>
  <c r="AH8" i="21" s="1"/>
  <c r="AH9" i="21" s="1"/>
  <c r="AH10" i="21" s="1"/>
  <c r="AH11" i="21" s="1"/>
  <c r="AH12" i="21" s="1"/>
  <c r="AH13" i="21" s="1"/>
  <c r="AH14" i="21" s="1"/>
  <c r="AH15" i="21" s="1"/>
  <c r="AH16" i="21" s="1"/>
  <c r="AH17" i="21" s="1"/>
  <c r="AH18" i="21" s="1"/>
  <c r="AH19" i="21" s="1"/>
  <c r="AH20" i="21" s="1"/>
  <c r="AH21" i="21" s="1"/>
  <c r="AH22" i="21" s="1"/>
  <c r="AG6" i="21"/>
  <c r="AG7" i="21" s="1"/>
  <c r="AG8" i="21" s="1"/>
  <c r="AG9" i="21" s="1"/>
  <c r="AG10" i="21" s="1"/>
  <c r="AG11" i="21" s="1"/>
  <c r="AG12" i="21" s="1"/>
  <c r="AG13" i="21" s="1"/>
  <c r="AG14" i="21" s="1"/>
  <c r="AG15" i="21" s="1"/>
  <c r="AG16" i="21" s="1"/>
  <c r="AG17" i="21" s="1"/>
  <c r="AG18" i="21" s="1"/>
  <c r="AG19" i="21" s="1"/>
  <c r="AG20" i="21" s="1"/>
  <c r="AG21" i="21" s="1"/>
  <c r="AG22" i="21" s="1"/>
  <c r="AR18" i="21"/>
  <c r="AS15" i="21"/>
  <c r="AT13" i="21"/>
  <c r="AS8" i="21"/>
  <c r="AQ13" i="21"/>
  <c r="AS6" i="21"/>
  <c r="AT8" i="21"/>
  <c r="AS31" i="21"/>
  <c r="AQ9" i="21"/>
  <c r="AR6" i="21"/>
  <c r="AT9" i="21"/>
  <c r="AR9" i="21"/>
  <c r="AQ6" i="21"/>
  <c r="AT24" i="21"/>
  <c r="AR8" i="21"/>
  <c r="AR13" i="21"/>
  <c r="AQ24" i="21"/>
  <c r="AT22" i="21"/>
  <c r="AS22" i="21"/>
  <c r="AR22" i="21"/>
  <c r="AQ22" i="21"/>
  <c r="K14" i="21"/>
  <c r="O14" i="21" s="1"/>
  <c r="J15" i="21"/>
  <c r="AR32" i="21"/>
  <c r="AQ32" i="21"/>
  <c r="AT32" i="21"/>
  <c r="AS32" i="21"/>
  <c r="AR16" i="21"/>
  <c r="AS16" i="21"/>
  <c r="AQ16" i="21"/>
  <c r="AT16" i="21"/>
  <c r="AQ11" i="21"/>
  <c r="AT11" i="21"/>
  <c r="AR11" i="21"/>
  <c r="AS11" i="21"/>
  <c r="AS21" i="21"/>
  <c r="AQ21" i="21"/>
  <c r="AR21" i="21"/>
  <c r="AT21" i="21"/>
  <c r="AR10" i="21"/>
  <c r="AQ10" i="21"/>
  <c r="AT10" i="21"/>
  <c r="AS10" i="21"/>
  <c r="AT7" i="21"/>
  <c r="AS7" i="21"/>
  <c r="AR7" i="21"/>
  <c r="AQ7" i="21"/>
  <c r="AQ20" i="21"/>
  <c r="AS20" i="21"/>
  <c r="AR20" i="21"/>
  <c r="AT20" i="21"/>
  <c r="AR17" i="21"/>
  <c r="AQ17" i="21"/>
  <c r="AS17" i="21"/>
  <c r="AT17" i="21"/>
  <c r="AT30" i="21"/>
  <c r="AR30" i="21"/>
  <c r="AQ30" i="21"/>
  <c r="AS30" i="21"/>
  <c r="AS14" i="21"/>
  <c r="AR14" i="21"/>
  <c r="AQ14" i="21"/>
  <c r="AT14" i="21"/>
  <c r="G52" i="26" l="1"/>
  <c r="G51" i="21"/>
  <c r="AI6" i="21"/>
  <c r="AI7" i="21"/>
  <c r="AF8" i="21"/>
  <c r="K15" i="21"/>
  <c r="O15" i="21" s="1"/>
  <c r="J16" i="21"/>
  <c r="G53" i="21" l="1"/>
  <c r="Q82" i="21" s="1"/>
  <c r="G52" i="21"/>
  <c r="Q81" i="21"/>
  <c r="Q79" i="21"/>
  <c r="Q77" i="21"/>
  <c r="Q75" i="21"/>
  <c r="Q73" i="21"/>
  <c r="Q71" i="21"/>
  <c r="Q69" i="21"/>
  <c r="Q67" i="21"/>
  <c r="Q65" i="21"/>
  <c r="Q63" i="21"/>
  <c r="Q61" i="21"/>
  <c r="Q59" i="21"/>
  <c r="Q57" i="21"/>
  <c r="Q55" i="21"/>
  <c r="Q53" i="21"/>
  <c r="Q51" i="21"/>
  <c r="Q49" i="21"/>
  <c r="Q47" i="21"/>
  <c r="Q83" i="21"/>
  <c r="Q85" i="21"/>
  <c r="Q84" i="21"/>
  <c r="Q80" i="21"/>
  <c r="Q78" i="21"/>
  <c r="Q76" i="21"/>
  <c r="Q74" i="21"/>
  <c r="Q72" i="21"/>
  <c r="Q70" i="21"/>
  <c r="Q68" i="21"/>
  <c r="Q66" i="21"/>
  <c r="Q64" i="21"/>
  <c r="Q62" i="21"/>
  <c r="Q60" i="21"/>
  <c r="Q58" i="21"/>
  <c r="Q56" i="21"/>
  <c r="Q54" i="21"/>
  <c r="Q52" i="21"/>
  <c r="Q50" i="21"/>
  <c r="Q48" i="21"/>
  <c r="Q46" i="21"/>
  <c r="Q30" i="21"/>
  <c r="Q34" i="21"/>
  <c r="Q6" i="21"/>
  <c r="R6" i="21" s="1"/>
  <c r="S6" i="21" s="1"/>
  <c r="T6" i="21" s="1"/>
  <c r="X6" i="21" s="1"/>
  <c r="Y6" i="21" s="1"/>
  <c r="Q13" i="21"/>
  <c r="Q29" i="21"/>
  <c r="Q18" i="21"/>
  <c r="Q44" i="21"/>
  <c r="Q11" i="21"/>
  <c r="Q16" i="21"/>
  <c r="Q45" i="21"/>
  <c r="Q32" i="21"/>
  <c r="Q20" i="21"/>
  <c r="Q19" i="21"/>
  <c r="Q12" i="21"/>
  <c r="Q21" i="21"/>
  <c r="Q35" i="21"/>
  <c r="Q28" i="21"/>
  <c r="Q27" i="21"/>
  <c r="Q39" i="21"/>
  <c r="Q33" i="21"/>
  <c r="Q17" i="21"/>
  <c r="Q42" i="21"/>
  <c r="Q15" i="21"/>
  <c r="Q36" i="21"/>
  <c r="Q43" i="21"/>
  <c r="Q31" i="21"/>
  <c r="Q8" i="21"/>
  <c r="Q23" i="21"/>
  <c r="Q14" i="21"/>
  <c r="Q26" i="21"/>
  <c r="Q40" i="21"/>
  <c r="Q9" i="21"/>
  <c r="Q10" i="21"/>
  <c r="Q38" i="21"/>
  <c r="Q37" i="21"/>
  <c r="Q24" i="21"/>
  <c r="Q25" i="21"/>
  <c r="Q22" i="21"/>
  <c r="Q7" i="21"/>
  <c r="Q41" i="21"/>
  <c r="AE23" i="21"/>
  <c r="AP23" i="21"/>
  <c r="AD26" i="21"/>
  <c r="AN23" i="21"/>
  <c r="AO23" i="21"/>
  <c r="AB23" i="21"/>
  <c r="AL26" i="21"/>
  <c r="AD23" i="21"/>
  <c r="AL23" i="21"/>
  <c r="AY23" i="21" s="1"/>
  <c r="AY24" i="21" s="1"/>
  <c r="AY25" i="21" s="1"/>
  <c r="AM26" i="21"/>
  <c r="AC23" i="21"/>
  <c r="AO26" i="21"/>
  <c r="AI8" i="21"/>
  <c r="AF9" i="21"/>
  <c r="K16" i="21"/>
  <c r="O16" i="21" s="1"/>
  <c r="J17" i="21"/>
  <c r="AY26" i="21" l="1"/>
  <c r="AY27" i="21" s="1"/>
  <c r="AY28" i="21" s="1"/>
  <c r="AY29" i="21" s="1"/>
  <c r="AY30" i="21" s="1"/>
  <c r="AY31" i="21" s="1"/>
  <c r="AY32" i="21" s="1"/>
  <c r="AY33" i="21" s="1"/>
  <c r="AY34" i="21" s="1"/>
  <c r="AY35" i="21" s="1"/>
  <c r="C123" i="21" s="1"/>
  <c r="E123" i="21" s="1"/>
  <c r="E127" i="21" s="1"/>
  <c r="J23" i="24" s="1"/>
  <c r="R7" i="21"/>
  <c r="S7" i="21" s="1"/>
  <c r="T7" i="21" s="1"/>
  <c r="X7" i="21" s="1"/>
  <c r="Y7" i="21" s="1"/>
  <c r="G54" i="21"/>
  <c r="AS26" i="21"/>
  <c r="AT26" i="21"/>
  <c r="AQ26" i="21"/>
  <c r="AR26" i="21"/>
  <c r="AG23" i="21"/>
  <c r="AG24" i="21" s="1"/>
  <c r="AG25" i="21" s="1"/>
  <c r="AG26" i="21" s="1"/>
  <c r="AG27" i="21" s="1"/>
  <c r="AG28" i="21" s="1"/>
  <c r="AG29" i="21" s="1"/>
  <c r="AG30" i="21" s="1"/>
  <c r="AG31" i="21" s="1"/>
  <c r="AG32" i="21" s="1"/>
  <c r="AG33" i="21" s="1"/>
  <c r="AG34" i="21" s="1"/>
  <c r="AG35" i="21" s="1"/>
  <c r="AG36" i="21" s="1"/>
  <c r="AG37" i="21" s="1"/>
  <c r="AG38" i="21" s="1"/>
  <c r="AG39" i="21" s="1"/>
  <c r="AG40" i="21" s="1"/>
  <c r="AG41" i="21" s="1"/>
  <c r="AG42" i="21" s="1"/>
  <c r="AG43" i="21" s="1"/>
  <c r="AG44" i="21" s="1"/>
  <c r="AG45" i="21" s="1"/>
  <c r="AG46" i="21" s="1"/>
  <c r="AG47" i="21" s="1"/>
  <c r="AG48" i="21" s="1"/>
  <c r="AG49" i="21" s="1"/>
  <c r="AG50" i="21" s="1"/>
  <c r="AG51" i="21" s="1"/>
  <c r="AG52" i="21" s="1"/>
  <c r="AG53" i="21" s="1"/>
  <c r="AG54" i="21" s="1"/>
  <c r="AH23" i="21"/>
  <c r="AH24" i="21" s="1"/>
  <c r="AH25" i="21" s="1"/>
  <c r="AH26" i="21" s="1"/>
  <c r="AH27" i="21" s="1"/>
  <c r="AH28" i="21" s="1"/>
  <c r="AH29" i="21" s="1"/>
  <c r="AH30" i="21" s="1"/>
  <c r="AH31" i="21" s="1"/>
  <c r="AH32" i="21" s="1"/>
  <c r="AH33" i="21" s="1"/>
  <c r="AH34" i="21" s="1"/>
  <c r="AH35" i="21" s="1"/>
  <c r="AH36" i="21" s="1"/>
  <c r="AH37" i="21" s="1"/>
  <c r="AH38" i="21" s="1"/>
  <c r="AH39" i="21" s="1"/>
  <c r="AH40" i="21" s="1"/>
  <c r="AH41" i="21" s="1"/>
  <c r="AH42" i="21" s="1"/>
  <c r="AH43" i="21" s="1"/>
  <c r="AH44" i="21" s="1"/>
  <c r="AH45" i="21" s="1"/>
  <c r="AH46" i="21" s="1"/>
  <c r="AH47" i="21" s="1"/>
  <c r="AH48" i="21" s="1"/>
  <c r="AH49" i="21" s="1"/>
  <c r="AH50" i="21" s="1"/>
  <c r="AH51" i="21" s="1"/>
  <c r="AH52" i="21" s="1"/>
  <c r="AH53" i="21" s="1"/>
  <c r="AH54" i="21" s="1"/>
  <c r="AT23" i="21"/>
  <c r="AR23" i="21"/>
  <c r="AQ23" i="21"/>
  <c r="AS23" i="21"/>
  <c r="AI9" i="21"/>
  <c r="AF10" i="21"/>
  <c r="K17" i="21"/>
  <c r="O17" i="21" s="1"/>
  <c r="J18" i="21"/>
  <c r="R8" i="21" l="1"/>
  <c r="S8" i="21" s="1"/>
  <c r="T8" i="21" s="1"/>
  <c r="X8" i="21" s="1"/>
  <c r="Y8" i="21" s="1"/>
  <c r="Q88" i="21"/>
  <c r="Q86" i="21"/>
  <c r="C94" i="21"/>
  <c r="AB55" i="21" s="1"/>
  <c r="AH55" i="21" s="1"/>
  <c r="AH56" i="21" s="1"/>
  <c r="AH57" i="21" s="1"/>
  <c r="AH58" i="21" s="1"/>
  <c r="AH59" i="21" s="1"/>
  <c r="AH60" i="21" s="1"/>
  <c r="AH61" i="21" s="1"/>
  <c r="AH62" i="21" s="1"/>
  <c r="AH63" i="21" s="1"/>
  <c r="AH64" i="21" s="1"/>
  <c r="AH65" i="21" s="1"/>
  <c r="AH66" i="21" s="1"/>
  <c r="AH67" i="21" s="1"/>
  <c r="AH68" i="21" s="1"/>
  <c r="AH69" i="21" s="1"/>
  <c r="AH70" i="21" s="1"/>
  <c r="AH71" i="21" s="1"/>
  <c r="AH72" i="21" s="1"/>
  <c r="AH73" i="21" s="1"/>
  <c r="AH74" i="21" s="1"/>
  <c r="AH75" i="21" s="1"/>
  <c r="AH76" i="21" s="1"/>
  <c r="AH77" i="21" s="1"/>
  <c r="AH78" i="21" s="1"/>
  <c r="AH79" i="21" s="1"/>
  <c r="AH80" i="21" s="1"/>
  <c r="AH81" i="21" s="1"/>
  <c r="AH82" i="21" s="1"/>
  <c r="AH83" i="21" s="1"/>
  <c r="AH84" i="21" s="1"/>
  <c r="AH85" i="21" s="1"/>
  <c r="AH86" i="21" s="1"/>
  <c r="AH87" i="21" s="1"/>
  <c r="AH88" i="21" s="1"/>
  <c r="AH89" i="21" s="1"/>
  <c r="AH90" i="21" s="1"/>
  <c r="AH91" i="21" s="1"/>
  <c r="AH92" i="21" s="1"/>
  <c r="AH93" i="21" s="1"/>
  <c r="AH94" i="21" s="1"/>
  <c r="Q89" i="21"/>
  <c r="AF11" i="21"/>
  <c r="AI10" i="21"/>
  <c r="K18" i="21"/>
  <c r="O18" i="21" s="1"/>
  <c r="J19" i="21"/>
  <c r="AG55" i="21" l="1"/>
  <c r="AG56" i="21" s="1"/>
  <c r="AG57" i="21" s="1"/>
  <c r="AG58" i="21" s="1"/>
  <c r="AG59" i="21" s="1"/>
  <c r="AG60" i="21" s="1"/>
  <c r="AG61" i="21" s="1"/>
  <c r="AG62" i="21" s="1"/>
  <c r="AG63" i="21" s="1"/>
  <c r="AG64" i="21" s="1"/>
  <c r="AG65" i="21" s="1"/>
  <c r="AG66" i="21" s="1"/>
  <c r="AG67" i="21" s="1"/>
  <c r="AG68" i="21" s="1"/>
  <c r="AG69" i="21" s="1"/>
  <c r="AG70" i="21" s="1"/>
  <c r="AG71" i="21" s="1"/>
  <c r="AG72" i="21" s="1"/>
  <c r="AG73" i="21" s="1"/>
  <c r="AG74" i="21" s="1"/>
  <c r="AG75" i="21" s="1"/>
  <c r="AG76" i="21" s="1"/>
  <c r="AG77" i="21" s="1"/>
  <c r="AG78" i="21" s="1"/>
  <c r="AG79" i="21" s="1"/>
  <c r="AG80" i="21" s="1"/>
  <c r="AG81" i="21" s="1"/>
  <c r="AG82" i="21" s="1"/>
  <c r="AG83" i="21" s="1"/>
  <c r="AG84" i="21" s="1"/>
  <c r="AG85" i="21" s="1"/>
  <c r="AG86" i="21" s="1"/>
  <c r="AG87" i="21" s="1"/>
  <c r="AG88" i="21" s="1"/>
  <c r="AG89" i="21" s="1"/>
  <c r="AG90" i="21" s="1"/>
  <c r="AG91" i="21" s="1"/>
  <c r="AG92" i="21" s="1"/>
  <c r="AG93" i="21" s="1"/>
  <c r="AG94" i="21" s="1"/>
  <c r="AB5" i="21"/>
  <c r="AL5" i="21"/>
  <c r="Q87" i="21"/>
  <c r="Q90" i="21"/>
  <c r="R9" i="21"/>
  <c r="S9" i="21" s="1"/>
  <c r="T9" i="21" s="1"/>
  <c r="X9" i="21" s="1"/>
  <c r="Y9" i="21" s="1"/>
  <c r="AB95" i="21"/>
  <c r="H94" i="21"/>
  <c r="Q91" i="21"/>
  <c r="Q92" i="21"/>
  <c r="Q95" i="21"/>
  <c r="Q93" i="21"/>
  <c r="Q94" i="21"/>
  <c r="K19" i="21"/>
  <c r="O19" i="21" s="1"/>
  <c r="J20" i="21"/>
  <c r="AF12" i="21"/>
  <c r="AI11" i="21"/>
  <c r="R10" i="21" l="1"/>
  <c r="R11" i="21" s="1"/>
  <c r="AG95" i="21"/>
  <c r="AH95" i="21"/>
  <c r="K20" i="21"/>
  <c r="O20" i="21" s="1"/>
  <c r="J21" i="21"/>
  <c r="AF13" i="21"/>
  <c r="AI12" i="21"/>
  <c r="S10" i="21" l="1"/>
  <c r="T10" i="21" s="1"/>
  <c r="X10" i="21" s="1"/>
  <c r="Y10" i="21" s="1"/>
  <c r="S11" i="21"/>
  <c r="T11" i="21" s="1"/>
  <c r="X11" i="21" s="1"/>
  <c r="Y11" i="21" s="1"/>
  <c r="R12" i="21"/>
  <c r="AF14" i="21"/>
  <c r="AI13" i="21"/>
  <c r="K21" i="21"/>
  <c r="O21" i="21" s="1"/>
  <c r="J22" i="21"/>
  <c r="C94" i="26" l="1"/>
  <c r="S12" i="21"/>
  <c r="T12" i="21" s="1"/>
  <c r="X12" i="21" s="1"/>
  <c r="Y12" i="21" s="1"/>
  <c r="R13" i="21"/>
  <c r="K22" i="21"/>
  <c r="O22" i="21" s="1"/>
  <c r="J23" i="21"/>
  <c r="AF15" i="21"/>
  <c r="AI14" i="21"/>
  <c r="S13" i="21" l="1"/>
  <c r="T13" i="21" s="1"/>
  <c r="X13" i="21" s="1"/>
  <c r="Y13" i="21" s="1"/>
  <c r="R14" i="21"/>
  <c r="AF16" i="21"/>
  <c r="AI15" i="21"/>
  <c r="K23" i="21"/>
  <c r="O23" i="21" s="1"/>
  <c r="J24" i="21"/>
  <c r="S14" i="21" l="1"/>
  <c r="T14" i="21" s="1"/>
  <c r="X14" i="21" s="1"/>
  <c r="Y14" i="21" s="1"/>
  <c r="R15" i="21"/>
  <c r="AI16" i="21"/>
  <c r="AF17" i="21"/>
  <c r="K24" i="21"/>
  <c r="O24" i="21" s="1"/>
  <c r="J25" i="21"/>
  <c r="R16" i="21" l="1"/>
  <c r="S15" i="21"/>
  <c r="T15" i="21" s="1"/>
  <c r="X15" i="21" s="1"/>
  <c r="Y15" i="21" s="1"/>
  <c r="AI17" i="21"/>
  <c r="AF18" i="21"/>
  <c r="K25" i="21"/>
  <c r="O25" i="21" s="1"/>
  <c r="J26" i="21"/>
  <c r="R17" i="21" l="1"/>
  <c r="S16" i="21"/>
  <c r="T16" i="21" s="1"/>
  <c r="X16" i="21" s="1"/>
  <c r="Y16" i="21" s="1"/>
  <c r="K26" i="21"/>
  <c r="O26" i="21" s="1"/>
  <c r="J27" i="21"/>
  <c r="AI18" i="21"/>
  <c r="AF19" i="21"/>
  <c r="S17" i="21" l="1"/>
  <c r="T17" i="21" s="1"/>
  <c r="X17" i="21" s="1"/>
  <c r="Y17" i="21" s="1"/>
  <c r="R18" i="21"/>
  <c r="AF20" i="21"/>
  <c r="AI19" i="21"/>
  <c r="K27" i="21"/>
  <c r="O27" i="21" s="1"/>
  <c r="J28" i="21"/>
  <c r="S18" i="21" l="1"/>
  <c r="T18" i="21" s="1"/>
  <c r="X18" i="21" s="1"/>
  <c r="Y18" i="21" s="1"/>
  <c r="R19" i="21"/>
  <c r="AF21" i="21"/>
  <c r="AI20" i="21"/>
  <c r="K28" i="21"/>
  <c r="O28" i="21" s="1"/>
  <c r="J29" i="21"/>
  <c r="S19" i="21" l="1"/>
  <c r="T19" i="21" s="1"/>
  <c r="X19" i="21" s="1"/>
  <c r="Y19" i="21" s="1"/>
  <c r="R20" i="21"/>
  <c r="K29" i="21"/>
  <c r="O29" i="21" s="1"/>
  <c r="J30" i="21"/>
  <c r="AF22" i="21"/>
  <c r="AI21" i="21"/>
  <c r="S20" i="21" l="1"/>
  <c r="T20" i="21" s="1"/>
  <c r="X20" i="21" s="1"/>
  <c r="Y20" i="21" s="1"/>
  <c r="R21" i="21"/>
  <c r="AF23" i="21"/>
  <c r="AI22" i="21"/>
  <c r="K30" i="21"/>
  <c r="O30" i="21" s="1"/>
  <c r="J31" i="21"/>
  <c r="S21" i="21" l="1"/>
  <c r="T21" i="21" s="1"/>
  <c r="X21" i="21" s="1"/>
  <c r="Y21" i="21" s="1"/>
  <c r="R22" i="21"/>
  <c r="K31" i="21"/>
  <c r="O31" i="21" s="1"/>
  <c r="J32" i="21"/>
  <c r="AF24" i="21"/>
  <c r="AI23" i="21"/>
  <c r="S22" i="21" l="1"/>
  <c r="T22" i="21" s="1"/>
  <c r="X22" i="21" s="1"/>
  <c r="Y22" i="21" s="1"/>
  <c r="R23" i="21"/>
  <c r="AI24" i="21"/>
  <c r="AF25" i="21"/>
  <c r="K32" i="21"/>
  <c r="O32" i="21" s="1"/>
  <c r="J33" i="21"/>
  <c r="R24" i="21" l="1"/>
  <c r="S23" i="21"/>
  <c r="T23" i="21" s="1"/>
  <c r="X23" i="21" s="1"/>
  <c r="Y23" i="21" s="1"/>
  <c r="K33" i="21"/>
  <c r="O33" i="21" s="1"/>
  <c r="J34" i="21"/>
  <c r="AF26" i="21"/>
  <c r="AI25" i="21"/>
  <c r="R25" i="21" l="1"/>
  <c r="S24" i="21"/>
  <c r="T24" i="21" s="1"/>
  <c r="X24" i="21" s="1"/>
  <c r="Y24" i="21" s="1"/>
  <c r="AF27" i="21"/>
  <c r="AI26" i="21"/>
  <c r="K34" i="21"/>
  <c r="O34" i="21" s="1"/>
  <c r="J35" i="21"/>
  <c r="R26" i="21" l="1"/>
  <c r="S25" i="21"/>
  <c r="T25" i="21" s="1"/>
  <c r="X25" i="21" s="1"/>
  <c r="Y25" i="21" s="1"/>
  <c r="K35" i="21"/>
  <c r="O35" i="21" s="1"/>
  <c r="D114" i="21" s="1"/>
  <c r="J36" i="21"/>
  <c r="AI27" i="21"/>
  <c r="AF28" i="21"/>
  <c r="R27" i="21" l="1"/>
  <c r="S26" i="21"/>
  <c r="T26" i="21" s="1"/>
  <c r="X26" i="21" s="1"/>
  <c r="Y26" i="21" s="1"/>
  <c r="K36" i="21"/>
  <c r="O36" i="21" s="1"/>
  <c r="J37" i="21"/>
  <c r="AI28" i="21"/>
  <c r="AF29" i="21"/>
  <c r="R28" i="21" l="1"/>
  <c r="S27" i="21"/>
  <c r="T27" i="21" s="1"/>
  <c r="X27" i="21" s="1"/>
  <c r="Y27" i="21" s="1"/>
  <c r="K37" i="21"/>
  <c r="O37" i="21" s="1"/>
  <c r="J38" i="21"/>
  <c r="AI29" i="21"/>
  <c r="AF30" i="21"/>
  <c r="R29" i="21" l="1"/>
  <c r="S28" i="21"/>
  <c r="T28" i="21" s="1"/>
  <c r="X28" i="21" s="1"/>
  <c r="Y28" i="21" s="1"/>
  <c r="K38" i="21"/>
  <c r="O38" i="21" s="1"/>
  <c r="J39" i="21"/>
  <c r="AI30" i="21"/>
  <c r="AF31" i="21"/>
  <c r="R30" i="21" l="1"/>
  <c r="S29" i="21"/>
  <c r="T29" i="21" s="1"/>
  <c r="X29" i="21" s="1"/>
  <c r="Y29" i="21" s="1"/>
  <c r="K39" i="21"/>
  <c r="O39" i="21" s="1"/>
  <c r="J40" i="21"/>
  <c r="AF32" i="21"/>
  <c r="AI31" i="21"/>
  <c r="S30" i="21" l="1"/>
  <c r="T30" i="21" s="1"/>
  <c r="X30" i="21" s="1"/>
  <c r="Y30" i="21" s="1"/>
  <c r="R31" i="21"/>
  <c r="AF33" i="21"/>
  <c r="AI32" i="21"/>
  <c r="K40" i="21"/>
  <c r="O40" i="21" s="1"/>
  <c r="J41" i="21"/>
  <c r="S31" i="21" l="1"/>
  <c r="T31" i="21" s="1"/>
  <c r="X31" i="21" s="1"/>
  <c r="Y31" i="21" s="1"/>
  <c r="R32" i="21"/>
  <c r="K41" i="21"/>
  <c r="O41" i="21" s="1"/>
  <c r="J42" i="21"/>
  <c r="AF34" i="21"/>
  <c r="AI33" i="21"/>
  <c r="R33" i="21" l="1"/>
  <c r="S32" i="21"/>
  <c r="T32" i="21" s="1"/>
  <c r="X32" i="21" s="1"/>
  <c r="Y32" i="21" s="1"/>
  <c r="AF35" i="21"/>
  <c r="AI34" i="21"/>
  <c r="K42" i="21"/>
  <c r="O42" i="21" s="1"/>
  <c r="J43" i="21"/>
  <c r="S33" i="21" l="1"/>
  <c r="T33" i="21" s="1"/>
  <c r="X33" i="21" s="1"/>
  <c r="Y33" i="21" s="1"/>
  <c r="R34" i="21"/>
  <c r="K43" i="21"/>
  <c r="O43" i="21" s="1"/>
  <c r="J44" i="21"/>
  <c r="AI35" i="21"/>
  <c r="C118" i="21" s="1"/>
  <c r="E118" i="21" s="1"/>
  <c r="D127" i="21" s="1"/>
  <c r="J22" i="24" s="1"/>
  <c r="AF36" i="21"/>
  <c r="S34" i="21" l="1"/>
  <c r="T34" i="21" s="1"/>
  <c r="X34" i="21" s="1"/>
  <c r="Y34" i="21" s="1"/>
  <c r="R35" i="21"/>
  <c r="AF37" i="21"/>
  <c r="AI36" i="21"/>
  <c r="K44" i="21"/>
  <c r="O44" i="21" s="1"/>
  <c r="J45" i="21"/>
  <c r="J46" i="21" s="1"/>
  <c r="S35" i="21" l="1"/>
  <c r="T35" i="21" s="1"/>
  <c r="X35" i="21" s="1"/>
  <c r="R36" i="21"/>
  <c r="J47" i="21"/>
  <c r="K46" i="21"/>
  <c r="O46" i="21" s="1"/>
  <c r="K45" i="21"/>
  <c r="O45" i="21" s="1"/>
  <c r="AI37" i="21"/>
  <c r="AF38" i="21"/>
  <c r="S36" i="21" l="1"/>
  <c r="T36" i="21" s="1"/>
  <c r="X36" i="21" s="1"/>
  <c r="Y36" i="21" s="1"/>
  <c r="R37" i="21"/>
  <c r="Y35" i="21"/>
  <c r="E114" i="21" s="1"/>
  <c r="C114" i="21"/>
  <c r="J48" i="21"/>
  <c r="K47" i="21"/>
  <c r="O47" i="21" s="1"/>
  <c r="AI38" i="21"/>
  <c r="AF39" i="21"/>
  <c r="S37" i="21" l="1"/>
  <c r="T37" i="21" s="1"/>
  <c r="X37" i="21" s="1"/>
  <c r="Y37" i="21" s="1"/>
  <c r="R38" i="21"/>
  <c r="J49" i="21"/>
  <c r="K48" i="21"/>
  <c r="O48" i="21" s="1"/>
  <c r="AF40" i="21"/>
  <c r="AI39" i="21"/>
  <c r="R39" i="21" l="1"/>
  <c r="S38" i="21"/>
  <c r="T38" i="21" s="1"/>
  <c r="X38" i="21" s="1"/>
  <c r="Y38" i="21" s="1"/>
  <c r="J50" i="21"/>
  <c r="K49" i="21"/>
  <c r="O49" i="21" s="1"/>
  <c r="AI40" i="21"/>
  <c r="AF41" i="21"/>
  <c r="R40" i="21" l="1"/>
  <c r="S39" i="21"/>
  <c r="T39" i="21" s="1"/>
  <c r="X39" i="21" s="1"/>
  <c r="Y39" i="21" s="1"/>
  <c r="J51" i="21"/>
  <c r="K50" i="21"/>
  <c r="O50" i="21" s="1"/>
  <c r="AI41" i="21"/>
  <c r="AF42" i="21"/>
  <c r="S40" i="21" l="1"/>
  <c r="T40" i="21" s="1"/>
  <c r="X40" i="21" s="1"/>
  <c r="Y40" i="21" s="1"/>
  <c r="R41" i="21"/>
  <c r="J52" i="21"/>
  <c r="K51" i="21"/>
  <c r="O51" i="21" s="1"/>
  <c r="AI42" i="21"/>
  <c r="AF43" i="21"/>
  <c r="R42" i="21" l="1"/>
  <c r="S41" i="21"/>
  <c r="T41" i="21" s="1"/>
  <c r="X41" i="21" s="1"/>
  <c r="Y41" i="21" s="1"/>
  <c r="J53" i="21"/>
  <c r="K52" i="21"/>
  <c r="O52" i="21" s="1"/>
  <c r="AF44" i="21"/>
  <c r="AI43" i="21"/>
  <c r="S42" i="21" l="1"/>
  <c r="T42" i="21" s="1"/>
  <c r="X42" i="21" s="1"/>
  <c r="Y42" i="21" s="1"/>
  <c r="R43" i="21"/>
  <c r="J54" i="21"/>
  <c r="K53" i="21"/>
  <c r="O53" i="21" s="1"/>
  <c r="AI44" i="21"/>
  <c r="AF45" i="21"/>
  <c r="S43" i="21" l="1"/>
  <c r="T43" i="21" s="1"/>
  <c r="X43" i="21" s="1"/>
  <c r="Y43" i="21" s="1"/>
  <c r="R44" i="21"/>
  <c r="J55" i="21"/>
  <c r="K54" i="21"/>
  <c r="O54" i="21" s="1"/>
  <c r="AI45" i="21"/>
  <c r="AF46" i="21"/>
  <c r="S44" i="21" l="1"/>
  <c r="T44" i="21" s="1"/>
  <c r="X44" i="21" s="1"/>
  <c r="Y44" i="21" s="1"/>
  <c r="R45" i="21"/>
  <c r="K55" i="21"/>
  <c r="O55" i="21" s="1"/>
  <c r="J56" i="21"/>
  <c r="AF47" i="21"/>
  <c r="AI46" i="21"/>
  <c r="S45" i="21" l="1"/>
  <c r="T45" i="21" s="1"/>
  <c r="X45" i="21" s="1"/>
  <c r="Y45" i="21" s="1"/>
  <c r="R46" i="21"/>
  <c r="J57" i="21"/>
  <c r="K56" i="21"/>
  <c r="O56" i="21" s="1"/>
  <c r="AI47" i="21"/>
  <c r="AF48" i="21"/>
  <c r="S46" i="21" l="1"/>
  <c r="T46" i="21" s="1"/>
  <c r="X46" i="21" s="1"/>
  <c r="Y46" i="21" s="1"/>
  <c r="R47" i="21"/>
  <c r="J58" i="21"/>
  <c r="K57" i="21"/>
  <c r="O57" i="21" s="1"/>
  <c r="AF49" i="21"/>
  <c r="AI48" i="21"/>
  <c r="R48" i="21" l="1"/>
  <c r="S47" i="21"/>
  <c r="T47" i="21" s="1"/>
  <c r="X47" i="21" s="1"/>
  <c r="Y47" i="21" s="1"/>
  <c r="J59" i="21"/>
  <c r="K58" i="21"/>
  <c r="O58" i="21" s="1"/>
  <c r="AF50" i="21"/>
  <c r="AI49" i="21"/>
  <c r="R49" i="21" l="1"/>
  <c r="S48" i="21"/>
  <c r="T48" i="21" s="1"/>
  <c r="X48" i="21" s="1"/>
  <c r="Y48" i="21" s="1"/>
  <c r="J60" i="21"/>
  <c r="K59" i="21"/>
  <c r="O59" i="21" s="1"/>
  <c r="AI50" i="21"/>
  <c r="AF51" i="21"/>
  <c r="S49" i="21" l="1"/>
  <c r="T49" i="21" s="1"/>
  <c r="X49" i="21" s="1"/>
  <c r="Y49" i="21" s="1"/>
  <c r="R50" i="21"/>
  <c r="J61" i="21"/>
  <c r="K60" i="21"/>
  <c r="O60" i="21" s="1"/>
  <c r="AI51" i="21"/>
  <c r="AF52" i="21"/>
  <c r="R51" i="21" l="1"/>
  <c r="S50" i="21"/>
  <c r="T50" i="21" s="1"/>
  <c r="X50" i="21" s="1"/>
  <c r="Y50" i="21" s="1"/>
  <c r="J62" i="21"/>
  <c r="K61" i="21"/>
  <c r="O61" i="21" s="1"/>
  <c r="AF53" i="21"/>
  <c r="AI52" i="21"/>
  <c r="S51" i="21" l="1"/>
  <c r="T51" i="21" s="1"/>
  <c r="X51" i="21" s="1"/>
  <c r="Y51" i="21" s="1"/>
  <c r="R52" i="21"/>
  <c r="J63" i="21"/>
  <c r="K62" i="21"/>
  <c r="O62" i="21" s="1"/>
  <c r="AF54" i="21"/>
  <c r="AI53" i="21"/>
  <c r="R53" i="21" l="1"/>
  <c r="S52" i="21"/>
  <c r="T52" i="21" s="1"/>
  <c r="X52" i="21" s="1"/>
  <c r="Y52" i="21" s="1"/>
  <c r="J64" i="21"/>
  <c r="K63" i="21"/>
  <c r="O63" i="21" s="1"/>
  <c r="AF55" i="21"/>
  <c r="AI54" i="21"/>
  <c r="R54" i="21" l="1"/>
  <c r="S53" i="21"/>
  <c r="T53" i="21" s="1"/>
  <c r="X53" i="21" s="1"/>
  <c r="Y53" i="21" s="1"/>
  <c r="AI55" i="21"/>
  <c r="AF56" i="21"/>
  <c r="J65" i="21"/>
  <c r="K64" i="21"/>
  <c r="O64" i="21" s="1"/>
  <c r="E47" i="19"/>
  <c r="F47" i="19" s="1"/>
  <c r="G48" i="19" s="1"/>
  <c r="E46" i="19"/>
  <c r="F46" i="19" s="1"/>
  <c r="E45" i="19"/>
  <c r="F45" i="19" s="1"/>
  <c r="E44" i="19"/>
  <c r="F44" i="19" s="1"/>
  <c r="E43" i="19"/>
  <c r="F43" i="19" s="1"/>
  <c r="E42" i="19"/>
  <c r="F42" i="19" s="1"/>
  <c r="E41" i="19"/>
  <c r="F41" i="19" s="1"/>
  <c r="E40" i="19"/>
  <c r="F40" i="19" s="1"/>
  <c r="E39" i="19"/>
  <c r="F39" i="19" s="1"/>
  <c r="E38" i="19"/>
  <c r="F38" i="19" s="1"/>
  <c r="E37" i="19"/>
  <c r="F37" i="19" s="1"/>
  <c r="E36" i="19"/>
  <c r="F36" i="19" s="1"/>
  <c r="E35" i="19"/>
  <c r="F35" i="19" s="1"/>
  <c r="E34" i="19"/>
  <c r="F34" i="19" s="1"/>
  <c r="E33" i="19"/>
  <c r="F33" i="19" s="1"/>
  <c r="E32" i="19"/>
  <c r="F32" i="19" s="1"/>
  <c r="E31" i="19"/>
  <c r="F31" i="19" s="1"/>
  <c r="E30" i="19"/>
  <c r="F30" i="19" s="1"/>
  <c r="E29" i="19"/>
  <c r="F29" i="19" s="1"/>
  <c r="E28" i="19"/>
  <c r="F28" i="19" s="1"/>
  <c r="E27" i="19"/>
  <c r="F27" i="19" s="1"/>
  <c r="E26" i="19"/>
  <c r="F26" i="19" s="1"/>
  <c r="E25" i="19"/>
  <c r="F25" i="19" s="1"/>
  <c r="G25" i="19" s="1"/>
  <c r="G26" i="19" l="1"/>
  <c r="S54" i="21"/>
  <c r="T54" i="21" s="1"/>
  <c r="X54" i="21" s="1"/>
  <c r="Y54" i="21" s="1"/>
  <c r="R55" i="21"/>
  <c r="J66" i="21"/>
  <c r="K65" i="21"/>
  <c r="O65" i="21" s="1"/>
  <c r="AF57" i="21"/>
  <c r="AI56" i="21"/>
  <c r="G27" i="19"/>
  <c r="G28" i="19"/>
  <c r="G29" i="19"/>
  <c r="S55" i="21" l="1"/>
  <c r="T55" i="21" s="1"/>
  <c r="X55" i="21" s="1"/>
  <c r="Y55" i="21" s="1"/>
  <c r="R56" i="21"/>
  <c r="AI57" i="21"/>
  <c r="AF58" i="21"/>
  <c r="J67" i="21"/>
  <c r="K66" i="21"/>
  <c r="O66" i="21" s="1"/>
  <c r="G30" i="19"/>
  <c r="R57" i="21" l="1"/>
  <c r="S56" i="21"/>
  <c r="T56" i="21" s="1"/>
  <c r="X56" i="21" s="1"/>
  <c r="Y56" i="21" s="1"/>
  <c r="J68" i="21"/>
  <c r="K67" i="21"/>
  <c r="O67" i="21" s="1"/>
  <c r="AI58" i="21"/>
  <c r="AF59" i="21"/>
  <c r="G32" i="19"/>
  <c r="G31" i="19"/>
  <c r="R58" i="21" l="1"/>
  <c r="S57" i="21"/>
  <c r="T57" i="21" s="1"/>
  <c r="X57" i="21" s="1"/>
  <c r="Y57" i="21" s="1"/>
  <c r="AF60" i="21"/>
  <c r="AI59" i="21"/>
  <c r="J69" i="21"/>
  <c r="K68" i="21"/>
  <c r="O68" i="21" s="1"/>
  <c r="G33" i="19"/>
  <c r="G34" i="19"/>
  <c r="R59" i="21" l="1"/>
  <c r="S58" i="21"/>
  <c r="T58" i="21" s="1"/>
  <c r="X58" i="21" s="1"/>
  <c r="Y58" i="21" s="1"/>
  <c r="J70" i="21"/>
  <c r="K69" i="21"/>
  <c r="O69" i="21" s="1"/>
  <c r="AF61" i="21"/>
  <c r="AI60" i="21"/>
  <c r="G36" i="19"/>
  <c r="G35" i="19"/>
  <c r="S59" i="21" l="1"/>
  <c r="T59" i="21" s="1"/>
  <c r="X59" i="21" s="1"/>
  <c r="Y59" i="21" s="1"/>
  <c r="R60" i="21"/>
  <c r="AI61" i="21"/>
  <c r="AF62" i="21"/>
  <c r="J71" i="21"/>
  <c r="K70" i="21"/>
  <c r="O70" i="21" s="1"/>
  <c r="G38" i="19"/>
  <c r="G37" i="19"/>
  <c r="R61" i="21" l="1"/>
  <c r="S60" i="21"/>
  <c r="T60" i="21" s="1"/>
  <c r="X60" i="21" s="1"/>
  <c r="Y60" i="21" s="1"/>
  <c r="J72" i="21"/>
  <c r="K71" i="21"/>
  <c r="O71" i="21" s="1"/>
  <c r="AF63" i="21"/>
  <c r="AI62" i="21"/>
  <c r="G40" i="19"/>
  <c r="G39" i="19"/>
  <c r="R62" i="21" l="1"/>
  <c r="S61" i="21"/>
  <c r="T61" i="21" s="1"/>
  <c r="X61" i="21" s="1"/>
  <c r="Y61" i="21" s="1"/>
  <c r="AF64" i="21"/>
  <c r="AI63" i="21"/>
  <c r="J73" i="21"/>
  <c r="K72" i="21"/>
  <c r="O72" i="21" s="1"/>
  <c r="G42" i="19"/>
  <c r="G41" i="19"/>
  <c r="S62" i="21" l="1"/>
  <c r="T62" i="21" s="1"/>
  <c r="X62" i="21" s="1"/>
  <c r="Y62" i="21" s="1"/>
  <c r="R63" i="21"/>
  <c r="J74" i="21"/>
  <c r="K73" i="21"/>
  <c r="O73" i="21" s="1"/>
  <c r="AI64" i="21"/>
  <c r="AF65" i="21"/>
  <c r="G44" i="19"/>
  <c r="G43" i="19"/>
  <c r="S63" i="21" l="1"/>
  <c r="T63" i="21" s="1"/>
  <c r="X63" i="21" s="1"/>
  <c r="Y63" i="21" s="1"/>
  <c r="R64" i="21"/>
  <c r="AI65" i="21"/>
  <c r="AF66" i="21"/>
  <c r="J75" i="21"/>
  <c r="K74" i="21"/>
  <c r="O74" i="21" s="1"/>
  <c r="G45" i="19"/>
  <c r="G46" i="19"/>
  <c r="S64" i="21" l="1"/>
  <c r="T64" i="21" s="1"/>
  <c r="X64" i="21" s="1"/>
  <c r="Y64" i="21" s="1"/>
  <c r="R65" i="21"/>
  <c r="J76" i="21"/>
  <c r="K75" i="21"/>
  <c r="O75" i="21" s="1"/>
  <c r="AI66" i="21"/>
  <c r="AF67" i="21"/>
  <c r="G47" i="19"/>
  <c r="R66" i="21" l="1"/>
  <c r="S65" i="21"/>
  <c r="T65" i="21" s="1"/>
  <c r="X65" i="21" s="1"/>
  <c r="Y65" i="21" s="1"/>
  <c r="AF68" i="21"/>
  <c r="AI67" i="21"/>
  <c r="J77" i="21"/>
  <c r="K76" i="21"/>
  <c r="O76" i="21" s="1"/>
  <c r="S66" i="21" l="1"/>
  <c r="T66" i="21" s="1"/>
  <c r="X66" i="21" s="1"/>
  <c r="Y66" i="21" s="1"/>
  <c r="R67" i="21"/>
  <c r="J78" i="21"/>
  <c r="K77" i="21"/>
  <c r="O77" i="21" s="1"/>
  <c r="AI68" i="21"/>
  <c r="AF69" i="21"/>
  <c r="R68" i="21" l="1"/>
  <c r="S67" i="21"/>
  <c r="T67" i="21" s="1"/>
  <c r="X67" i="21" s="1"/>
  <c r="Y67" i="21" s="1"/>
  <c r="AI69" i="21"/>
  <c r="AF70" i="21"/>
  <c r="J79" i="21"/>
  <c r="K78" i="21"/>
  <c r="O78" i="21" s="1"/>
  <c r="I20" i="24"/>
  <c r="I19" i="24"/>
  <c r="H24" i="24"/>
  <c r="H20" i="24"/>
  <c r="H19" i="24"/>
  <c r="S68" i="21" l="1"/>
  <c r="T68" i="21" s="1"/>
  <c r="X68" i="21" s="1"/>
  <c r="Y68" i="21" s="1"/>
  <c r="R69" i="21"/>
  <c r="J80" i="21"/>
  <c r="K79" i="21"/>
  <c r="O79" i="21" s="1"/>
  <c r="AI70" i="21"/>
  <c r="AF71" i="21"/>
  <c r="S69" i="21" l="1"/>
  <c r="T69" i="21" s="1"/>
  <c r="X69" i="21" s="1"/>
  <c r="Y69" i="21" s="1"/>
  <c r="R70" i="21"/>
  <c r="AF72" i="21"/>
  <c r="AI71" i="21"/>
  <c r="J81" i="21"/>
  <c r="K80" i="21"/>
  <c r="O80" i="21" s="1"/>
  <c r="F94" i="13"/>
  <c r="E94" i="13"/>
  <c r="C94" i="13"/>
  <c r="H94" i="13" l="1"/>
  <c r="S70" i="21"/>
  <c r="T70" i="21" s="1"/>
  <c r="X70" i="21" s="1"/>
  <c r="Y70" i="21" s="1"/>
  <c r="R71" i="21"/>
  <c r="J82" i="21"/>
  <c r="K81" i="21"/>
  <c r="O81" i="21" s="1"/>
  <c r="AF73" i="21"/>
  <c r="AI72" i="21"/>
  <c r="R9" i="27"/>
  <c r="U9" i="27" s="1"/>
  <c r="X9" i="27" s="1"/>
  <c r="AA9" i="27" s="1"/>
  <c r="AD9" i="27" s="1"/>
  <c r="AT205" i="19"/>
  <c r="AS205" i="19"/>
  <c r="AR205" i="19"/>
  <c r="AQ205" i="19"/>
  <c r="AP205" i="19"/>
  <c r="AO205" i="19"/>
  <c r="AN205" i="19"/>
  <c r="AM205" i="19"/>
  <c r="AL205" i="19"/>
  <c r="AT204" i="19"/>
  <c r="AS204" i="19"/>
  <c r="AR204" i="19"/>
  <c r="AQ204" i="19"/>
  <c r="AP204" i="19"/>
  <c r="AO204" i="19"/>
  <c r="AN204" i="19"/>
  <c r="AM204" i="19"/>
  <c r="AL204" i="19"/>
  <c r="AT203" i="19"/>
  <c r="AS203" i="19"/>
  <c r="AR203" i="19"/>
  <c r="AQ203" i="19"/>
  <c r="AP203" i="19"/>
  <c r="AO203" i="19"/>
  <c r="AN203" i="19"/>
  <c r="AM203" i="19"/>
  <c r="AL203" i="19"/>
  <c r="AT202" i="19"/>
  <c r="AS202" i="19"/>
  <c r="AR202" i="19"/>
  <c r="AQ202" i="19"/>
  <c r="AP202" i="19"/>
  <c r="AO202" i="19"/>
  <c r="AN202" i="19"/>
  <c r="AM202" i="19"/>
  <c r="AL202" i="19"/>
  <c r="AT201" i="19"/>
  <c r="AS201" i="19"/>
  <c r="AR201" i="19"/>
  <c r="AQ201" i="19"/>
  <c r="AP201" i="19"/>
  <c r="AO201" i="19"/>
  <c r="AN201" i="19"/>
  <c r="AM201" i="19"/>
  <c r="AL201" i="19"/>
  <c r="AT200" i="19"/>
  <c r="AS200" i="19"/>
  <c r="AR200" i="19"/>
  <c r="AQ200" i="19"/>
  <c r="AP200" i="19"/>
  <c r="AO200" i="19"/>
  <c r="AN200" i="19"/>
  <c r="AM200" i="19"/>
  <c r="AL200" i="19"/>
  <c r="AT199" i="19"/>
  <c r="AS199" i="19"/>
  <c r="AR199" i="19"/>
  <c r="AQ199" i="19"/>
  <c r="AP199" i="19"/>
  <c r="AO199" i="19"/>
  <c r="AN199" i="19"/>
  <c r="AM199" i="19"/>
  <c r="AL199" i="19"/>
  <c r="AT198" i="19"/>
  <c r="AS198" i="19"/>
  <c r="AR198" i="19"/>
  <c r="AQ198" i="19"/>
  <c r="AP198" i="19"/>
  <c r="AO198" i="19"/>
  <c r="AN198" i="19"/>
  <c r="AM198" i="19"/>
  <c r="AL198" i="19"/>
  <c r="AT197" i="19"/>
  <c r="AS197" i="19"/>
  <c r="AR197" i="19"/>
  <c r="AQ197" i="19"/>
  <c r="AP197" i="19"/>
  <c r="AO197" i="19"/>
  <c r="AN197" i="19"/>
  <c r="AM197" i="19"/>
  <c r="AL197" i="19"/>
  <c r="AT196" i="19"/>
  <c r="AS196" i="19"/>
  <c r="AR196" i="19"/>
  <c r="AQ196" i="19"/>
  <c r="AP196" i="19"/>
  <c r="AO196" i="19"/>
  <c r="AN196" i="19"/>
  <c r="AM196" i="19"/>
  <c r="AL196" i="19"/>
  <c r="AT195" i="19"/>
  <c r="AS195" i="19"/>
  <c r="AR195" i="19"/>
  <c r="AQ195" i="19"/>
  <c r="AP195" i="19"/>
  <c r="AO195" i="19"/>
  <c r="AN195" i="19"/>
  <c r="AM195" i="19"/>
  <c r="AL195" i="19"/>
  <c r="AT194" i="19"/>
  <c r="AS194" i="19"/>
  <c r="AR194" i="19"/>
  <c r="AQ194" i="19"/>
  <c r="AP194" i="19"/>
  <c r="AO194" i="19"/>
  <c r="AN194" i="19"/>
  <c r="AM194" i="19"/>
  <c r="AL194" i="19"/>
  <c r="AT193" i="19"/>
  <c r="AS193" i="19"/>
  <c r="AR193" i="19"/>
  <c r="AQ193" i="19"/>
  <c r="AP193" i="19"/>
  <c r="AO193" i="19"/>
  <c r="AN193" i="19"/>
  <c r="AM193" i="19"/>
  <c r="AL193" i="19"/>
  <c r="AT192" i="19"/>
  <c r="AS192" i="19"/>
  <c r="AR192" i="19"/>
  <c r="AQ192" i="19"/>
  <c r="AP192" i="19"/>
  <c r="AO192" i="19"/>
  <c r="AN192" i="19"/>
  <c r="AM192" i="19"/>
  <c r="AL192" i="19"/>
  <c r="AT191" i="19"/>
  <c r="AS191" i="19"/>
  <c r="AR191" i="19"/>
  <c r="AQ191" i="19"/>
  <c r="AP191" i="19"/>
  <c r="AO191" i="19"/>
  <c r="AN191" i="19"/>
  <c r="AM191" i="19"/>
  <c r="AL191" i="19"/>
  <c r="AT190" i="19"/>
  <c r="AS190" i="19"/>
  <c r="AR190" i="19"/>
  <c r="AQ190" i="19"/>
  <c r="AP190" i="19"/>
  <c r="AO190" i="19"/>
  <c r="AN190" i="19"/>
  <c r="AM190" i="19"/>
  <c r="AL190" i="19"/>
  <c r="AT189" i="19"/>
  <c r="AS189" i="19"/>
  <c r="AR189" i="19"/>
  <c r="AQ189" i="19"/>
  <c r="AP189" i="19"/>
  <c r="AO189" i="19"/>
  <c r="AN189" i="19"/>
  <c r="AM189" i="19"/>
  <c r="AL189" i="19"/>
  <c r="AT188" i="19"/>
  <c r="AS188" i="19"/>
  <c r="AR188" i="19"/>
  <c r="AQ188" i="19"/>
  <c r="AP188" i="19"/>
  <c r="AO188" i="19"/>
  <c r="AN188" i="19"/>
  <c r="AM188" i="19"/>
  <c r="AL188" i="19"/>
  <c r="AT187" i="19"/>
  <c r="AS187" i="19"/>
  <c r="AR187" i="19"/>
  <c r="AQ187" i="19"/>
  <c r="AP187" i="19"/>
  <c r="AO187" i="19"/>
  <c r="AN187" i="19"/>
  <c r="AM187" i="19"/>
  <c r="AL187" i="19"/>
  <c r="AT186" i="19"/>
  <c r="AS186" i="19"/>
  <c r="AR186" i="19"/>
  <c r="AQ186" i="19"/>
  <c r="AP186" i="19"/>
  <c r="AO186" i="19"/>
  <c r="AN186" i="19"/>
  <c r="AM186" i="19"/>
  <c r="AL186" i="19"/>
  <c r="AT185" i="19"/>
  <c r="AS185" i="19"/>
  <c r="AR185" i="19"/>
  <c r="AQ185" i="19"/>
  <c r="AP185" i="19"/>
  <c r="AO185" i="19"/>
  <c r="AN185" i="19"/>
  <c r="AM185" i="19"/>
  <c r="AL185" i="19"/>
  <c r="AT184" i="19"/>
  <c r="AS184" i="19"/>
  <c r="AR184" i="19"/>
  <c r="AQ184" i="19"/>
  <c r="AP184" i="19"/>
  <c r="AO184" i="19"/>
  <c r="AN184" i="19"/>
  <c r="AM184" i="19"/>
  <c r="AL184" i="19"/>
  <c r="AT183" i="19"/>
  <c r="AS183" i="19"/>
  <c r="AR183" i="19"/>
  <c r="AQ183" i="19"/>
  <c r="AP183" i="19"/>
  <c r="AO183" i="19"/>
  <c r="AN183" i="19"/>
  <c r="AM183" i="19"/>
  <c r="AL183" i="19"/>
  <c r="AT182" i="19"/>
  <c r="AS182" i="19"/>
  <c r="AR182" i="19"/>
  <c r="AQ182" i="19"/>
  <c r="AP182" i="19"/>
  <c r="AO182" i="19"/>
  <c r="AN182" i="19"/>
  <c r="AM182" i="19"/>
  <c r="AL182" i="19"/>
  <c r="AT181" i="19"/>
  <c r="AS181" i="19"/>
  <c r="AR181" i="19"/>
  <c r="AQ181" i="19"/>
  <c r="AP181" i="19"/>
  <c r="AO181" i="19"/>
  <c r="AN181" i="19"/>
  <c r="AM181" i="19"/>
  <c r="AL181" i="19"/>
  <c r="AT180" i="19"/>
  <c r="AS180" i="19"/>
  <c r="AR180" i="19"/>
  <c r="AQ180" i="19"/>
  <c r="AP180" i="19"/>
  <c r="AO180" i="19"/>
  <c r="AN180" i="19"/>
  <c r="AM180" i="19"/>
  <c r="AL180" i="19"/>
  <c r="AT179" i="19"/>
  <c r="AS179" i="19"/>
  <c r="AR179" i="19"/>
  <c r="AQ179" i="19"/>
  <c r="AP179" i="19"/>
  <c r="AO179" i="19"/>
  <c r="AN179" i="19"/>
  <c r="AM179" i="19"/>
  <c r="AL179" i="19"/>
  <c r="AT178" i="19"/>
  <c r="AS178" i="19"/>
  <c r="AR178" i="19"/>
  <c r="AQ178" i="19"/>
  <c r="AP178" i="19"/>
  <c r="AO178" i="19"/>
  <c r="AN178" i="19"/>
  <c r="AM178" i="19"/>
  <c r="AL178" i="19"/>
  <c r="AT177" i="19"/>
  <c r="AS177" i="19"/>
  <c r="AR177" i="19"/>
  <c r="AQ177" i="19"/>
  <c r="AP177" i="19"/>
  <c r="AO177" i="19"/>
  <c r="AN177" i="19"/>
  <c r="AM177" i="19"/>
  <c r="AL177" i="19"/>
  <c r="AT176" i="19"/>
  <c r="AS176" i="19"/>
  <c r="AR176" i="19"/>
  <c r="AQ176" i="19"/>
  <c r="AP176" i="19"/>
  <c r="AO176" i="19"/>
  <c r="AN176" i="19"/>
  <c r="AM176" i="19"/>
  <c r="AL176" i="19"/>
  <c r="AT175" i="19"/>
  <c r="AS175" i="19"/>
  <c r="AR175" i="19"/>
  <c r="AQ175" i="19"/>
  <c r="AP175" i="19"/>
  <c r="AO175" i="19"/>
  <c r="AN175" i="19"/>
  <c r="AM175" i="19"/>
  <c r="AL175" i="19"/>
  <c r="AT174" i="19"/>
  <c r="AS174" i="19"/>
  <c r="AR174" i="19"/>
  <c r="AQ174" i="19"/>
  <c r="AP174" i="19"/>
  <c r="AO174" i="19"/>
  <c r="AN174" i="19"/>
  <c r="AM174" i="19"/>
  <c r="AL174" i="19"/>
  <c r="AT173" i="19"/>
  <c r="AS173" i="19"/>
  <c r="AR173" i="19"/>
  <c r="AQ173" i="19"/>
  <c r="AP173" i="19"/>
  <c r="AO173" i="19"/>
  <c r="AN173" i="19"/>
  <c r="AM173" i="19"/>
  <c r="AL173" i="19"/>
  <c r="AT172" i="19"/>
  <c r="AS172" i="19"/>
  <c r="AR172" i="19"/>
  <c r="AQ172" i="19"/>
  <c r="AP172" i="19"/>
  <c r="AO172" i="19"/>
  <c r="AN172" i="19"/>
  <c r="AM172" i="19"/>
  <c r="AL172" i="19"/>
  <c r="AT171" i="19"/>
  <c r="AS171" i="19"/>
  <c r="AR171" i="19"/>
  <c r="AQ171" i="19"/>
  <c r="AP171" i="19"/>
  <c r="AO171" i="19"/>
  <c r="AN171" i="19"/>
  <c r="AM171" i="19"/>
  <c r="AL171" i="19"/>
  <c r="AT170" i="19"/>
  <c r="AS170" i="19"/>
  <c r="AR170" i="19"/>
  <c r="AQ170" i="19"/>
  <c r="AP170" i="19"/>
  <c r="AO170" i="19"/>
  <c r="AN170" i="19"/>
  <c r="AM170" i="19"/>
  <c r="AL170" i="19"/>
  <c r="AT169" i="19"/>
  <c r="AS169" i="19"/>
  <c r="AR169" i="19"/>
  <c r="AQ169" i="19"/>
  <c r="AP169" i="19"/>
  <c r="AO169" i="19"/>
  <c r="AN169" i="19"/>
  <c r="AM169" i="19"/>
  <c r="AL169" i="19"/>
  <c r="AT168" i="19"/>
  <c r="AS168" i="19"/>
  <c r="AR168" i="19"/>
  <c r="AQ168" i="19"/>
  <c r="AP168" i="19"/>
  <c r="AO168" i="19"/>
  <c r="AN168" i="19"/>
  <c r="AM168" i="19"/>
  <c r="AL168" i="19"/>
  <c r="AT167" i="19"/>
  <c r="AS167" i="19"/>
  <c r="AR167" i="19"/>
  <c r="AQ167" i="19"/>
  <c r="AP167" i="19"/>
  <c r="AO167" i="19"/>
  <c r="AN167" i="19"/>
  <c r="AM167" i="19"/>
  <c r="AL167" i="19"/>
  <c r="AT166" i="19"/>
  <c r="AS166" i="19"/>
  <c r="AR166" i="19"/>
  <c r="AQ166" i="19"/>
  <c r="AP166" i="19"/>
  <c r="AO166" i="19"/>
  <c r="AN166" i="19"/>
  <c r="AM166" i="19"/>
  <c r="AL166" i="19"/>
  <c r="AT165" i="19"/>
  <c r="AS165" i="19"/>
  <c r="AR165" i="19"/>
  <c r="AQ165" i="19"/>
  <c r="AP165" i="19"/>
  <c r="AO165" i="19"/>
  <c r="AN165" i="19"/>
  <c r="AM165" i="19"/>
  <c r="AL165" i="19"/>
  <c r="AT164" i="19"/>
  <c r="AS164" i="19"/>
  <c r="AR164" i="19"/>
  <c r="AQ164" i="19"/>
  <c r="AP164" i="19"/>
  <c r="AO164" i="19"/>
  <c r="AN164" i="19"/>
  <c r="AM164" i="19"/>
  <c r="AL164" i="19"/>
  <c r="AT163" i="19"/>
  <c r="AS163" i="19"/>
  <c r="AR163" i="19"/>
  <c r="AQ163" i="19"/>
  <c r="AP163" i="19"/>
  <c r="AO163" i="19"/>
  <c r="AN163" i="19"/>
  <c r="AM163" i="19"/>
  <c r="AL163" i="19"/>
  <c r="AT162" i="19"/>
  <c r="AS162" i="19"/>
  <c r="AR162" i="19"/>
  <c r="AQ162" i="19"/>
  <c r="AP162" i="19"/>
  <c r="AO162" i="19"/>
  <c r="AN162" i="19"/>
  <c r="AM162" i="19"/>
  <c r="AL162" i="19"/>
  <c r="AT161" i="19"/>
  <c r="AS161" i="19"/>
  <c r="AR161" i="19"/>
  <c r="AQ161" i="19"/>
  <c r="AP161" i="19"/>
  <c r="AO161" i="19"/>
  <c r="AN161" i="19"/>
  <c r="AM161" i="19"/>
  <c r="AL161" i="19"/>
  <c r="AT160" i="19"/>
  <c r="AS160" i="19"/>
  <c r="AR160" i="19"/>
  <c r="AQ160" i="19"/>
  <c r="AP160" i="19"/>
  <c r="AO160" i="19"/>
  <c r="AN160" i="19"/>
  <c r="AM160" i="19"/>
  <c r="AL160" i="19"/>
  <c r="AT159" i="19"/>
  <c r="AS159" i="19"/>
  <c r="AR159" i="19"/>
  <c r="AQ159" i="19"/>
  <c r="AP159" i="19"/>
  <c r="AO159" i="19"/>
  <c r="AN159" i="19"/>
  <c r="AM159" i="19"/>
  <c r="AL159" i="19"/>
  <c r="AT158" i="19"/>
  <c r="AS158" i="19"/>
  <c r="AR158" i="19"/>
  <c r="AQ158" i="19"/>
  <c r="AP158" i="19"/>
  <c r="AO158" i="19"/>
  <c r="AN158" i="19"/>
  <c r="AM158" i="19"/>
  <c r="AL158" i="19"/>
  <c r="AT157" i="19"/>
  <c r="AS157" i="19"/>
  <c r="AR157" i="19"/>
  <c r="AQ157" i="19"/>
  <c r="AP157" i="19"/>
  <c r="AO157" i="19"/>
  <c r="AN157" i="19"/>
  <c r="AM157" i="19"/>
  <c r="AL157" i="19"/>
  <c r="AT156" i="19"/>
  <c r="AS156" i="19"/>
  <c r="AR156" i="19"/>
  <c r="AQ156" i="19"/>
  <c r="AP156" i="19"/>
  <c r="AO156" i="19"/>
  <c r="AN156" i="19"/>
  <c r="AM156" i="19"/>
  <c r="AL156" i="19"/>
  <c r="AT155" i="19"/>
  <c r="AS155" i="19"/>
  <c r="AR155" i="19"/>
  <c r="AQ155" i="19"/>
  <c r="AP155" i="19"/>
  <c r="AO155" i="19"/>
  <c r="AN155" i="19"/>
  <c r="AM155" i="19"/>
  <c r="AL155" i="19"/>
  <c r="AT154" i="19"/>
  <c r="AS154" i="19"/>
  <c r="AR154" i="19"/>
  <c r="AQ154" i="19"/>
  <c r="AP154" i="19"/>
  <c r="AO154" i="19"/>
  <c r="AN154" i="19"/>
  <c r="AM154" i="19"/>
  <c r="AL154" i="19"/>
  <c r="AT153" i="19"/>
  <c r="AS153" i="19"/>
  <c r="AR153" i="19"/>
  <c r="AQ153" i="19"/>
  <c r="AP153" i="19"/>
  <c r="AO153" i="19"/>
  <c r="AN153" i="19"/>
  <c r="AM153" i="19"/>
  <c r="AL153" i="19"/>
  <c r="AT152" i="19"/>
  <c r="AS152" i="19"/>
  <c r="AR152" i="19"/>
  <c r="AQ152" i="19"/>
  <c r="AP152" i="19"/>
  <c r="AO152" i="19"/>
  <c r="AN152" i="19"/>
  <c r="AM152" i="19"/>
  <c r="AL152" i="19"/>
  <c r="AT151" i="19"/>
  <c r="AS151" i="19"/>
  <c r="AR151" i="19"/>
  <c r="AQ151" i="19"/>
  <c r="AP151" i="19"/>
  <c r="AO151" i="19"/>
  <c r="AN151" i="19"/>
  <c r="AM151" i="19"/>
  <c r="AL151" i="19"/>
  <c r="AT150" i="19"/>
  <c r="AS150" i="19"/>
  <c r="AR150" i="19"/>
  <c r="AQ150" i="19"/>
  <c r="AP150" i="19"/>
  <c r="AO150" i="19"/>
  <c r="AN150" i="19"/>
  <c r="AM150" i="19"/>
  <c r="AL150" i="19"/>
  <c r="AT149" i="19"/>
  <c r="AS149" i="19"/>
  <c r="AR149" i="19"/>
  <c r="AQ149" i="19"/>
  <c r="AP149" i="19"/>
  <c r="AO149" i="19"/>
  <c r="AN149" i="19"/>
  <c r="AM149" i="19"/>
  <c r="AL149" i="19"/>
  <c r="AT148" i="19"/>
  <c r="AS148" i="19"/>
  <c r="AR148" i="19"/>
  <c r="AQ148" i="19"/>
  <c r="AP148" i="19"/>
  <c r="AO148" i="19"/>
  <c r="AN148" i="19"/>
  <c r="AM148" i="19"/>
  <c r="AL148" i="19"/>
  <c r="AT147" i="19"/>
  <c r="AS147" i="19"/>
  <c r="AR147" i="19"/>
  <c r="AQ147" i="19"/>
  <c r="AP147" i="19"/>
  <c r="AO147" i="19"/>
  <c r="AN147" i="19"/>
  <c r="AM147" i="19"/>
  <c r="AL147" i="19"/>
  <c r="AT146" i="19"/>
  <c r="AS146" i="19"/>
  <c r="AR146" i="19"/>
  <c r="AQ146" i="19"/>
  <c r="AP146" i="19"/>
  <c r="AO146" i="19"/>
  <c r="AN146" i="19"/>
  <c r="AM146" i="19"/>
  <c r="AL146" i="19"/>
  <c r="AT145" i="19"/>
  <c r="AS145" i="19"/>
  <c r="AR145" i="19"/>
  <c r="AQ145" i="19"/>
  <c r="AP145" i="19"/>
  <c r="AO145" i="19"/>
  <c r="AN145" i="19"/>
  <c r="AM145" i="19"/>
  <c r="AL145" i="19"/>
  <c r="AT144" i="19"/>
  <c r="AS144" i="19"/>
  <c r="AR144" i="19"/>
  <c r="AQ144" i="19"/>
  <c r="AP144" i="19"/>
  <c r="AO144" i="19"/>
  <c r="AN144" i="19"/>
  <c r="AM144" i="19"/>
  <c r="AL144" i="19"/>
  <c r="AT143" i="19"/>
  <c r="AS143" i="19"/>
  <c r="AR143" i="19"/>
  <c r="AQ143" i="19"/>
  <c r="AP143" i="19"/>
  <c r="AO143" i="19"/>
  <c r="AN143" i="19"/>
  <c r="AM143" i="19"/>
  <c r="AL143" i="19"/>
  <c r="AT142" i="19"/>
  <c r="AS142" i="19"/>
  <c r="AR142" i="19"/>
  <c r="AQ142" i="19"/>
  <c r="AP142" i="19"/>
  <c r="AO142" i="19"/>
  <c r="AN142" i="19"/>
  <c r="AM142" i="19"/>
  <c r="AL142" i="19"/>
  <c r="AT141" i="19"/>
  <c r="AS141" i="19"/>
  <c r="AR141" i="19"/>
  <c r="AQ141" i="19"/>
  <c r="AP141" i="19"/>
  <c r="AO141" i="19"/>
  <c r="AN141" i="19"/>
  <c r="AM141" i="19"/>
  <c r="AL141" i="19"/>
  <c r="AT140" i="19"/>
  <c r="AS140" i="19"/>
  <c r="AR140" i="19"/>
  <c r="AQ140" i="19"/>
  <c r="AP140" i="19"/>
  <c r="AO140" i="19"/>
  <c r="AN140" i="19"/>
  <c r="AM140" i="19"/>
  <c r="AL140" i="19"/>
  <c r="AT139" i="19"/>
  <c r="AS139" i="19"/>
  <c r="AR139" i="19"/>
  <c r="AQ139" i="19"/>
  <c r="AP139" i="19"/>
  <c r="AO139" i="19"/>
  <c r="AN139" i="19"/>
  <c r="AM139" i="19"/>
  <c r="AL139" i="19"/>
  <c r="AT138" i="19"/>
  <c r="AS138" i="19"/>
  <c r="AR138" i="19"/>
  <c r="AQ138" i="19"/>
  <c r="AP138" i="19"/>
  <c r="AO138" i="19"/>
  <c r="AN138" i="19"/>
  <c r="AM138" i="19"/>
  <c r="AL138" i="19"/>
  <c r="AT137" i="19"/>
  <c r="AS137" i="19"/>
  <c r="AR137" i="19"/>
  <c r="AQ137" i="19"/>
  <c r="AP137" i="19"/>
  <c r="AO137" i="19"/>
  <c r="AN137" i="19"/>
  <c r="AM137" i="19"/>
  <c r="AL137" i="19"/>
  <c r="AT136" i="19"/>
  <c r="AS136" i="19"/>
  <c r="AR136" i="19"/>
  <c r="AQ136" i="19"/>
  <c r="AP136" i="19"/>
  <c r="AO136" i="19"/>
  <c r="AN136" i="19"/>
  <c r="AM136" i="19"/>
  <c r="AL136" i="19"/>
  <c r="AT135" i="19"/>
  <c r="AS135" i="19"/>
  <c r="AR135" i="19"/>
  <c r="AQ135" i="19"/>
  <c r="AP135" i="19"/>
  <c r="AO135" i="19"/>
  <c r="AN135" i="19"/>
  <c r="AM135" i="19"/>
  <c r="AL135" i="19"/>
  <c r="AT134" i="19"/>
  <c r="AS134" i="19"/>
  <c r="AR134" i="19"/>
  <c r="AQ134" i="19"/>
  <c r="AP134" i="19"/>
  <c r="AO134" i="19"/>
  <c r="AN134" i="19"/>
  <c r="AM134" i="19"/>
  <c r="AL134" i="19"/>
  <c r="AT133" i="19"/>
  <c r="AS133" i="19"/>
  <c r="AR133" i="19"/>
  <c r="AQ133" i="19"/>
  <c r="AP133" i="19"/>
  <c r="AO133" i="19"/>
  <c r="AN133" i="19"/>
  <c r="AM133" i="19"/>
  <c r="AL133" i="19"/>
  <c r="AT132" i="19"/>
  <c r="AS132" i="19"/>
  <c r="AR132" i="19"/>
  <c r="AQ132" i="19"/>
  <c r="AP132" i="19"/>
  <c r="AO132" i="19"/>
  <c r="AN132" i="19"/>
  <c r="AM132" i="19"/>
  <c r="AL132" i="19"/>
  <c r="AT131" i="19"/>
  <c r="AS131" i="19"/>
  <c r="AR131" i="19"/>
  <c r="AQ131" i="19"/>
  <c r="AP131" i="19"/>
  <c r="AO131" i="19"/>
  <c r="AN131" i="19"/>
  <c r="AM131" i="19"/>
  <c r="AL131" i="19"/>
  <c r="AT130" i="19"/>
  <c r="AS130" i="19"/>
  <c r="AR130" i="19"/>
  <c r="AQ130" i="19"/>
  <c r="AP130" i="19"/>
  <c r="AO130" i="19"/>
  <c r="AN130" i="19"/>
  <c r="AM130" i="19"/>
  <c r="AL130" i="19"/>
  <c r="AT129" i="19"/>
  <c r="AS129" i="19"/>
  <c r="AR129" i="19"/>
  <c r="AQ129" i="19"/>
  <c r="AP129" i="19"/>
  <c r="AO129" i="19"/>
  <c r="AN129" i="19"/>
  <c r="AM129" i="19"/>
  <c r="AL129" i="19"/>
  <c r="AT128" i="19"/>
  <c r="AS128" i="19"/>
  <c r="AR128" i="19"/>
  <c r="AQ128" i="19"/>
  <c r="AP128" i="19"/>
  <c r="AO128" i="19"/>
  <c r="AN128" i="19"/>
  <c r="AM128" i="19"/>
  <c r="AL128" i="19"/>
  <c r="AT127" i="19"/>
  <c r="AS127" i="19"/>
  <c r="AR127" i="19"/>
  <c r="AQ127" i="19"/>
  <c r="AP127" i="19"/>
  <c r="AO127" i="19"/>
  <c r="AN127" i="19"/>
  <c r="AM127" i="19"/>
  <c r="AL127" i="19"/>
  <c r="AT126" i="19"/>
  <c r="AS126" i="19"/>
  <c r="AR126" i="19"/>
  <c r="AQ126" i="19"/>
  <c r="AP126" i="19"/>
  <c r="AO126" i="19"/>
  <c r="AN126" i="19"/>
  <c r="AM126" i="19"/>
  <c r="AL126" i="19"/>
  <c r="AP125" i="19"/>
  <c r="AO125" i="19"/>
  <c r="AN125" i="19"/>
  <c r="AM125" i="19"/>
  <c r="AP124" i="19"/>
  <c r="AO124" i="19"/>
  <c r="AN124" i="19"/>
  <c r="AM124" i="19"/>
  <c r="AQ124" i="19" s="1"/>
  <c r="AL124" i="19"/>
  <c r="AT124" i="19" s="1"/>
  <c r="AP123" i="19"/>
  <c r="AO123" i="19"/>
  <c r="AN123" i="19"/>
  <c r="AM123" i="19"/>
  <c r="AL123" i="19"/>
  <c r="AP122" i="19"/>
  <c r="AO122" i="19"/>
  <c r="AN122" i="19"/>
  <c r="AM122" i="19"/>
  <c r="AL122" i="19"/>
  <c r="AP121" i="19"/>
  <c r="AO121" i="19"/>
  <c r="AN121" i="19"/>
  <c r="AM121" i="19"/>
  <c r="AL121" i="19"/>
  <c r="AT121" i="19" s="1"/>
  <c r="AP120" i="19"/>
  <c r="AO120" i="19"/>
  <c r="AN120" i="19"/>
  <c r="AM120" i="19"/>
  <c r="AL120" i="19"/>
  <c r="AP119" i="19"/>
  <c r="AO119" i="19"/>
  <c r="AN119" i="19"/>
  <c r="AM119" i="19"/>
  <c r="AL119" i="19"/>
  <c r="AP118" i="19"/>
  <c r="AO118" i="19"/>
  <c r="AN118" i="19"/>
  <c r="AM118" i="19"/>
  <c r="AL118" i="19"/>
  <c r="AP117" i="19"/>
  <c r="AO117" i="19"/>
  <c r="AN117" i="19"/>
  <c r="AM117" i="19"/>
  <c r="AL117" i="19"/>
  <c r="AP116" i="19"/>
  <c r="AO116" i="19"/>
  <c r="AN116" i="19"/>
  <c r="AM116" i="19"/>
  <c r="AQ116" i="19" s="1"/>
  <c r="AL116" i="19"/>
  <c r="AT116" i="19" s="1"/>
  <c r="AP115" i="19"/>
  <c r="AO115" i="19"/>
  <c r="AN115" i="19"/>
  <c r="AM115" i="19"/>
  <c r="AL115" i="19"/>
  <c r="AP114" i="19"/>
  <c r="AO114" i="19"/>
  <c r="AN114" i="19"/>
  <c r="AM114" i="19"/>
  <c r="AL114" i="19"/>
  <c r="AP113" i="19"/>
  <c r="AO113" i="19"/>
  <c r="AN113" i="19"/>
  <c r="AM113" i="19"/>
  <c r="AL113" i="19"/>
  <c r="AP112" i="19"/>
  <c r="AO112" i="19"/>
  <c r="AN112" i="19"/>
  <c r="AM112" i="19"/>
  <c r="AL112" i="19"/>
  <c r="AP111" i="19"/>
  <c r="AO111" i="19"/>
  <c r="AN111" i="19"/>
  <c r="AM111" i="19"/>
  <c r="AL111" i="19"/>
  <c r="AP110" i="19"/>
  <c r="AO110" i="19"/>
  <c r="AN110" i="19"/>
  <c r="AM110" i="19"/>
  <c r="AL110" i="19"/>
  <c r="AS110" i="19" s="1"/>
  <c r="AP109" i="19"/>
  <c r="AO109" i="19"/>
  <c r="AN109" i="19"/>
  <c r="AM109" i="19"/>
  <c r="AL109" i="19"/>
  <c r="AP108" i="19"/>
  <c r="AO108" i="19"/>
  <c r="AN108" i="19"/>
  <c r="AM108" i="19"/>
  <c r="AL108" i="19"/>
  <c r="AP107" i="19"/>
  <c r="AO107" i="19"/>
  <c r="AN107" i="19"/>
  <c r="AM107" i="19"/>
  <c r="AL107" i="19"/>
  <c r="AP106" i="19"/>
  <c r="AO106" i="19"/>
  <c r="AN106" i="19"/>
  <c r="AM106" i="19"/>
  <c r="AL106" i="19"/>
  <c r="AP105" i="19"/>
  <c r="AM105" i="19"/>
  <c r="AP104" i="19"/>
  <c r="AO104" i="19"/>
  <c r="AN104" i="19"/>
  <c r="AM104" i="19"/>
  <c r="AL104" i="19"/>
  <c r="AP103" i="19"/>
  <c r="AO103" i="19"/>
  <c r="AN103" i="19"/>
  <c r="AM103" i="19"/>
  <c r="AL103" i="19"/>
  <c r="AP102" i="19"/>
  <c r="AO102" i="19"/>
  <c r="AN102" i="19"/>
  <c r="AM102" i="19"/>
  <c r="AL102" i="19"/>
  <c r="AS102" i="19" s="1"/>
  <c r="AP101" i="19"/>
  <c r="AO101" i="19"/>
  <c r="AN101" i="19"/>
  <c r="AM101" i="19"/>
  <c r="AL101" i="19"/>
  <c r="AP100" i="19"/>
  <c r="AO100" i="19"/>
  <c r="AN100" i="19"/>
  <c r="AM100" i="19"/>
  <c r="AL100" i="19"/>
  <c r="AP99" i="19"/>
  <c r="AO99" i="19"/>
  <c r="AN99" i="19"/>
  <c r="AM99" i="19"/>
  <c r="AL99" i="19"/>
  <c r="AP98" i="19"/>
  <c r="AO98" i="19"/>
  <c r="AN98" i="19"/>
  <c r="AM98" i="19"/>
  <c r="AL98" i="19"/>
  <c r="AP97" i="19"/>
  <c r="AO97" i="19"/>
  <c r="AN97" i="19"/>
  <c r="AM97" i="19"/>
  <c r="AL97" i="19"/>
  <c r="AT97" i="19" s="1"/>
  <c r="AP96" i="19"/>
  <c r="AO96" i="19"/>
  <c r="AN96" i="19"/>
  <c r="AM96" i="19"/>
  <c r="AL96" i="19"/>
  <c r="AT205" i="18"/>
  <c r="AS205" i="18"/>
  <c r="AR205" i="18"/>
  <c r="AQ205" i="18"/>
  <c r="AP205" i="18"/>
  <c r="AO205" i="18"/>
  <c r="AN205" i="18"/>
  <c r="AM205" i="18"/>
  <c r="AL205" i="18"/>
  <c r="AT204" i="18"/>
  <c r="AS204" i="18"/>
  <c r="AR204" i="18"/>
  <c r="AQ204" i="18"/>
  <c r="AP204" i="18"/>
  <c r="AO204" i="18"/>
  <c r="AN204" i="18"/>
  <c r="AM204" i="18"/>
  <c r="AL204" i="18"/>
  <c r="AT203" i="18"/>
  <c r="AS203" i="18"/>
  <c r="AR203" i="18"/>
  <c r="AQ203" i="18"/>
  <c r="AP203" i="18"/>
  <c r="AO203" i="18"/>
  <c r="AN203" i="18"/>
  <c r="AM203" i="18"/>
  <c r="AL203" i="18"/>
  <c r="AT202" i="18"/>
  <c r="AS202" i="18"/>
  <c r="AR202" i="18"/>
  <c r="AQ202" i="18"/>
  <c r="AP202" i="18"/>
  <c r="AO202" i="18"/>
  <c r="AN202" i="18"/>
  <c r="AM202" i="18"/>
  <c r="AL202" i="18"/>
  <c r="AT201" i="18"/>
  <c r="AS201" i="18"/>
  <c r="AR201" i="18"/>
  <c r="AQ201" i="18"/>
  <c r="AP201" i="18"/>
  <c r="AO201" i="18"/>
  <c r="AN201" i="18"/>
  <c r="AM201" i="18"/>
  <c r="AL201" i="18"/>
  <c r="AT200" i="18"/>
  <c r="AS200" i="18"/>
  <c r="AR200" i="18"/>
  <c r="AQ200" i="18"/>
  <c r="AP200" i="18"/>
  <c r="AO200" i="18"/>
  <c r="AN200" i="18"/>
  <c r="AM200" i="18"/>
  <c r="AL200" i="18"/>
  <c r="AT199" i="18"/>
  <c r="AS199" i="18"/>
  <c r="AR199" i="18"/>
  <c r="AQ199" i="18"/>
  <c r="AP199" i="18"/>
  <c r="AO199" i="18"/>
  <c r="AN199" i="18"/>
  <c r="AM199" i="18"/>
  <c r="AL199" i="18"/>
  <c r="AT198" i="18"/>
  <c r="AS198" i="18"/>
  <c r="AR198" i="18"/>
  <c r="AQ198" i="18"/>
  <c r="AP198" i="18"/>
  <c r="AO198" i="18"/>
  <c r="AN198" i="18"/>
  <c r="AM198" i="18"/>
  <c r="AL198" i="18"/>
  <c r="AT197" i="18"/>
  <c r="AS197" i="18"/>
  <c r="AR197" i="18"/>
  <c r="AQ197" i="18"/>
  <c r="AP197" i="18"/>
  <c r="AO197" i="18"/>
  <c r="AN197" i="18"/>
  <c r="AM197" i="18"/>
  <c r="AL197" i="18"/>
  <c r="AT196" i="18"/>
  <c r="AS196" i="18"/>
  <c r="AR196" i="18"/>
  <c r="AQ196" i="18"/>
  <c r="AP196" i="18"/>
  <c r="AO196" i="18"/>
  <c r="AN196" i="18"/>
  <c r="AM196" i="18"/>
  <c r="AL196" i="18"/>
  <c r="AT195" i="18"/>
  <c r="AS195" i="18"/>
  <c r="AR195" i="18"/>
  <c r="AQ195" i="18"/>
  <c r="AP195" i="18"/>
  <c r="AO195" i="18"/>
  <c r="AN195" i="18"/>
  <c r="AM195" i="18"/>
  <c r="AL195" i="18"/>
  <c r="AT194" i="18"/>
  <c r="AS194" i="18"/>
  <c r="AR194" i="18"/>
  <c r="AQ194" i="18"/>
  <c r="AP194" i="18"/>
  <c r="AO194" i="18"/>
  <c r="AN194" i="18"/>
  <c r="AM194" i="18"/>
  <c r="AL194" i="18"/>
  <c r="AT193" i="18"/>
  <c r="AS193" i="18"/>
  <c r="AR193" i="18"/>
  <c r="AQ193" i="18"/>
  <c r="AP193" i="18"/>
  <c r="AO193" i="18"/>
  <c r="AN193" i="18"/>
  <c r="AM193" i="18"/>
  <c r="AL193" i="18"/>
  <c r="AT192" i="18"/>
  <c r="AS192" i="18"/>
  <c r="AR192" i="18"/>
  <c r="AQ192" i="18"/>
  <c r="AP192" i="18"/>
  <c r="AO192" i="18"/>
  <c r="AN192" i="18"/>
  <c r="AM192" i="18"/>
  <c r="AL192" i="18"/>
  <c r="AT191" i="18"/>
  <c r="AS191" i="18"/>
  <c r="AR191" i="18"/>
  <c r="AQ191" i="18"/>
  <c r="AP191" i="18"/>
  <c r="AO191" i="18"/>
  <c r="AN191" i="18"/>
  <c r="AM191" i="18"/>
  <c r="AL191" i="18"/>
  <c r="AT190" i="18"/>
  <c r="AS190" i="18"/>
  <c r="AR190" i="18"/>
  <c r="AQ190" i="18"/>
  <c r="AP190" i="18"/>
  <c r="AO190" i="18"/>
  <c r="AN190" i="18"/>
  <c r="AM190" i="18"/>
  <c r="AL190" i="18"/>
  <c r="AT189" i="18"/>
  <c r="AS189" i="18"/>
  <c r="AR189" i="18"/>
  <c r="AQ189" i="18"/>
  <c r="AP189" i="18"/>
  <c r="AO189" i="18"/>
  <c r="AN189" i="18"/>
  <c r="AM189" i="18"/>
  <c r="AL189" i="18"/>
  <c r="AT188" i="18"/>
  <c r="AS188" i="18"/>
  <c r="AR188" i="18"/>
  <c r="AQ188" i="18"/>
  <c r="AP188" i="18"/>
  <c r="AO188" i="18"/>
  <c r="AN188" i="18"/>
  <c r="AM188" i="18"/>
  <c r="AL188" i="18"/>
  <c r="AT187" i="18"/>
  <c r="AS187" i="18"/>
  <c r="AR187" i="18"/>
  <c r="AQ187" i="18"/>
  <c r="AP187" i="18"/>
  <c r="AO187" i="18"/>
  <c r="AN187" i="18"/>
  <c r="AM187" i="18"/>
  <c r="AL187" i="18"/>
  <c r="AT186" i="18"/>
  <c r="AS186" i="18"/>
  <c r="AR186" i="18"/>
  <c r="AQ186" i="18"/>
  <c r="AP186" i="18"/>
  <c r="AO186" i="18"/>
  <c r="AN186" i="18"/>
  <c r="AM186" i="18"/>
  <c r="AL186" i="18"/>
  <c r="AT185" i="18"/>
  <c r="AS185" i="18"/>
  <c r="AR185" i="18"/>
  <c r="AQ185" i="18"/>
  <c r="AP185" i="18"/>
  <c r="AO185" i="18"/>
  <c r="AN185" i="18"/>
  <c r="AM185" i="18"/>
  <c r="AL185" i="18"/>
  <c r="AT184" i="18"/>
  <c r="AS184" i="18"/>
  <c r="AR184" i="18"/>
  <c r="AQ184" i="18"/>
  <c r="AP184" i="18"/>
  <c r="AO184" i="18"/>
  <c r="AN184" i="18"/>
  <c r="AM184" i="18"/>
  <c r="AL184" i="18"/>
  <c r="AT183" i="18"/>
  <c r="AS183" i="18"/>
  <c r="AR183" i="18"/>
  <c r="AQ183" i="18"/>
  <c r="AP183" i="18"/>
  <c r="AO183" i="18"/>
  <c r="AN183" i="18"/>
  <c r="AM183" i="18"/>
  <c r="AL183" i="18"/>
  <c r="AT182" i="18"/>
  <c r="AS182" i="18"/>
  <c r="AR182" i="18"/>
  <c r="AQ182" i="18"/>
  <c r="AP182" i="18"/>
  <c r="AO182" i="18"/>
  <c r="AN182" i="18"/>
  <c r="AM182" i="18"/>
  <c r="AL182" i="18"/>
  <c r="AT181" i="18"/>
  <c r="AS181" i="18"/>
  <c r="AR181" i="18"/>
  <c r="AQ181" i="18"/>
  <c r="AP181" i="18"/>
  <c r="AO181" i="18"/>
  <c r="AN181" i="18"/>
  <c r="AM181" i="18"/>
  <c r="AL181" i="18"/>
  <c r="AT180" i="18"/>
  <c r="AS180" i="18"/>
  <c r="AR180" i="18"/>
  <c r="AQ180" i="18"/>
  <c r="AP180" i="18"/>
  <c r="AO180" i="18"/>
  <c r="AN180" i="18"/>
  <c r="AM180" i="18"/>
  <c r="AL180" i="18"/>
  <c r="AT179" i="18"/>
  <c r="AS179" i="18"/>
  <c r="AR179" i="18"/>
  <c r="AQ179" i="18"/>
  <c r="AP179" i="18"/>
  <c r="AO179" i="18"/>
  <c r="AN179" i="18"/>
  <c r="AM179" i="18"/>
  <c r="AL179" i="18"/>
  <c r="AT178" i="18"/>
  <c r="AS178" i="18"/>
  <c r="AR178" i="18"/>
  <c r="AQ178" i="18"/>
  <c r="AP178" i="18"/>
  <c r="AO178" i="18"/>
  <c r="AN178" i="18"/>
  <c r="AM178" i="18"/>
  <c r="AL178" i="18"/>
  <c r="AT177" i="18"/>
  <c r="AS177" i="18"/>
  <c r="AR177" i="18"/>
  <c r="AQ177" i="18"/>
  <c r="AP177" i="18"/>
  <c r="AO177" i="18"/>
  <c r="AN177" i="18"/>
  <c r="AM177" i="18"/>
  <c r="AL177" i="18"/>
  <c r="AT176" i="18"/>
  <c r="AS176" i="18"/>
  <c r="AR176" i="18"/>
  <c r="AQ176" i="18"/>
  <c r="AP176" i="18"/>
  <c r="AO176" i="18"/>
  <c r="AN176" i="18"/>
  <c r="AM176" i="18"/>
  <c r="AL176" i="18"/>
  <c r="AT175" i="18"/>
  <c r="AS175" i="18"/>
  <c r="AR175" i="18"/>
  <c r="AQ175" i="18"/>
  <c r="AP175" i="18"/>
  <c r="AO175" i="18"/>
  <c r="AN175" i="18"/>
  <c r="AM175" i="18"/>
  <c r="AL175" i="18"/>
  <c r="AT174" i="18"/>
  <c r="AS174" i="18"/>
  <c r="AR174" i="18"/>
  <c r="AQ174" i="18"/>
  <c r="AP174" i="18"/>
  <c r="AO174" i="18"/>
  <c r="AN174" i="18"/>
  <c r="AM174" i="18"/>
  <c r="AL174" i="18"/>
  <c r="AT173" i="18"/>
  <c r="AS173" i="18"/>
  <c r="AR173" i="18"/>
  <c r="AQ173" i="18"/>
  <c r="AP173" i="18"/>
  <c r="AO173" i="18"/>
  <c r="AN173" i="18"/>
  <c r="AM173" i="18"/>
  <c r="AL173" i="18"/>
  <c r="AT172" i="18"/>
  <c r="AS172" i="18"/>
  <c r="AR172" i="18"/>
  <c r="AQ172" i="18"/>
  <c r="AP172" i="18"/>
  <c r="AO172" i="18"/>
  <c r="AN172" i="18"/>
  <c r="AM172" i="18"/>
  <c r="AL172" i="18"/>
  <c r="AT171" i="18"/>
  <c r="AS171" i="18"/>
  <c r="AR171" i="18"/>
  <c r="AQ171" i="18"/>
  <c r="AP171" i="18"/>
  <c r="AO171" i="18"/>
  <c r="AN171" i="18"/>
  <c r="AM171" i="18"/>
  <c r="AL171" i="18"/>
  <c r="AT170" i="18"/>
  <c r="AS170" i="18"/>
  <c r="AR170" i="18"/>
  <c r="AQ170" i="18"/>
  <c r="AP170" i="18"/>
  <c r="AO170" i="18"/>
  <c r="AN170" i="18"/>
  <c r="AM170" i="18"/>
  <c r="AL170" i="18"/>
  <c r="AT169" i="18"/>
  <c r="AS169" i="18"/>
  <c r="AR169" i="18"/>
  <c r="AQ169" i="18"/>
  <c r="AP169" i="18"/>
  <c r="AO169" i="18"/>
  <c r="AN169" i="18"/>
  <c r="AM169" i="18"/>
  <c r="AL169" i="18"/>
  <c r="AT168" i="18"/>
  <c r="AS168" i="18"/>
  <c r="AR168" i="18"/>
  <c r="AQ168" i="18"/>
  <c r="AP168" i="18"/>
  <c r="AO168" i="18"/>
  <c r="AN168" i="18"/>
  <c r="AM168" i="18"/>
  <c r="AL168" i="18"/>
  <c r="AT167" i="18"/>
  <c r="AS167" i="18"/>
  <c r="AR167" i="18"/>
  <c r="AQ167" i="18"/>
  <c r="AP167" i="18"/>
  <c r="AO167" i="18"/>
  <c r="AN167" i="18"/>
  <c r="AM167" i="18"/>
  <c r="AL167" i="18"/>
  <c r="AT166" i="18"/>
  <c r="AS166" i="18"/>
  <c r="AR166" i="18"/>
  <c r="AQ166" i="18"/>
  <c r="AP166" i="18"/>
  <c r="AO166" i="18"/>
  <c r="AN166" i="18"/>
  <c r="AM166" i="18"/>
  <c r="AL166" i="18"/>
  <c r="AT165" i="18"/>
  <c r="AS165" i="18"/>
  <c r="AR165" i="18"/>
  <c r="AQ165" i="18"/>
  <c r="AP165" i="18"/>
  <c r="AO165" i="18"/>
  <c r="AN165" i="18"/>
  <c r="AM165" i="18"/>
  <c r="AL165" i="18"/>
  <c r="AT164" i="18"/>
  <c r="AS164" i="18"/>
  <c r="AR164" i="18"/>
  <c r="AQ164" i="18"/>
  <c r="AP164" i="18"/>
  <c r="AO164" i="18"/>
  <c r="AN164" i="18"/>
  <c r="AM164" i="18"/>
  <c r="AL164" i="18"/>
  <c r="AT163" i="18"/>
  <c r="AS163" i="18"/>
  <c r="AR163" i="18"/>
  <c r="AQ163" i="18"/>
  <c r="AP163" i="18"/>
  <c r="AO163" i="18"/>
  <c r="AN163" i="18"/>
  <c r="AM163" i="18"/>
  <c r="AL163" i="18"/>
  <c r="AT162" i="18"/>
  <c r="AS162" i="18"/>
  <c r="AR162" i="18"/>
  <c r="AQ162" i="18"/>
  <c r="AP162" i="18"/>
  <c r="AO162" i="18"/>
  <c r="AN162" i="18"/>
  <c r="AM162" i="18"/>
  <c r="AL162" i="18"/>
  <c r="AT161" i="18"/>
  <c r="AS161" i="18"/>
  <c r="AR161" i="18"/>
  <c r="AQ161" i="18"/>
  <c r="AP161" i="18"/>
  <c r="AO161" i="18"/>
  <c r="AN161" i="18"/>
  <c r="AM161" i="18"/>
  <c r="AL161" i="18"/>
  <c r="AT160" i="18"/>
  <c r="AS160" i="18"/>
  <c r="AR160" i="18"/>
  <c r="AQ160" i="18"/>
  <c r="AP160" i="18"/>
  <c r="AO160" i="18"/>
  <c r="AN160" i="18"/>
  <c r="AM160" i="18"/>
  <c r="AL160" i="18"/>
  <c r="AT159" i="18"/>
  <c r="AS159" i="18"/>
  <c r="AR159" i="18"/>
  <c r="AQ159" i="18"/>
  <c r="AP159" i="18"/>
  <c r="AO159" i="18"/>
  <c r="AN159" i="18"/>
  <c r="AM159" i="18"/>
  <c r="AL159" i="18"/>
  <c r="AT158" i="18"/>
  <c r="AS158" i="18"/>
  <c r="AR158" i="18"/>
  <c r="AQ158" i="18"/>
  <c r="AP158" i="18"/>
  <c r="AO158" i="18"/>
  <c r="AN158" i="18"/>
  <c r="AM158" i="18"/>
  <c r="AL158" i="18"/>
  <c r="AT157" i="18"/>
  <c r="AS157" i="18"/>
  <c r="AR157" i="18"/>
  <c r="AQ157" i="18"/>
  <c r="AP157" i="18"/>
  <c r="AO157" i="18"/>
  <c r="AN157" i="18"/>
  <c r="AM157" i="18"/>
  <c r="AL157" i="18"/>
  <c r="AT156" i="18"/>
  <c r="AS156" i="18"/>
  <c r="AR156" i="18"/>
  <c r="AQ156" i="18"/>
  <c r="AP156" i="18"/>
  <c r="AO156" i="18"/>
  <c r="AN156" i="18"/>
  <c r="AM156" i="18"/>
  <c r="AL156" i="18"/>
  <c r="AT155" i="18"/>
  <c r="AS155" i="18"/>
  <c r="AR155" i="18"/>
  <c r="AQ155" i="18"/>
  <c r="AP155" i="18"/>
  <c r="AO155" i="18"/>
  <c r="AN155" i="18"/>
  <c r="AM155" i="18"/>
  <c r="AL155" i="18"/>
  <c r="AT154" i="18"/>
  <c r="AS154" i="18"/>
  <c r="AR154" i="18"/>
  <c r="AQ154" i="18"/>
  <c r="AP154" i="18"/>
  <c r="AO154" i="18"/>
  <c r="AN154" i="18"/>
  <c r="AM154" i="18"/>
  <c r="AL154" i="18"/>
  <c r="AT153" i="18"/>
  <c r="AS153" i="18"/>
  <c r="AR153" i="18"/>
  <c r="AQ153" i="18"/>
  <c r="AP153" i="18"/>
  <c r="AO153" i="18"/>
  <c r="AN153" i="18"/>
  <c r="AM153" i="18"/>
  <c r="AL153" i="18"/>
  <c r="AT152" i="18"/>
  <c r="AS152" i="18"/>
  <c r="AR152" i="18"/>
  <c r="AQ152" i="18"/>
  <c r="AP152" i="18"/>
  <c r="AO152" i="18"/>
  <c r="AN152" i="18"/>
  <c r="AM152" i="18"/>
  <c r="AL152" i="18"/>
  <c r="AT151" i="18"/>
  <c r="AS151" i="18"/>
  <c r="AR151" i="18"/>
  <c r="AQ151" i="18"/>
  <c r="AP151" i="18"/>
  <c r="AO151" i="18"/>
  <c r="AN151" i="18"/>
  <c r="AM151" i="18"/>
  <c r="AL151" i="18"/>
  <c r="AT150" i="18"/>
  <c r="AS150" i="18"/>
  <c r="AR150" i="18"/>
  <c r="AQ150" i="18"/>
  <c r="AP150" i="18"/>
  <c r="AO150" i="18"/>
  <c r="AN150" i="18"/>
  <c r="AM150" i="18"/>
  <c r="AL150" i="18"/>
  <c r="AT149" i="18"/>
  <c r="AS149" i="18"/>
  <c r="AR149" i="18"/>
  <c r="AQ149" i="18"/>
  <c r="AP149" i="18"/>
  <c r="AO149" i="18"/>
  <c r="AN149" i="18"/>
  <c r="AM149" i="18"/>
  <c r="AL149" i="18"/>
  <c r="AT148" i="18"/>
  <c r="AS148" i="18"/>
  <c r="AR148" i="18"/>
  <c r="AQ148" i="18"/>
  <c r="AP148" i="18"/>
  <c r="AO148" i="18"/>
  <c r="AN148" i="18"/>
  <c r="AM148" i="18"/>
  <c r="AL148" i="18"/>
  <c r="AT147" i="18"/>
  <c r="AS147" i="18"/>
  <c r="AR147" i="18"/>
  <c r="AQ147" i="18"/>
  <c r="AP147" i="18"/>
  <c r="AO147" i="18"/>
  <c r="AN147" i="18"/>
  <c r="AM147" i="18"/>
  <c r="AL147" i="18"/>
  <c r="AT146" i="18"/>
  <c r="AS146" i="18"/>
  <c r="AR146" i="18"/>
  <c r="AQ146" i="18"/>
  <c r="AP146" i="18"/>
  <c r="AO146" i="18"/>
  <c r="AN146" i="18"/>
  <c r="AM146" i="18"/>
  <c r="AL146" i="18"/>
  <c r="AT145" i="18"/>
  <c r="AS145" i="18"/>
  <c r="AR145" i="18"/>
  <c r="AQ145" i="18"/>
  <c r="AP145" i="18"/>
  <c r="AO145" i="18"/>
  <c r="AN145" i="18"/>
  <c r="AM145" i="18"/>
  <c r="AL145" i="18"/>
  <c r="AT144" i="18"/>
  <c r="AS144" i="18"/>
  <c r="AR144" i="18"/>
  <c r="AQ144" i="18"/>
  <c r="AP144" i="18"/>
  <c r="AO144" i="18"/>
  <c r="AN144" i="18"/>
  <c r="AM144" i="18"/>
  <c r="AL144" i="18"/>
  <c r="AT143" i="18"/>
  <c r="AS143" i="18"/>
  <c r="AR143" i="18"/>
  <c r="AQ143" i="18"/>
  <c r="AP143" i="18"/>
  <c r="AO143" i="18"/>
  <c r="AN143" i="18"/>
  <c r="AM143" i="18"/>
  <c r="AL143" i="18"/>
  <c r="AT142" i="18"/>
  <c r="AS142" i="18"/>
  <c r="AR142" i="18"/>
  <c r="AQ142" i="18"/>
  <c r="AP142" i="18"/>
  <c r="AO142" i="18"/>
  <c r="AN142" i="18"/>
  <c r="AM142" i="18"/>
  <c r="AL142" i="18"/>
  <c r="AT141" i="18"/>
  <c r="AS141" i="18"/>
  <c r="AR141" i="18"/>
  <c r="AQ141" i="18"/>
  <c r="AP141" i="18"/>
  <c r="AO141" i="18"/>
  <c r="AN141" i="18"/>
  <c r="AM141" i="18"/>
  <c r="AL141" i="18"/>
  <c r="AT140" i="18"/>
  <c r="AS140" i="18"/>
  <c r="AR140" i="18"/>
  <c r="AQ140" i="18"/>
  <c r="AP140" i="18"/>
  <c r="AO140" i="18"/>
  <c r="AN140" i="18"/>
  <c r="AM140" i="18"/>
  <c r="AL140" i="18"/>
  <c r="AT139" i="18"/>
  <c r="AS139" i="18"/>
  <c r="AR139" i="18"/>
  <c r="AQ139" i="18"/>
  <c r="AP139" i="18"/>
  <c r="AO139" i="18"/>
  <c r="AN139" i="18"/>
  <c r="AM139" i="18"/>
  <c r="AL139" i="18"/>
  <c r="AT138" i="18"/>
  <c r="AS138" i="18"/>
  <c r="AR138" i="18"/>
  <c r="AQ138" i="18"/>
  <c r="AP138" i="18"/>
  <c r="AO138" i="18"/>
  <c r="AN138" i="18"/>
  <c r="AM138" i="18"/>
  <c r="AL138" i="18"/>
  <c r="AT137" i="18"/>
  <c r="AS137" i="18"/>
  <c r="AR137" i="18"/>
  <c r="AQ137" i="18"/>
  <c r="AP137" i="18"/>
  <c r="AO137" i="18"/>
  <c r="AN137" i="18"/>
  <c r="AM137" i="18"/>
  <c r="AL137" i="18"/>
  <c r="AT136" i="18"/>
  <c r="AS136" i="18"/>
  <c r="AR136" i="18"/>
  <c r="AQ136" i="18"/>
  <c r="AP136" i="18"/>
  <c r="AO136" i="18"/>
  <c r="AN136" i="18"/>
  <c r="AM136" i="18"/>
  <c r="AL136" i="18"/>
  <c r="AT135" i="18"/>
  <c r="AS135" i="18"/>
  <c r="AR135" i="18"/>
  <c r="AQ135" i="18"/>
  <c r="AP135" i="18"/>
  <c r="AO135" i="18"/>
  <c r="AN135" i="18"/>
  <c r="AM135" i="18"/>
  <c r="AL135" i="18"/>
  <c r="AT134" i="18"/>
  <c r="AS134" i="18"/>
  <c r="AR134" i="18"/>
  <c r="AQ134" i="18"/>
  <c r="AP134" i="18"/>
  <c r="AO134" i="18"/>
  <c r="AN134" i="18"/>
  <c r="AM134" i="18"/>
  <c r="AL134" i="18"/>
  <c r="AT133" i="18"/>
  <c r="AS133" i="18"/>
  <c r="AR133" i="18"/>
  <c r="AQ133" i="18"/>
  <c r="AP133" i="18"/>
  <c r="AO133" i="18"/>
  <c r="AN133" i="18"/>
  <c r="AM133" i="18"/>
  <c r="AL133" i="18"/>
  <c r="AT132" i="18"/>
  <c r="AS132" i="18"/>
  <c r="AR132" i="18"/>
  <c r="AQ132" i="18"/>
  <c r="AP132" i="18"/>
  <c r="AO132" i="18"/>
  <c r="AN132" i="18"/>
  <c r="AM132" i="18"/>
  <c r="AL132" i="18"/>
  <c r="AT131" i="18"/>
  <c r="AS131" i="18"/>
  <c r="AR131" i="18"/>
  <c r="AQ131" i="18"/>
  <c r="AP131" i="18"/>
  <c r="AO131" i="18"/>
  <c r="AN131" i="18"/>
  <c r="AM131" i="18"/>
  <c r="AL131" i="18"/>
  <c r="AT130" i="18"/>
  <c r="AS130" i="18"/>
  <c r="AR130" i="18"/>
  <c r="AQ130" i="18"/>
  <c r="AP130" i="18"/>
  <c r="AO130" i="18"/>
  <c r="AN130" i="18"/>
  <c r="AM130" i="18"/>
  <c r="AL130" i="18"/>
  <c r="AT129" i="18"/>
  <c r="AS129" i="18"/>
  <c r="AR129" i="18"/>
  <c r="AQ129" i="18"/>
  <c r="AP129" i="18"/>
  <c r="AO129" i="18"/>
  <c r="AN129" i="18"/>
  <c r="AM129" i="18"/>
  <c r="AL129" i="18"/>
  <c r="AT128" i="18"/>
  <c r="AS128" i="18"/>
  <c r="AR128" i="18"/>
  <c r="AQ128" i="18"/>
  <c r="AP128" i="18"/>
  <c r="AO128" i="18"/>
  <c r="AN128" i="18"/>
  <c r="AM128" i="18"/>
  <c r="AL128" i="18"/>
  <c r="AT127" i="18"/>
  <c r="AS127" i="18"/>
  <c r="AR127" i="18"/>
  <c r="AQ127" i="18"/>
  <c r="AP127" i="18"/>
  <c r="AO127" i="18"/>
  <c r="AN127" i="18"/>
  <c r="AM127" i="18"/>
  <c r="AL127" i="18"/>
  <c r="AT126" i="18"/>
  <c r="AS126" i="18"/>
  <c r="AR126" i="18"/>
  <c r="AQ126" i="18"/>
  <c r="AP126" i="18"/>
  <c r="AO126" i="18"/>
  <c r="AN126" i="18"/>
  <c r="AM126" i="18"/>
  <c r="AL126" i="18"/>
  <c r="AT125" i="18"/>
  <c r="AS125" i="18"/>
  <c r="AR125" i="18"/>
  <c r="AQ125" i="18"/>
  <c r="AP125" i="18"/>
  <c r="AO125" i="18"/>
  <c r="AN125" i="18"/>
  <c r="AM125" i="18"/>
  <c r="AL125" i="18"/>
  <c r="AT124" i="18"/>
  <c r="AS124" i="18"/>
  <c r="AR124" i="18"/>
  <c r="AQ124" i="18"/>
  <c r="AP124" i="18"/>
  <c r="AO124" i="18"/>
  <c r="AN124" i="18"/>
  <c r="AM124" i="18"/>
  <c r="AL124" i="18"/>
  <c r="AT123" i="18"/>
  <c r="AS123" i="18"/>
  <c r="AR123" i="18"/>
  <c r="AQ123" i="18"/>
  <c r="AP123" i="18"/>
  <c r="AO123" i="18"/>
  <c r="AN123" i="18"/>
  <c r="AM123" i="18"/>
  <c r="AL123" i="18"/>
  <c r="AT122" i="18"/>
  <c r="AS122" i="18"/>
  <c r="AR122" i="18"/>
  <c r="AQ122" i="18"/>
  <c r="AP122" i="18"/>
  <c r="AO122" i="18"/>
  <c r="AN122" i="18"/>
  <c r="AM122" i="18"/>
  <c r="AL122" i="18"/>
  <c r="AT121" i="18"/>
  <c r="AS121" i="18"/>
  <c r="AR121" i="18"/>
  <c r="AQ121" i="18"/>
  <c r="AP121" i="18"/>
  <c r="AO121" i="18"/>
  <c r="AN121" i="18"/>
  <c r="AM121" i="18"/>
  <c r="AL121" i="18"/>
  <c r="AT120" i="18"/>
  <c r="AS120" i="18"/>
  <c r="AR120" i="18"/>
  <c r="AQ120" i="18"/>
  <c r="AP120" i="18"/>
  <c r="AO120" i="18"/>
  <c r="AN120" i="18"/>
  <c r="AM120" i="18"/>
  <c r="AL120" i="18"/>
  <c r="AT119" i="18"/>
  <c r="AS119" i="18"/>
  <c r="AR119" i="18"/>
  <c r="AQ119" i="18"/>
  <c r="AP119" i="18"/>
  <c r="AO119" i="18"/>
  <c r="AN119" i="18"/>
  <c r="AM119" i="18"/>
  <c r="AL119" i="18"/>
  <c r="AT118" i="18"/>
  <c r="AS118" i="18"/>
  <c r="AR118" i="18"/>
  <c r="AQ118" i="18"/>
  <c r="AP118" i="18"/>
  <c r="AO118" i="18"/>
  <c r="AN118" i="18"/>
  <c r="AM118" i="18"/>
  <c r="AL118" i="18"/>
  <c r="AT117" i="18"/>
  <c r="AS117" i="18"/>
  <c r="AR117" i="18"/>
  <c r="AQ117" i="18"/>
  <c r="AP117" i="18"/>
  <c r="AO117" i="18"/>
  <c r="AN117" i="18"/>
  <c r="AM117" i="18"/>
  <c r="AL117" i="18"/>
  <c r="AT116" i="18"/>
  <c r="AS116" i="18"/>
  <c r="AR116" i="18"/>
  <c r="AQ116" i="18"/>
  <c r="AP116" i="18"/>
  <c r="AO116" i="18"/>
  <c r="AN116" i="18"/>
  <c r="AM116" i="18"/>
  <c r="AL116" i="18"/>
  <c r="AT115" i="18"/>
  <c r="AS115" i="18"/>
  <c r="AR115" i="18"/>
  <c r="AQ115" i="18"/>
  <c r="AP115" i="18"/>
  <c r="AO115" i="18"/>
  <c r="AN115" i="18"/>
  <c r="AM115" i="18"/>
  <c r="AL115" i="18"/>
  <c r="AT114" i="18"/>
  <c r="AS114" i="18"/>
  <c r="AR114" i="18"/>
  <c r="AQ114" i="18"/>
  <c r="AP114" i="18"/>
  <c r="AO114" i="18"/>
  <c r="AN114" i="18"/>
  <c r="AM114" i="18"/>
  <c r="AL114" i="18"/>
  <c r="AT113" i="18"/>
  <c r="AS113" i="18"/>
  <c r="AR113" i="18"/>
  <c r="AQ113" i="18"/>
  <c r="AP113" i="18"/>
  <c r="AO113" i="18"/>
  <c r="AN113" i="18"/>
  <c r="AM113" i="18"/>
  <c r="AL113" i="18"/>
  <c r="AT112" i="18"/>
  <c r="AS112" i="18"/>
  <c r="AR112" i="18"/>
  <c r="AQ112" i="18"/>
  <c r="AP112" i="18"/>
  <c r="AO112" i="18"/>
  <c r="AN112" i="18"/>
  <c r="AM112" i="18"/>
  <c r="AL112" i="18"/>
  <c r="AT111" i="18"/>
  <c r="AS111" i="18"/>
  <c r="AR111" i="18"/>
  <c r="AQ111" i="18"/>
  <c r="AP111" i="18"/>
  <c r="AO111" i="18"/>
  <c r="AN111" i="18"/>
  <c r="AM111" i="18"/>
  <c r="AL111" i="18"/>
  <c r="AT110" i="18"/>
  <c r="AS110" i="18"/>
  <c r="AR110" i="18"/>
  <c r="AQ110" i="18"/>
  <c r="AP110" i="18"/>
  <c r="AO110" i="18"/>
  <c r="AN110" i="18"/>
  <c r="AM110" i="18"/>
  <c r="AL110" i="18"/>
  <c r="AT109" i="18"/>
  <c r="AS109" i="18"/>
  <c r="AR109" i="18"/>
  <c r="AQ109" i="18"/>
  <c r="AP109" i="18"/>
  <c r="AO109" i="18"/>
  <c r="AN109" i="18"/>
  <c r="AM109" i="18"/>
  <c r="AL109" i="18"/>
  <c r="AT108" i="18"/>
  <c r="AS108" i="18"/>
  <c r="AR108" i="18"/>
  <c r="AQ108" i="18"/>
  <c r="AP108" i="18"/>
  <c r="AO108" i="18"/>
  <c r="AN108" i="18"/>
  <c r="AM108" i="18"/>
  <c r="AL108" i="18"/>
  <c r="AT107" i="18"/>
  <c r="AS107" i="18"/>
  <c r="AR107" i="18"/>
  <c r="AQ107" i="18"/>
  <c r="AP107" i="18"/>
  <c r="AO107" i="18"/>
  <c r="AN107" i="18"/>
  <c r="AM107" i="18"/>
  <c r="AL107" i="18"/>
  <c r="AT106" i="18"/>
  <c r="AS106" i="18"/>
  <c r="AR106" i="18"/>
  <c r="AQ106" i="18"/>
  <c r="AP106" i="18"/>
  <c r="AO106" i="18"/>
  <c r="AN106" i="18"/>
  <c r="AM106" i="18"/>
  <c r="AL106" i="18"/>
  <c r="AP105" i="18"/>
  <c r="AM105" i="18"/>
  <c r="AP104" i="18"/>
  <c r="AO104" i="18"/>
  <c r="AN104" i="18"/>
  <c r="AM104" i="18"/>
  <c r="AL104" i="18"/>
  <c r="AP103" i="18"/>
  <c r="AO103" i="18"/>
  <c r="AN103" i="18"/>
  <c r="AM103" i="18"/>
  <c r="AL103" i="18"/>
  <c r="AP102" i="18"/>
  <c r="AO102" i="18"/>
  <c r="AN102" i="18"/>
  <c r="AM102" i="18"/>
  <c r="AL102" i="18"/>
  <c r="AP101" i="18"/>
  <c r="AO101" i="18"/>
  <c r="AN101" i="18"/>
  <c r="AM101" i="18"/>
  <c r="AL101" i="18"/>
  <c r="AS101" i="18" s="1"/>
  <c r="AP100" i="18"/>
  <c r="AO100" i="18"/>
  <c r="AN100" i="18"/>
  <c r="AM100" i="18"/>
  <c r="AL100" i="18"/>
  <c r="AP99" i="18"/>
  <c r="AO99" i="18"/>
  <c r="AN99" i="18"/>
  <c r="AM99" i="18"/>
  <c r="AL99" i="18"/>
  <c r="AS99" i="18" s="1"/>
  <c r="AP98" i="18"/>
  <c r="AO98" i="18"/>
  <c r="AN98" i="18"/>
  <c r="AM98" i="18"/>
  <c r="AQ98" i="18" s="1"/>
  <c r="AL98" i="18"/>
  <c r="AP97" i="18"/>
  <c r="AO97" i="18"/>
  <c r="AN97" i="18"/>
  <c r="AM97" i="18"/>
  <c r="AL97" i="18"/>
  <c r="AP96" i="18"/>
  <c r="AM96" i="18"/>
  <c r="AL96" i="18"/>
  <c r="AQ96" i="18" s="1"/>
  <c r="AP95" i="18"/>
  <c r="AO95" i="18"/>
  <c r="AN95" i="18"/>
  <c r="AM95" i="18"/>
  <c r="AL95" i="18"/>
  <c r="AP94" i="18"/>
  <c r="AO94" i="18"/>
  <c r="AN94" i="18"/>
  <c r="AM94" i="18"/>
  <c r="AL94" i="18"/>
  <c r="AT94" i="18" s="1"/>
  <c r="AP93" i="18"/>
  <c r="AO93" i="18"/>
  <c r="AN93" i="18"/>
  <c r="AM93" i="18"/>
  <c r="AL93" i="18"/>
  <c r="AQ93" i="18" s="1"/>
  <c r="AP92" i="18"/>
  <c r="AO92" i="18"/>
  <c r="AN92" i="18"/>
  <c r="AM92" i="18"/>
  <c r="AL92" i="18"/>
  <c r="AP91" i="18"/>
  <c r="AO91" i="18"/>
  <c r="AN91" i="18"/>
  <c r="AM91" i="18"/>
  <c r="AL91" i="18"/>
  <c r="AP90" i="18"/>
  <c r="AO90" i="18"/>
  <c r="AN90" i="18"/>
  <c r="AM90" i="18"/>
  <c r="AL90" i="18"/>
  <c r="AP89" i="18"/>
  <c r="AO89" i="18"/>
  <c r="AN89" i="18"/>
  <c r="AM89" i="18"/>
  <c r="AL89" i="18"/>
  <c r="AP88" i="18"/>
  <c r="AO88" i="18"/>
  <c r="AN88" i="18"/>
  <c r="AM88" i="18"/>
  <c r="AL88" i="18"/>
  <c r="AP87" i="18"/>
  <c r="AM87" i="18"/>
  <c r="AL87" i="18"/>
  <c r="AP86" i="18"/>
  <c r="AO86" i="18"/>
  <c r="AN86" i="18"/>
  <c r="AM86" i="18"/>
  <c r="AL86" i="18"/>
  <c r="AP85" i="18"/>
  <c r="AO85" i="18"/>
  <c r="AN85" i="18"/>
  <c r="AM85" i="18"/>
  <c r="AL85" i="18"/>
  <c r="AP84" i="18"/>
  <c r="AO84" i="18"/>
  <c r="AN84" i="18"/>
  <c r="AM84" i="18"/>
  <c r="AL84" i="18"/>
  <c r="AP83" i="18"/>
  <c r="AO83" i="18"/>
  <c r="AN83" i="18"/>
  <c r="AM83" i="18"/>
  <c r="AL83" i="18"/>
  <c r="AP82" i="18"/>
  <c r="AO82" i="18"/>
  <c r="AN82" i="18"/>
  <c r="AM82" i="18"/>
  <c r="AL82" i="18"/>
  <c r="AP81" i="18"/>
  <c r="AO81" i="18"/>
  <c r="AN81" i="18"/>
  <c r="AM81" i="18"/>
  <c r="AL81" i="18"/>
  <c r="AT81" i="18" s="1"/>
  <c r="AP80" i="18"/>
  <c r="AO80" i="18"/>
  <c r="AN80" i="18"/>
  <c r="AM80" i="18"/>
  <c r="AL80" i="18"/>
  <c r="AQ80" i="18" s="1"/>
  <c r="AP79" i="18"/>
  <c r="AO79" i="18"/>
  <c r="AN79" i="18"/>
  <c r="AM79" i="18"/>
  <c r="AL79" i="18"/>
  <c r="AR79" i="18" s="1"/>
  <c r="AP78" i="18"/>
  <c r="AM78" i="18"/>
  <c r="AL78" i="18"/>
  <c r="AP77" i="18"/>
  <c r="AO77" i="18"/>
  <c r="AN77" i="18"/>
  <c r="AM77" i="18"/>
  <c r="AL77" i="18"/>
  <c r="AP76" i="18"/>
  <c r="AO76" i="18"/>
  <c r="AN76" i="18"/>
  <c r="AM76" i="18"/>
  <c r="AL76" i="18"/>
  <c r="AR76" i="18" s="1"/>
  <c r="AL156" i="13"/>
  <c r="AQ156" i="13" s="1"/>
  <c r="AM156" i="13"/>
  <c r="AN156" i="13"/>
  <c r="AR156" i="13" s="1"/>
  <c r="AO156" i="13"/>
  <c r="AP156" i="13"/>
  <c r="AS156" i="13"/>
  <c r="AT156" i="13"/>
  <c r="AL157" i="13"/>
  <c r="AS157" i="13" s="1"/>
  <c r="AM157" i="13"/>
  <c r="AN157" i="13"/>
  <c r="AO157" i="13"/>
  <c r="AP157" i="13"/>
  <c r="AR157" i="13"/>
  <c r="AT157" i="13"/>
  <c r="AL158" i="13"/>
  <c r="AR158" i="13" s="1"/>
  <c r="AM158" i="13"/>
  <c r="AN158" i="13"/>
  <c r="AO158" i="13"/>
  <c r="AP158" i="13"/>
  <c r="AQ158" i="13"/>
  <c r="AT158" i="13"/>
  <c r="AL159" i="13"/>
  <c r="AQ159" i="13" s="1"/>
  <c r="AM159" i="13"/>
  <c r="AN159" i="13"/>
  <c r="AO159" i="13"/>
  <c r="AP159" i="13"/>
  <c r="AT159" i="13" s="1"/>
  <c r="AR159" i="13"/>
  <c r="AS159" i="13"/>
  <c r="AL160" i="13"/>
  <c r="AM160" i="13"/>
  <c r="AN160" i="13"/>
  <c r="AO160" i="13"/>
  <c r="AS160" i="13" s="1"/>
  <c r="AP160" i="13"/>
  <c r="AT160" i="13" s="1"/>
  <c r="AQ160" i="13"/>
  <c r="AR160" i="13"/>
  <c r="AL161" i="13"/>
  <c r="AR161" i="13" s="1"/>
  <c r="AM161" i="13"/>
  <c r="AN161" i="13"/>
  <c r="AO161" i="13"/>
  <c r="AP161" i="13"/>
  <c r="AT161" i="13" s="1"/>
  <c r="AQ161" i="13"/>
  <c r="AL162" i="13"/>
  <c r="AQ162" i="13" s="1"/>
  <c r="AM162" i="13"/>
  <c r="AN162" i="13"/>
  <c r="AO162" i="13"/>
  <c r="AS162" i="13" s="1"/>
  <c r="AP162" i="13"/>
  <c r="AT162" i="13"/>
  <c r="AL163" i="13"/>
  <c r="AT163" i="13" s="1"/>
  <c r="AM163" i="13"/>
  <c r="AN163" i="13"/>
  <c r="AO163" i="13"/>
  <c r="AP163" i="13"/>
  <c r="AL164" i="13"/>
  <c r="AQ164" i="13" s="1"/>
  <c r="AM164" i="13"/>
  <c r="AN164" i="13"/>
  <c r="AR164" i="13" s="1"/>
  <c r="AO164" i="13"/>
  <c r="AP164" i="13"/>
  <c r="AS164" i="13"/>
  <c r="AT164" i="13"/>
  <c r="AL165" i="13"/>
  <c r="AS165" i="13" s="1"/>
  <c r="AM165" i="13"/>
  <c r="AN165" i="13"/>
  <c r="AO165" i="13"/>
  <c r="AP165" i="13"/>
  <c r="AR165" i="13"/>
  <c r="AT165" i="13"/>
  <c r="AL166" i="13"/>
  <c r="AM166" i="13"/>
  <c r="AN166" i="13"/>
  <c r="AO166" i="13"/>
  <c r="AP166" i="13"/>
  <c r="AQ166" i="13"/>
  <c r="AR166" i="13"/>
  <c r="AS166" i="13"/>
  <c r="AT166" i="13"/>
  <c r="AL167" i="13"/>
  <c r="AM167" i="13"/>
  <c r="AN167" i="13"/>
  <c r="AO167" i="13"/>
  <c r="AP167" i="13"/>
  <c r="AQ167" i="13"/>
  <c r="AR167" i="13"/>
  <c r="AS167" i="13"/>
  <c r="AT167" i="13"/>
  <c r="AL168" i="13"/>
  <c r="AM168" i="13"/>
  <c r="AN168" i="13"/>
  <c r="AO168" i="13"/>
  <c r="AP168" i="13"/>
  <c r="AQ168" i="13"/>
  <c r="AR168" i="13"/>
  <c r="AS168" i="13"/>
  <c r="AT168" i="13"/>
  <c r="AL169" i="13"/>
  <c r="AM169" i="13"/>
  <c r="AN169" i="13"/>
  <c r="AO169" i="13"/>
  <c r="AP169" i="13"/>
  <c r="AQ169" i="13"/>
  <c r="AR169" i="13"/>
  <c r="AS169" i="13"/>
  <c r="AT169" i="13"/>
  <c r="AL170" i="13"/>
  <c r="AM170" i="13"/>
  <c r="AN170" i="13"/>
  <c r="AO170" i="13"/>
  <c r="AP170" i="13"/>
  <c r="AQ170" i="13"/>
  <c r="AR170" i="13"/>
  <c r="AS170" i="13"/>
  <c r="AT170" i="13"/>
  <c r="AL171" i="13"/>
  <c r="AM171" i="13"/>
  <c r="AN171" i="13"/>
  <c r="AO171" i="13"/>
  <c r="AP171" i="13"/>
  <c r="AQ171" i="13"/>
  <c r="AR171" i="13"/>
  <c r="AS171" i="13"/>
  <c r="AT171" i="13"/>
  <c r="AL172" i="13"/>
  <c r="AM172" i="13"/>
  <c r="AN172" i="13"/>
  <c r="AO172" i="13"/>
  <c r="AP172" i="13"/>
  <c r="AQ172" i="13"/>
  <c r="AR172" i="13"/>
  <c r="AS172" i="13"/>
  <c r="AT172" i="13"/>
  <c r="AL173" i="13"/>
  <c r="AM173" i="13"/>
  <c r="AN173" i="13"/>
  <c r="AO173" i="13"/>
  <c r="AP173" i="13"/>
  <c r="AQ173" i="13"/>
  <c r="AR173" i="13"/>
  <c r="AS173" i="13"/>
  <c r="AT173" i="13"/>
  <c r="AL174" i="13"/>
  <c r="AM174" i="13"/>
  <c r="AN174" i="13"/>
  <c r="AO174" i="13"/>
  <c r="AP174" i="13"/>
  <c r="AQ174" i="13"/>
  <c r="AR174" i="13"/>
  <c r="AS174" i="13"/>
  <c r="AT174" i="13"/>
  <c r="AL175" i="13"/>
  <c r="AM175" i="13"/>
  <c r="AN175" i="13"/>
  <c r="AO175" i="13"/>
  <c r="AP175" i="13"/>
  <c r="AQ175" i="13"/>
  <c r="AR175" i="13"/>
  <c r="AS175" i="13"/>
  <c r="AT175" i="13"/>
  <c r="AL176" i="13"/>
  <c r="AM176" i="13"/>
  <c r="AN176" i="13"/>
  <c r="AO176" i="13"/>
  <c r="AP176" i="13"/>
  <c r="AQ176" i="13"/>
  <c r="AR176" i="13"/>
  <c r="AS176" i="13"/>
  <c r="AT176" i="13"/>
  <c r="AL177" i="13"/>
  <c r="AM177" i="13"/>
  <c r="AN177" i="13"/>
  <c r="AO177" i="13"/>
  <c r="AP177" i="13"/>
  <c r="AQ177" i="13"/>
  <c r="AR177" i="13"/>
  <c r="AS177" i="13"/>
  <c r="AT177" i="13"/>
  <c r="AL178" i="13"/>
  <c r="AM178" i="13"/>
  <c r="AN178" i="13"/>
  <c r="AO178" i="13"/>
  <c r="AP178" i="13"/>
  <c r="AQ178" i="13"/>
  <c r="AR178" i="13"/>
  <c r="AS178" i="13"/>
  <c r="AT178" i="13"/>
  <c r="AL179" i="13"/>
  <c r="AM179" i="13"/>
  <c r="AN179" i="13"/>
  <c r="AO179" i="13"/>
  <c r="AP179" i="13"/>
  <c r="AQ179" i="13"/>
  <c r="AR179" i="13"/>
  <c r="AS179" i="13"/>
  <c r="AT179" i="13"/>
  <c r="AL180" i="13"/>
  <c r="AM180" i="13"/>
  <c r="AN180" i="13"/>
  <c r="AO180" i="13"/>
  <c r="AP180" i="13"/>
  <c r="AQ180" i="13"/>
  <c r="AR180" i="13"/>
  <c r="AS180" i="13"/>
  <c r="AT180" i="13"/>
  <c r="AL181" i="13"/>
  <c r="AM181" i="13"/>
  <c r="AN181" i="13"/>
  <c r="AO181" i="13"/>
  <c r="AP181" i="13"/>
  <c r="AQ181" i="13"/>
  <c r="AR181" i="13"/>
  <c r="AS181" i="13"/>
  <c r="AT181" i="13"/>
  <c r="AL182" i="13"/>
  <c r="AM182" i="13"/>
  <c r="AN182" i="13"/>
  <c r="AO182" i="13"/>
  <c r="AP182" i="13"/>
  <c r="AQ182" i="13"/>
  <c r="AR182" i="13"/>
  <c r="AS182" i="13"/>
  <c r="AT182" i="13"/>
  <c r="AL183" i="13"/>
  <c r="AM183" i="13"/>
  <c r="AN183" i="13"/>
  <c r="AO183" i="13"/>
  <c r="AP183" i="13"/>
  <c r="AQ183" i="13"/>
  <c r="AR183" i="13"/>
  <c r="AS183" i="13"/>
  <c r="AT183" i="13"/>
  <c r="AL184" i="13"/>
  <c r="AM184" i="13"/>
  <c r="AN184" i="13"/>
  <c r="AO184" i="13"/>
  <c r="AP184" i="13"/>
  <c r="AQ184" i="13"/>
  <c r="AR184" i="13"/>
  <c r="AS184" i="13"/>
  <c r="AT184" i="13"/>
  <c r="AL185" i="13"/>
  <c r="AM185" i="13"/>
  <c r="AN185" i="13"/>
  <c r="AO185" i="13"/>
  <c r="AP185" i="13"/>
  <c r="AQ185" i="13"/>
  <c r="AR185" i="13"/>
  <c r="AS185" i="13"/>
  <c r="AT185" i="13"/>
  <c r="AL186" i="13"/>
  <c r="AM186" i="13"/>
  <c r="AN186" i="13"/>
  <c r="AO186" i="13"/>
  <c r="AP186" i="13"/>
  <c r="AQ186" i="13"/>
  <c r="AR186" i="13"/>
  <c r="AS186" i="13"/>
  <c r="AT186" i="13"/>
  <c r="AL187" i="13"/>
  <c r="AM187" i="13"/>
  <c r="AN187" i="13"/>
  <c r="AO187" i="13"/>
  <c r="AP187" i="13"/>
  <c r="AQ187" i="13"/>
  <c r="AR187" i="13"/>
  <c r="AS187" i="13"/>
  <c r="AT187" i="13"/>
  <c r="AL188" i="13"/>
  <c r="AM188" i="13"/>
  <c r="AN188" i="13"/>
  <c r="AO188" i="13"/>
  <c r="AP188" i="13"/>
  <c r="AQ188" i="13"/>
  <c r="AR188" i="13"/>
  <c r="AS188" i="13"/>
  <c r="AT188" i="13"/>
  <c r="AL189" i="13"/>
  <c r="AM189" i="13"/>
  <c r="AN189" i="13"/>
  <c r="AO189" i="13"/>
  <c r="AP189" i="13"/>
  <c r="AQ189" i="13"/>
  <c r="AR189" i="13"/>
  <c r="AS189" i="13"/>
  <c r="AT189" i="13"/>
  <c r="AL190" i="13"/>
  <c r="AM190" i="13"/>
  <c r="AN190" i="13"/>
  <c r="AO190" i="13"/>
  <c r="AP190" i="13"/>
  <c r="AQ190" i="13"/>
  <c r="AR190" i="13"/>
  <c r="AS190" i="13"/>
  <c r="AT190" i="13"/>
  <c r="AL191" i="13"/>
  <c r="AM191" i="13"/>
  <c r="AN191" i="13"/>
  <c r="AO191" i="13"/>
  <c r="AP191" i="13"/>
  <c r="AQ191" i="13"/>
  <c r="AR191" i="13"/>
  <c r="AS191" i="13"/>
  <c r="AT191" i="13"/>
  <c r="AL192" i="13"/>
  <c r="AM192" i="13"/>
  <c r="AN192" i="13"/>
  <c r="AO192" i="13"/>
  <c r="AP192" i="13"/>
  <c r="AQ192" i="13"/>
  <c r="AR192" i="13"/>
  <c r="AS192" i="13"/>
  <c r="AT192" i="13"/>
  <c r="AL193" i="13"/>
  <c r="AM193" i="13"/>
  <c r="AN193" i="13"/>
  <c r="AO193" i="13"/>
  <c r="AP193" i="13"/>
  <c r="AQ193" i="13"/>
  <c r="AR193" i="13"/>
  <c r="AS193" i="13"/>
  <c r="AT193" i="13"/>
  <c r="AL194" i="13"/>
  <c r="AM194" i="13"/>
  <c r="AN194" i="13"/>
  <c r="AO194" i="13"/>
  <c r="AP194" i="13"/>
  <c r="AQ194" i="13"/>
  <c r="AR194" i="13"/>
  <c r="AS194" i="13"/>
  <c r="AT194" i="13"/>
  <c r="AL195" i="13"/>
  <c r="AM195" i="13"/>
  <c r="AN195" i="13"/>
  <c r="AO195" i="13"/>
  <c r="AP195" i="13"/>
  <c r="AQ195" i="13"/>
  <c r="AR195" i="13"/>
  <c r="AS195" i="13"/>
  <c r="AT195" i="13"/>
  <c r="AL196" i="13"/>
  <c r="AM196" i="13"/>
  <c r="AN196" i="13"/>
  <c r="AO196" i="13"/>
  <c r="AP196" i="13"/>
  <c r="AQ196" i="13"/>
  <c r="AR196" i="13"/>
  <c r="AS196" i="13"/>
  <c r="AT196" i="13"/>
  <c r="AL197" i="13"/>
  <c r="AM197" i="13"/>
  <c r="AN197" i="13"/>
  <c r="AO197" i="13"/>
  <c r="AP197" i="13"/>
  <c r="AQ197" i="13"/>
  <c r="AR197" i="13"/>
  <c r="AS197" i="13"/>
  <c r="AT197" i="13"/>
  <c r="AL198" i="13"/>
  <c r="AM198" i="13"/>
  <c r="AN198" i="13"/>
  <c r="AO198" i="13"/>
  <c r="AP198" i="13"/>
  <c r="AQ198" i="13"/>
  <c r="AR198" i="13"/>
  <c r="AS198" i="13"/>
  <c r="AT198" i="13"/>
  <c r="AL199" i="13"/>
  <c r="AM199" i="13"/>
  <c r="AN199" i="13"/>
  <c r="AO199" i="13"/>
  <c r="AP199" i="13"/>
  <c r="AQ199" i="13"/>
  <c r="AR199" i="13"/>
  <c r="AS199" i="13"/>
  <c r="AT199" i="13"/>
  <c r="AL200" i="13"/>
  <c r="AM200" i="13"/>
  <c r="AN200" i="13"/>
  <c r="AO200" i="13"/>
  <c r="AP200" i="13"/>
  <c r="AQ200" i="13"/>
  <c r="AR200" i="13"/>
  <c r="AS200" i="13"/>
  <c r="AT200" i="13"/>
  <c r="AL201" i="13"/>
  <c r="AM201" i="13"/>
  <c r="AN201" i="13"/>
  <c r="AO201" i="13"/>
  <c r="AP201" i="13"/>
  <c r="AQ201" i="13"/>
  <c r="AR201" i="13"/>
  <c r="AS201" i="13"/>
  <c r="AT201" i="13"/>
  <c r="AL202" i="13"/>
  <c r="AM202" i="13"/>
  <c r="AN202" i="13"/>
  <c r="AO202" i="13"/>
  <c r="AP202" i="13"/>
  <c r="AQ202" i="13"/>
  <c r="AR202" i="13"/>
  <c r="AS202" i="13"/>
  <c r="AT202" i="13"/>
  <c r="AL203" i="13"/>
  <c r="AM203" i="13"/>
  <c r="AN203" i="13"/>
  <c r="AO203" i="13"/>
  <c r="AP203" i="13"/>
  <c r="AQ203" i="13"/>
  <c r="AR203" i="13"/>
  <c r="AS203" i="13"/>
  <c r="AT203" i="13"/>
  <c r="AL204" i="13"/>
  <c r="AM204" i="13"/>
  <c r="AN204" i="13"/>
  <c r="AO204" i="13"/>
  <c r="AP204" i="13"/>
  <c r="AQ204" i="13"/>
  <c r="AR204" i="13"/>
  <c r="AS204" i="13"/>
  <c r="AT204" i="13"/>
  <c r="AL205" i="13"/>
  <c r="AM205" i="13"/>
  <c r="AN205" i="13"/>
  <c r="AO205" i="13"/>
  <c r="AP205" i="13"/>
  <c r="AQ205" i="13"/>
  <c r="AR205" i="13"/>
  <c r="AS205" i="13"/>
  <c r="AT205" i="13"/>
  <c r="AR84" i="18" l="1"/>
  <c r="AQ88" i="18"/>
  <c r="AT82" i="18"/>
  <c r="AQ101" i="19"/>
  <c r="AS82" i="18"/>
  <c r="AT103" i="18"/>
  <c r="AQ78" i="18"/>
  <c r="AQ82" i="18"/>
  <c r="AR104" i="19"/>
  <c r="AR112" i="19"/>
  <c r="AR92" i="18"/>
  <c r="AR100" i="18"/>
  <c r="AS77" i="18"/>
  <c r="AQ79" i="18"/>
  <c r="AS86" i="18"/>
  <c r="AT89" i="18"/>
  <c r="AS104" i="18"/>
  <c r="AS85" i="18"/>
  <c r="AT102" i="18"/>
  <c r="AS80" i="18"/>
  <c r="AR88" i="18"/>
  <c r="AS100" i="18"/>
  <c r="AS88" i="18"/>
  <c r="AT90" i="18"/>
  <c r="AT98" i="18"/>
  <c r="AR101" i="18"/>
  <c r="AT104" i="18"/>
  <c r="AT95" i="18"/>
  <c r="AR77" i="18"/>
  <c r="AQ86" i="18"/>
  <c r="AQ87" i="18"/>
  <c r="AS90" i="18"/>
  <c r="AS76" i="18"/>
  <c r="AT80" i="18"/>
  <c r="AS83" i="18"/>
  <c r="AR85" i="18"/>
  <c r="AR86" i="18"/>
  <c r="AQ94" i="18"/>
  <c r="AQ95" i="18"/>
  <c r="AT97" i="18"/>
  <c r="AS98" i="18"/>
  <c r="AQ104" i="18"/>
  <c r="AT76" i="18"/>
  <c r="AT78" i="18"/>
  <c r="AT79" i="18"/>
  <c r="AT88" i="18"/>
  <c r="AS91" i="18"/>
  <c r="AR93" i="18"/>
  <c r="AR94" i="18"/>
  <c r="AR95" i="18"/>
  <c r="AQ102" i="18"/>
  <c r="AQ103" i="18"/>
  <c r="AQ77" i="18"/>
  <c r="AS84" i="18"/>
  <c r="AT86" i="18"/>
  <c r="AT87" i="18"/>
  <c r="AS93" i="18"/>
  <c r="AS94" i="18"/>
  <c r="AT96" i="18"/>
  <c r="AR102" i="18"/>
  <c r="AR103" i="18"/>
  <c r="AQ85" i="18"/>
  <c r="AS92" i="18"/>
  <c r="AS102" i="18"/>
  <c r="AQ90" i="18"/>
  <c r="AQ101" i="18"/>
  <c r="AT91" i="18"/>
  <c r="AT92" i="18"/>
  <c r="AT100" i="18"/>
  <c r="AT93" i="18"/>
  <c r="AT83" i="18"/>
  <c r="AT99" i="18"/>
  <c r="AT77" i="18"/>
  <c r="AT85" i="18"/>
  <c r="AT101" i="18"/>
  <c r="AS79" i="18"/>
  <c r="AR80" i="18"/>
  <c r="AQ81" i="18"/>
  <c r="AQ89" i="18"/>
  <c r="AS95" i="18"/>
  <c r="AQ97" i="18"/>
  <c r="AS103" i="18"/>
  <c r="AR104" i="18"/>
  <c r="AR81" i="18"/>
  <c r="AR89" i="18"/>
  <c r="AT84" i="18"/>
  <c r="AR97" i="18"/>
  <c r="AS81" i="18"/>
  <c r="AR82" i="18"/>
  <c r="AQ83" i="18"/>
  <c r="AS89" i="18"/>
  <c r="AR90" i="18"/>
  <c r="AQ91" i="18"/>
  <c r="AS97" i="18"/>
  <c r="AR98" i="18"/>
  <c r="AQ99" i="18"/>
  <c r="AQ76" i="18"/>
  <c r="AR83" i="18"/>
  <c r="AQ84" i="18"/>
  <c r="AR91" i="18"/>
  <c r="AQ92" i="18"/>
  <c r="AR99" i="18"/>
  <c r="AQ100" i="18"/>
  <c r="AR96" i="19"/>
  <c r="AT107" i="19"/>
  <c r="AT115" i="19"/>
  <c r="AR122" i="19"/>
  <c r="AT99" i="19"/>
  <c r="AR103" i="19"/>
  <c r="AQ100" i="19"/>
  <c r="AR120" i="19"/>
  <c r="AT98" i="19"/>
  <c r="AT106" i="19"/>
  <c r="AS111" i="19"/>
  <c r="AT114" i="19"/>
  <c r="AR99" i="19"/>
  <c r="AT113" i="19"/>
  <c r="AS119" i="19"/>
  <c r="AR121" i="19"/>
  <c r="AT123" i="19"/>
  <c r="AS121" i="19"/>
  <c r="AT122" i="19"/>
  <c r="AR114" i="19"/>
  <c r="AS118" i="19"/>
  <c r="AR113" i="19"/>
  <c r="AS103" i="19"/>
  <c r="AQ108" i="19"/>
  <c r="AS113" i="19"/>
  <c r="AR107" i="19"/>
  <c r="AQ96" i="19"/>
  <c r="AT101" i="19"/>
  <c r="AQ104" i="19"/>
  <c r="AR115" i="19"/>
  <c r="AR123" i="19"/>
  <c r="AQ99" i="19"/>
  <c r="AT109" i="19"/>
  <c r="AQ112" i="19"/>
  <c r="AT117" i="19"/>
  <c r="AQ120" i="19"/>
  <c r="AQ98" i="19"/>
  <c r="AT100" i="19"/>
  <c r="AQ107" i="19"/>
  <c r="AS114" i="19"/>
  <c r="AS122" i="19"/>
  <c r="AQ97" i="19"/>
  <c r="AR98" i="19"/>
  <c r="AQ106" i="19"/>
  <c r="AT108" i="19"/>
  <c r="AR111" i="19"/>
  <c r="AQ115" i="19"/>
  <c r="AR119" i="19"/>
  <c r="AQ123" i="19"/>
  <c r="AS97" i="19"/>
  <c r="AR106" i="19"/>
  <c r="AQ113" i="19"/>
  <c r="AQ114" i="19"/>
  <c r="AQ121" i="19"/>
  <c r="AQ122" i="19"/>
  <c r="AT110" i="19"/>
  <c r="AS96" i="19"/>
  <c r="AR97" i="19"/>
  <c r="AT103" i="19"/>
  <c r="AS104" i="19"/>
  <c r="AT111" i="19"/>
  <c r="AS112" i="19"/>
  <c r="AT119" i="19"/>
  <c r="AS120" i="19"/>
  <c r="AT96" i="19"/>
  <c r="AS98" i="19"/>
  <c r="AS106" i="19"/>
  <c r="AT102" i="19"/>
  <c r="AT104" i="19"/>
  <c r="AT112" i="19"/>
  <c r="AT120" i="19"/>
  <c r="AS99" i="19"/>
  <c r="AR100" i="19"/>
  <c r="AS107" i="19"/>
  <c r="AR108" i="19"/>
  <c r="AQ109" i="19"/>
  <c r="AS115" i="19"/>
  <c r="AR116" i="19"/>
  <c r="AQ117" i="19"/>
  <c r="AS123" i="19"/>
  <c r="AR124" i="19"/>
  <c r="AS100" i="19"/>
  <c r="AR101" i="19"/>
  <c r="AQ102" i="19"/>
  <c r="AS108" i="19"/>
  <c r="AR109" i="19"/>
  <c r="AQ110" i="19"/>
  <c r="AS116" i="19"/>
  <c r="AR117" i="19"/>
  <c r="AQ118" i="19"/>
  <c r="AS124" i="19"/>
  <c r="AS101" i="19"/>
  <c r="AR102" i="19"/>
  <c r="AQ103" i="19"/>
  <c r="AS109" i="19"/>
  <c r="AR110" i="19"/>
  <c r="AQ111" i="19"/>
  <c r="AS117" i="19"/>
  <c r="AR118" i="19"/>
  <c r="AQ119" i="19"/>
  <c r="AT118" i="19"/>
  <c r="R72" i="21"/>
  <c r="S71" i="21"/>
  <c r="T71" i="21" s="1"/>
  <c r="X71" i="21" s="1"/>
  <c r="Y71" i="21" s="1"/>
  <c r="AI73" i="21"/>
  <c r="AF74" i="21"/>
  <c r="J83" i="21"/>
  <c r="K82" i="21"/>
  <c r="O82" i="21" s="1"/>
  <c r="AQ165" i="13"/>
  <c r="AS163" i="13"/>
  <c r="AQ157" i="13"/>
  <c r="AR163" i="13"/>
  <c r="AQ163" i="13"/>
  <c r="AR162" i="13"/>
  <c r="AS161" i="13"/>
  <c r="AS158" i="13"/>
  <c r="S72" i="21" l="1"/>
  <c r="T72" i="21" s="1"/>
  <c r="X72" i="21" s="1"/>
  <c r="Y72" i="21" s="1"/>
  <c r="R73" i="21"/>
  <c r="J84" i="21"/>
  <c r="K83" i="21"/>
  <c r="O83" i="21" s="1"/>
  <c r="AI74" i="21"/>
  <c r="AF75" i="21"/>
  <c r="E43" i="18"/>
  <c r="F43" i="18" s="1"/>
  <c r="E44" i="18"/>
  <c r="F44" i="18" s="1"/>
  <c r="E45" i="18"/>
  <c r="F45" i="18" s="1"/>
  <c r="E46" i="18"/>
  <c r="F46" i="18" s="1"/>
  <c r="G47" i="18" s="1"/>
  <c r="S73" i="21" l="1"/>
  <c r="T73" i="21" s="1"/>
  <c r="X73" i="21" s="1"/>
  <c r="Y73" i="21" s="1"/>
  <c r="R74" i="21"/>
  <c r="AF76" i="21"/>
  <c r="AI75" i="21"/>
  <c r="J85" i="21"/>
  <c r="K84" i="21"/>
  <c r="O84" i="21" s="1"/>
  <c r="G20" i="24"/>
  <c r="G19" i="24"/>
  <c r="F19" i="24"/>
  <c r="F20" i="24"/>
  <c r="R75" i="21" l="1"/>
  <c r="S74" i="21"/>
  <c r="T74" i="21" s="1"/>
  <c r="X74" i="21" s="1"/>
  <c r="Y74" i="21" s="1"/>
  <c r="J86" i="21"/>
  <c r="K85" i="21"/>
  <c r="O85" i="21" s="1"/>
  <c r="AI76" i="21"/>
  <c r="AF77" i="21"/>
  <c r="S75" i="21" l="1"/>
  <c r="T75" i="21" s="1"/>
  <c r="X75" i="21" s="1"/>
  <c r="Y75" i="21" s="1"/>
  <c r="R76" i="21"/>
  <c r="AI77" i="21"/>
  <c r="AF78" i="21"/>
  <c r="J87" i="21"/>
  <c r="K86" i="21"/>
  <c r="O86" i="21" s="1"/>
  <c r="S76" i="21" l="1"/>
  <c r="T76" i="21" s="1"/>
  <c r="X76" i="21" s="1"/>
  <c r="Y76" i="21" s="1"/>
  <c r="R77" i="21"/>
  <c r="J88" i="21"/>
  <c r="K87" i="21"/>
  <c r="O87" i="21" s="1"/>
  <c r="AI78" i="21"/>
  <c r="AF79" i="21"/>
  <c r="R78" i="21" l="1"/>
  <c r="S77" i="21"/>
  <c r="T77" i="21" s="1"/>
  <c r="X77" i="21" s="1"/>
  <c r="Y77" i="21" s="1"/>
  <c r="AF80" i="21"/>
  <c r="AI79" i="21"/>
  <c r="J89" i="21"/>
  <c r="K88" i="21"/>
  <c r="O88" i="21" s="1"/>
  <c r="R79" i="21" l="1"/>
  <c r="S78" i="21"/>
  <c r="T78" i="21" s="1"/>
  <c r="X78" i="21" s="1"/>
  <c r="Y78" i="21" s="1"/>
  <c r="J90" i="21"/>
  <c r="K89" i="21"/>
  <c r="O89" i="21" s="1"/>
  <c r="AF81" i="21"/>
  <c r="AI80" i="21"/>
  <c r="R80" i="21" l="1"/>
  <c r="S79" i="21"/>
  <c r="T79" i="21" s="1"/>
  <c r="X79" i="21" s="1"/>
  <c r="Y79" i="21" s="1"/>
  <c r="AI81" i="21"/>
  <c r="AF82" i="21"/>
  <c r="J91" i="21"/>
  <c r="K90" i="21"/>
  <c r="O90" i="21" s="1"/>
  <c r="S80" i="21" l="1"/>
  <c r="T80" i="21" s="1"/>
  <c r="X80" i="21" s="1"/>
  <c r="Y80" i="21" s="1"/>
  <c r="R81" i="21"/>
  <c r="J92" i="21"/>
  <c r="K91" i="21"/>
  <c r="O91" i="21" s="1"/>
  <c r="AF83" i="21"/>
  <c r="AI82" i="21"/>
  <c r="S81" i="21" l="1"/>
  <c r="T81" i="21" s="1"/>
  <c r="X81" i="21" s="1"/>
  <c r="Y81" i="21" s="1"/>
  <c r="R82" i="21"/>
  <c r="AI83" i="21"/>
  <c r="AF84" i="21"/>
  <c r="J93" i="21"/>
  <c r="K92" i="21"/>
  <c r="O92" i="21" s="1"/>
  <c r="G44" i="18"/>
  <c r="S82" i="21" l="1"/>
  <c r="T82" i="21" s="1"/>
  <c r="X82" i="21" s="1"/>
  <c r="Y82" i="21" s="1"/>
  <c r="R83" i="21"/>
  <c r="J94" i="21"/>
  <c r="K93" i="21"/>
  <c r="O93" i="21" s="1"/>
  <c r="AF85" i="21"/>
  <c r="AI84" i="21"/>
  <c r="G46" i="18"/>
  <c r="G45" i="18"/>
  <c r="S83" i="21" l="1"/>
  <c r="T83" i="21" s="1"/>
  <c r="X83" i="21" s="1"/>
  <c r="Y83" i="21" s="1"/>
  <c r="R84" i="21"/>
  <c r="AF86" i="21"/>
  <c r="AI85" i="21"/>
  <c r="J95" i="21"/>
  <c r="K95" i="21" s="1"/>
  <c r="O95" i="21" s="1"/>
  <c r="K94" i="21"/>
  <c r="O94" i="21" s="1"/>
  <c r="B53" i="27"/>
  <c r="B67" i="27"/>
  <c r="U4" i="27"/>
  <c r="X4" i="27"/>
  <c r="AA4" i="27"/>
  <c r="AD4" i="27"/>
  <c r="F94" i="18"/>
  <c r="E94" i="18"/>
  <c r="AN105" i="18" s="1"/>
  <c r="AB68" i="18"/>
  <c r="F50" i="27"/>
  <c r="E49" i="27"/>
  <c r="E48" i="27"/>
  <c r="F90" i="18"/>
  <c r="F47" i="27" s="1"/>
  <c r="E90" i="18"/>
  <c r="E47" i="27" s="1"/>
  <c r="B47" i="27"/>
  <c r="F89" i="18"/>
  <c r="F46" i="27" s="1"/>
  <c r="E89" i="18"/>
  <c r="F88" i="18"/>
  <c r="AO96" i="18" s="1"/>
  <c r="AS96" i="18" s="1"/>
  <c r="E88" i="18"/>
  <c r="AN96" i="18" s="1"/>
  <c r="AR96" i="18" s="1"/>
  <c r="B45" i="27"/>
  <c r="F87" i="18"/>
  <c r="AO87" i="18" s="1"/>
  <c r="AS87" i="18" s="1"/>
  <c r="E87" i="18"/>
  <c r="F86" i="18"/>
  <c r="AO78" i="18" s="1"/>
  <c r="AS78" i="18" s="1"/>
  <c r="E86" i="18"/>
  <c r="B43" i="27"/>
  <c r="F85" i="18"/>
  <c r="AE70" i="18" s="1"/>
  <c r="E85" i="18"/>
  <c r="F84" i="18"/>
  <c r="E84" i="18"/>
  <c r="F83" i="18"/>
  <c r="E83" i="18"/>
  <c r="E40" i="27" s="1"/>
  <c r="F82" i="18"/>
  <c r="E82" i="18"/>
  <c r="R10" i="27"/>
  <c r="U10" i="27" s="1"/>
  <c r="X10" i="27" s="1"/>
  <c r="AA10" i="27" s="1"/>
  <c r="AD10" i="27" s="1"/>
  <c r="R12" i="27"/>
  <c r="U12" i="27" s="1"/>
  <c r="X12" i="27" s="1"/>
  <c r="AA12" i="27" s="1"/>
  <c r="AD12" i="27" s="1"/>
  <c r="F10" i="13"/>
  <c r="M9" i="26"/>
  <c r="F10" i="20"/>
  <c r="F13" i="19"/>
  <c r="F10" i="19"/>
  <c r="U22" i="27"/>
  <c r="B24" i="27"/>
  <c r="B25" i="27"/>
  <c r="B95" i="13"/>
  <c r="C82" i="13"/>
  <c r="C23" i="27" s="1"/>
  <c r="C83" i="13"/>
  <c r="C24" i="27" s="1"/>
  <c r="C84" i="13"/>
  <c r="C25" i="27" s="1"/>
  <c r="C85" i="13"/>
  <c r="C26" i="27" s="1"/>
  <c r="C86" i="13"/>
  <c r="C27" i="27" s="1"/>
  <c r="C87" i="13"/>
  <c r="C28" i="27" s="1"/>
  <c r="C88" i="13"/>
  <c r="C29" i="27" s="1"/>
  <c r="C89" i="13"/>
  <c r="C30" i="27" s="1"/>
  <c r="C90" i="13"/>
  <c r="C31" i="27" s="1"/>
  <c r="C91" i="13"/>
  <c r="C32" i="27" s="1"/>
  <c r="C92" i="13"/>
  <c r="C33" i="27" s="1"/>
  <c r="C93" i="13"/>
  <c r="C34" i="27" s="1"/>
  <c r="X5" i="27"/>
  <c r="L69" i="27" s="1"/>
  <c r="B69" i="27"/>
  <c r="B71" i="27"/>
  <c r="U5" i="27"/>
  <c r="L53" i="27" s="1"/>
  <c r="B73" i="27"/>
  <c r="AD5" i="27"/>
  <c r="L101" i="27" s="1"/>
  <c r="B101" i="27"/>
  <c r="B74" i="27"/>
  <c r="O5" i="27"/>
  <c r="B75" i="27"/>
  <c r="R5" i="27"/>
  <c r="L37" i="27" s="1"/>
  <c r="B76" i="27"/>
  <c r="AA5" i="27"/>
  <c r="L85" i="27" s="1"/>
  <c r="B85" i="27"/>
  <c r="B87" i="27"/>
  <c r="C94" i="20"/>
  <c r="C83" i="27" s="1"/>
  <c r="B83" i="27"/>
  <c r="B88" i="27"/>
  <c r="B89" i="27"/>
  <c r="B90" i="27"/>
  <c r="B91" i="27"/>
  <c r="B92" i="27"/>
  <c r="B93" i="27"/>
  <c r="B94" i="27"/>
  <c r="B99" i="27"/>
  <c r="B79" i="27"/>
  <c r="B81" i="27"/>
  <c r="B82" i="27"/>
  <c r="R6" i="27"/>
  <c r="U6" i="27" s="1"/>
  <c r="X6" i="27" s="1"/>
  <c r="AA6" i="27" s="1"/>
  <c r="AD6" i="27" s="1"/>
  <c r="E24" i="24"/>
  <c r="G24" i="24"/>
  <c r="O4" i="27"/>
  <c r="U23" i="27"/>
  <c r="U24" i="27"/>
  <c r="U25" i="27"/>
  <c r="U26" i="27"/>
  <c r="AI205" i="13"/>
  <c r="AH205" i="13"/>
  <c r="AG205" i="13"/>
  <c r="AF205" i="13"/>
  <c r="AE205" i="13"/>
  <c r="AD205" i="13"/>
  <c r="AC205" i="13"/>
  <c r="AB205" i="13"/>
  <c r="AI204" i="13"/>
  <c r="AH204" i="13"/>
  <c r="AG204" i="13"/>
  <c r="AF204" i="13"/>
  <c r="AE204" i="13"/>
  <c r="AD204" i="13"/>
  <c r="AC204" i="13"/>
  <c r="AB204" i="13"/>
  <c r="AI203" i="13"/>
  <c r="AH203" i="13"/>
  <c r="AG203" i="13"/>
  <c r="AF203" i="13"/>
  <c r="AE203" i="13"/>
  <c r="AD203" i="13"/>
  <c r="AC203" i="13"/>
  <c r="AB203" i="13"/>
  <c r="AI202" i="13"/>
  <c r="AH202" i="13"/>
  <c r="AG202" i="13"/>
  <c r="AF202" i="13"/>
  <c r="AE202" i="13"/>
  <c r="AD202" i="13"/>
  <c r="AC202" i="13"/>
  <c r="AB202" i="13"/>
  <c r="AI201" i="13"/>
  <c r="AH201" i="13"/>
  <c r="AG201" i="13"/>
  <c r="AF201" i="13"/>
  <c r="AE201" i="13"/>
  <c r="AD201" i="13"/>
  <c r="AC201" i="13"/>
  <c r="AB201" i="13"/>
  <c r="AI200" i="13"/>
  <c r="AH200" i="13"/>
  <c r="AG200" i="13"/>
  <c r="AF200" i="13"/>
  <c r="AE200" i="13"/>
  <c r="AD200" i="13"/>
  <c r="AC200" i="13"/>
  <c r="AB200" i="13"/>
  <c r="AI199" i="13"/>
  <c r="AH199" i="13"/>
  <c r="AG199" i="13"/>
  <c r="AF199" i="13"/>
  <c r="AE199" i="13"/>
  <c r="AD199" i="13"/>
  <c r="AC199" i="13"/>
  <c r="AB199" i="13"/>
  <c r="AI198" i="13"/>
  <c r="AH198" i="13"/>
  <c r="AG198" i="13"/>
  <c r="AF198" i="13"/>
  <c r="AE198" i="13"/>
  <c r="AD198" i="13"/>
  <c r="AC198" i="13"/>
  <c r="AB198" i="13"/>
  <c r="AI197" i="13"/>
  <c r="AH197" i="13"/>
  <c r="AG197" i="13"/>
  <c r="AF197" i="13"/>
  <c r="AE197" i="13"/>
  <c r="AD197" i="13"/>
  <c r="AC197" i="13"/>
  <c r="AB197" i="13"/>
  <c r="AI196" i="13"/>
  <c r="AH196" i="13"/>
  <c r="AG196" i="13"/>
  <c r="AF196" i="13"/>
  <c r="AE196" i="13"/>
  <c r="AD196" i="13"/>
  <c r="AC196" i="13"/>
  <c r="AB196" i="13"/>
  <c r="AI195" i="13"/>
  <c r="AH195" i="13"/>
  <c r="AG195" i="13"/>
  <c r="AF195" i="13"/>
  <c r="AE195" i="13"/>
  <c r="AD195" i="13"/>
  <c r="AC195" i="13"/>
  <c r="AB195" i="13"/>
  <c r="AI194" i="13"/>
  <c r="AH194" i="13"/>
  <c r="AG194" i="13"/>
  <c r="AF194" i="13"/>
  <c r="AE194" i="13"/>
  <c r="AD194" i="13"/>
  <c r="AC194" i="13"/>
  <c r="AB194" i="13"/>
  <c r="AI193" i="13"/>
  <c r="AH193" i="13"/>
  <c r="AG193" i="13"/>
  <c r="AF193" i="13"/>
  <c r="AE193" i="13"/>
  <c r="AD193" i="13"/>
  <c r="AC193" i="13"/>
  <c r="AB193" i="13"/>
  <c r="AI192" i="13"/>
  <c r="AH192" i="13"/>
  <c r="AG192" i="13"/>
  <c r="AF192" i="13"/>
  <c r="AE192" i="13"/>
  <c r="AD192" i="13"/>
  <c r="AC192" i="13"/>
  <c r="AB192" i="13"/>
  <c r="AI191" i="13"/>
  <c r="AH191" i="13"/>
  <c r="AG191" i="13"/>
  <c r="AF191" i="13"/>
  <c r="AE191" i="13"/>
  <c r="AD191" i="13"/>
  <c r="AC191" i="13"/>
  <c r="AB191" i="13"/>
  <c r="AI190" i="13"/>
  <c r="AH190" i="13"/>
  <c r="AG190" i="13"/>
  <c r="AF190" i="13"/>
  <c r="AE190" i="13"/>
  <c r="AD190" i="13"/>
  <c r="AC190" i="13"/>
  <c r="AB190" i="13"/>
  <c r="AI189" i="13"/>
  <c r="AH189" i="13"/>
  <c r="AG189" i="13"/>
  <c r="AF189" i="13"/>
  <c r="AE189" i="13"/>
  <c r="AD189" i="13"/>
  <c r="AC189" i="13"/>
  <c r="AB189" i="13"/>
  <c r="AI188" i="13"/>
  <c r="AH188" i="13"/>
  <c r="AG188" i="13"/>
  <c r="AF188" i="13"/>
  <c r="AE188" i="13"/>
  <c r="AD188" i="13"/>
  <c r="AC188" i="13"/>
  <c r="AB188" i="13"/>
  <c r="AI187" i="13"/>
  <c r="AH187" i="13"/>
  <c r="AG187" i="13"/>
  <c r="AF187" i="13"/>
  <c r="AE187" i="13"/>
  <c r="AD187" i="13"/>
  <c r="AC187" i="13"/>
  <c r="AB187" i="13"/>
  <c r="AI186" i="13"/>
  <c r="AH186" i="13"/>
  <c r="AG186" i="13"/>
  <c r="AF186" i="13"/>
  <c r="AE186" i="13"/>
  <c r="AD186" i="13"/>
  <c r="AC186" i="13"/>
  <c r="AB186" i="13"/>
  <c r="AI185" i="13"/>
  <c r="AH185" i="13"/>
  <c r="AG185" i="13"/>
  <c r="AF185" i="13"/>
  <c r="AE185" i="13"/>
  <c r="AD185" i="13"/>
  <c r="AC185" i="13"/>
  <c r="AB185" i="13"/>
  <c r="AI184" i="13"/>
  <c r="AH184" i="13"/>
  <c r="AG184" i="13"/>
  <c r="AF184" i="13"/>
  <c r="AE184" i="13"/>
  <c r="AD184" i="13"/>
  <c r="AC184" i="13"/>
  <c r="AB184" i="13"/>
  <c r="AI183" i="13"/>
  <c r="AH183" i="13"/>
  <c r="AG183" i="13"/>
  <c r="AF183" i="13"/>
  <c r="AE183" i="13"/>
  <c r="AD183" i="13"/>
  <c r="AC183" i="13"/>
  <c r="AB183" i="13"/>
  <c r="AI182" i="13"/>
  <c r="AH182" i="13"/>
  <c r="AG182" i="13"/>
  <c r="AF182" i="13"/>
  <c r="AE182" i="13"/>
  <c r="AD182" i="13"/>
  <c r="AC182" i="13"/>
  <c r="AB182" i="13"/>
  <c r="AI181" i="13"/>
  <c r="AH181" i="13"/>
  <c r="AG181" i="13"/>
  <c r="AF181" i="13"/>
  <c r="AE181" i="13"/>
  <c r="AD181" i="13"/>
  <c r="AC181" i="13"/>
  <c r="AB181" i="13"/>
  <c r="AI180" i="13"/>
  <c r="AH180" i="13"/>
  <c r="AG180" i="13"/>
  <c r="AF180" i="13"/>
  <c r="AE180" i="13"/>
  <c r="AD180" i="13"/>
  <c r="AC180" i="13"/>
  <c r="AB180" i="13"/>
  <c r="AI179" i="13"/>
  <c r="AH179" i="13"/>
  <c r="AG179" i="13"/>
  <c r="AF179" i="13"/>
  <c r="AE179" i="13"/>
  <c r="AD179" i="13"/>
  <c r="AC179" i="13"/>
  <c r="AB179" i="13"/>
  <c r="AI178" i="13"/>
  <c r="AH178" i="13"/>
  <c r="AG178" i="13"/>
  <c r="AF178" i="13"/>
  <c r="AE178" i="13"/>
  <c r="AD178" i="13"/>
  <c r="AC178" i="13"/>
  <c r="AB178" i="13"/>
  <c r="AI177" i="13"/>
  <c r="AH177" i="13"/>
  <c r="AG177" i="13"/>
  <c r="AF177" i="13"/>
  <c r="AE177" i="13"/>
  <c r="AD177" i="13"/>
  <c r="AC177" i="13"/>
  <c r="AB177" i="13"/>
  <c r="AI176" i="13"/>
  <c r="AH176" i="13"/>
  <c r="AG176" i="13"/>
  <c r="AF176" i="13"/>
  <c r="AE176" i="13"/>
  <c r="AD176" i="13"/>
  <c r="AC176" i="13"/>
  <c r="AB176" i="13"/>
  <c r="AI175" i="13"/>
  <c r="AH175" i="13"/>
  <c r="AG175" i="13"/>
  <c r="AF175" i="13"/>
  <c r="AE175" i="13"/>
  <c r="AD175" i="13"/>
  <c r="AC175" i="13"/>
  <c r="AB175" i="13"/>
  <c r="AI174" i="13"/>
  <c r="AH174" i="13"/>
  <c r="AG174" i="13"/>
  <c r="AF174" i="13"/>
  <c r="AE174" i="13"/>
  <c r="AD174" i="13"/>
  <c r="AC174" i="13"/>
  <c r="AB174" i="13"/>
  <c r="AI173" i="13"/>
  <c r="AH173" i="13"/>
  <c r="AG173" i="13"/>
  <c r="AF173" i="13"/>
  <c r="AE173" i="13"/>
  <c r="AD173" i="13"/>
  <c r="AC173" i="13"/>
  <c r="AB173" i="13"/>
  <c r="AI172" i="13"/>
  <c r="AH172" i="13"/>
  <c r="AG172" i="13"/>
  <c r="AF172" i="13"/>
  <c r="AE172" i="13"/>
  <c r="AD172" i="13"/>
  <c r="AC172" i="13"/>
  <c r="AB172" i="13"/>
  <c r="AI171" i="13"/>
  <c r="AH171" i="13"/>
  <c r="AG171" i="13"/>
  <c r="AF171" i="13"/>
  <c r="AE171" i="13"/>
  <c r="AD171" i="13"/>
  <c r="AC171" i="13"/>
  <c r="AB171" i="13"/>
  <c r="AI170" i="13"/>
  <c r="AH170" i="13"/>
  <c r="AG170" i="13"/>
  <c r="AF170" i="13"/>
  <c r="AE170" i="13"/>
  <c r="AD170" i="13"/>
  <c r="AC170" i="13"/>
  <c r="AB170" i="13"/>
  <c r="AI169" i="13"/>
  <c r="AH169" i="13"/>
  <c r="AG169" i="13"/>
  <c r="AF169" i="13"/>
  <c r="AE169" i="13"/>
  <c r="AD169" i="13"/>
  <c r="AC169" i="13"/>
  <c r="AB169" i="13"/>
  <c r="AI168" i="13"/>
  <c r="AH168" i="13"/>
  <c r="AG168" i="13"/>
  <c r="AF168" i="13"/>
  <c r="AE168" i="13"/>
  <c r="AD168" i="13"/>
  <c r="AC168" i="13"/>
  <c r="AB168" i="13"/>
  <c r="AI167" i="13"/>
  <c r="AH167" i="13"/>
  <c r="AG167" i="13"/>
  <c r="AF167" i="13"/>
  <c r="AE167" i="13"/>
  <c r="AD167" i="13"/>
  <c r="AC167" i="13"/>
  <c r="AB167" i="13"/>
  <c r="AI166" i="13"/>
  <c r="AH166" i="13"/>
  <c r="AG166" i="13"/>
  <c r="AF166" i="13"/>
  <c r="AE166" i="13"/>
  <c r="AD166" i="13"/>
  <c r="AC166" i="13"/>
  <c r="AB166" i="13"/>
  <c r="AI5" i="13"/>
  <c r="AE205" i="18"/>
  <c r="AD205" i="18"/>
  <c r="AC205" i="18"/>
  <c r="AB205" i="18"/>
  <c r="AE204" i="18"/>
  <c r="AD204" i="18"/>
  <c r="AC204" i="18"/>
  <c r="AB204" i="18"/>
  <c r="AE203" i="18"/>
  <c r="AD203" i="18"/>
  <c r="AC203" i="18"/>
  <c r="AB203" i="18"/>
  <c r="AE202" i="18"/>
  <c r="AD202" i="18"/>
  <c r="AC202" i="18"/>
  <c r="AB202" i="18"/>
  <c r="AE201" i="18"/>
  <c r="AD201" i="18"/>
  <c r="AC201" i="18"/>
  <c r="AB201" i="18"/>
  <c r="AE200" i="18"/>
  <c r="AD200" i="18"/>
  <c r="AC200" i="18"/>
  <c r="AB200" i="18"/>
  <c r="AE199" i="18"/>
  <c r="AD199" i="18"/>
  <c r="AC199" i="18"/>
  <c r="AB199" i="18"/>
  <c r="AE198" i="18"/>
  <c r="AD198" i="18"/>
  <c r="AC198" i="18"/>
  <c r="AB198" i="18"/>
  <c r="AE197" i="18"/>
  <c r="AD197" i="18"/>
  <c r="AC197" i="18"/>
  <c r="AB197" i="18"/>
  <c r="AE196" i="18"/>
  <c r="AD196" i="18"/>
  <c r="AC196" i="18"/>
  <c r="AB196" i="18"/>
  <c r="AE195" i="18"/>
  <c r="AD195" i="18"/>
  <c r="AC195" i="18"/>
  <c r="AB195" i="18"/>
  <c r="AE194" i="18"/>
  <c r="AD194" i="18"/>
  <c r="AC194" i="18"/>
  <c r="AB194" i="18"/>
  <c r="AE193" i="18"/>
  <c r="AD193" i="18"/>
  <c r="AC193" i="18"/>
  <c r="AB193" i="18"/>
  <c r="AE192" i="18"/>
  <c r="AD192" i="18"/>
  <c r="AC192" i="18"/>
  <c r="AB192" i="18"/>
  <c r="AE191" i="18"/>
  <c r="AD191" i="18"/>
  <c r="AC191" i="18"/>
  <c r="AB191" i="18"/>
  <c r="AE190" i="18"/>
  <c r="AD190" i="18"/>
  <c r="AC190" i="18"/>
  <c r="AB190" i="18"/>
  <c r="AE189" i="18"/>
  <c r="AD189" i="18"/>
  <c r="AC189" i="18"/>
  <c r="AB189" i="18"/>
  <c r="AE188" i="18"/>
  <c r="AD188" i="18"/>
  <c r="AC188" i="18"/>
  <c r="AB188" i="18"/>
  <c r="AE187" i="18"/>
  <c r="AD187" i="18"/>
  <c r="AC187" i="18"/>
  <c r="AB187" i="18"/>
  <c r="AE186" i="18"/>
  <c r="AD186" i="18"/>
  <c r="AC186" i="18"/>
  <c r="AB186" i="18"/>
  <c r="AE185" i="18"/>
  <c r="AD185" i="18"/>
  <c r="AC185" i="18"/>
  <c r="AB185" i="18"/>
  <c r="AE184" i="18"/>
  <c r="AD184" i="18"/>
  <c r="AC184" i="18"/>
  <c r="AB184" i="18"/>
  <c r="AE183" i="18"/>
  <c r="AD183" i="18"/>
  <c r="AC183" i="18"/>
  <c r="AB183" i="18"/>
  <c r="AE182" i="18"/>
  <c r="AD182" i="18"/>
  <c r="AC182" i="18"/>
  <c r="AB182" i="18"/>
  <c r="AE181" i="18"/>
  <c r="AD181" i="18"/>
  <c r="AC181" i="18"/>
  <c r="AB181" i="18"/>
  <c r="AE180" i="18"/>
  <c r="AD180" i="18"/>
  <c r="AC180" i="18"/>
  <c r="AB180" i="18"/>
  <c r="AE179" i="18"/>
  <c r="AD179" i="18"/>
  <c r="AC179" i="18"/>
  <c r="AB179" i="18"/>
  <c r="AE178" i="18"/>
  <c r="AD178" i="18"/>
  <c r="AC178" i="18"/>
  <c r="AB178" i="18"/>
  <c r="AE177" i="18"/>
  <c r="AD177" i="18"/>
  <c r="AC177" i="18"/>
  <c r="AB177" i="18"/>
  <c r="AE176" i="18"/>
  <c r="AD176" i="18"/>
  <c r="AC176" i="18"/>
  <c r="AB176" i="18"/>
  <c r="AE175" i="18"/>
  <c r="AD175" i="18"/>
  <c r="AC175" i="18"/>
  <c r="AB175" i="18"/>
  <c r="AE174" i="18"/>
  <c r="AD174" i="18"/>
  <c r="AC174" i="18"/>
  <c r="AB174" i="18"/>
  <c r="AE173" i="18"/>
  <c r="AD173" i="18"/>
  <c r="AC173" i="18"/>
  <c r="AB173" i="18"/>
  <c r="AE172" i="18"/>
  <c r="AD172" i="18"/>
  <c r="AC172" i="18"/>
  <c r="AB172" i="18"/>
  <c r="AE171" i="18"/>
  <c r="AD171" i="18"/>
  <c r="AC171" i="18"/>
  <c r="AB171" i="18"/>
  <c r="AE170" i="18"/>
  <c r="AD170" i="18"/>
  <c r="AC170" i="18"/>
  <c r="AB170" i="18"/>
  <c r="AE169" i="18"/>
  <c r="AD169" i="18"/>
  <c r="AC169" i="18"/>
  <c r="AB169" i="18"/>
  <c r="AE168" i="18"/>
  <c r="AD168" i="18"/>
  <c r="AC168" i="18"/>
  <c r="AB168" i="18"/>
  <c r="AE167" i="18"/>
  <c r="AD167" i="18"/>
  <c r="AC167" i="18"/>
  <c r="AB167" i="18"/>
  <c r="AE166" i="18"/>
  <c r="AD166" i="18"/>
  <c r="AC166" i="18"/>
  <c r="AB166" i="18"/>
  <c r="AE165" i="18"/>
  <c r="AD165" i="18"/>
  <c r="AC165" i="18"/>
  <c r="AB165" i="18"/>
  <c r="AE164" i="18"/>
  <c r="AD164" i="18"/>
  <c r="AC164" i="18"/>
  <c r="AB164" i="18"/>
  <c r="AE163" i="18"/>
  <c r="AD163" i="18"/>
  <c r="AC163" i="18"/>
  <c r="AB163" i="18"/>
  <c r="AE162" i="18"/>
  <c r="AD162" i="18"/>
  <c r="AC162" i="18"/>
  <c r="AB162" i="18"/>
  <c r="AE161" i="18"/>
  <c r="AD161" i="18"/>
  <c r="AC161" i="18"/>
  <c r="AB161" i="18"/>
  <c r="AE160" i="18"/>
  <c r="AD160" i="18"/>
  <c r="AC160" i="18"/>
  <c r="AB160" i="18"/>
  <c r="AE159" i="18"/>
  <c r="AD159" i="18"/>
  <c r="AC159" i="18"/>
  <c r="AB159" i="18"/>
  <c r="AE158" i="18"/>
  <c r="AD158" i="18"/>
  <c r="AC158" i="18"/>
  <c r="AB158" i="18"/>
  <c r="AE157" i="18"/>
  <c r="AD157" i="18"/>
  <c r="AC157" i="18"/>
  <c r="AB157" i="18"/>
  <c r="AE156" i="18"/>
  <c r="AD156" i="18"/>
  <c r="AC156" i="18"/>
  <c r="AB156" i="18"/>
  <c r="AE155" i="18"/>
  <c r="AD155" i="18"/>
  <c r="AC155" i="18"/>
  <c r="AB155" i="18"/>
  <c r="AE154" i="18"/>
  <c r="AD154" i="18"/>
  <c r="AC154" i="18"/>
  <c r="AB154" i="18"/>
  <c r="AE153" i="18"/>
  <c r="AD153" i="18"/>
  <c r="AC153" i="18"/>
  <c r="AB153" i="18"/>
  <c r="AE152" i="18"/>
  <c r="AD152" i="18"/>
  <c r="AC152" i="18"/>
  <c r="AB152" i="18"/>
  <c r="AE151" i="18"/>
  <c r="AD151" i="18"/>
  <c r="AC151" i="18"/>
  <c r="AB151" i="18"/>
  <c r="AE150" i="18"/>
  <c r="AD150" i="18"/>
  <c r="AC150" i="18"/>
  <c r="AB150" i="18"/>
  <c r="AE149" i="18"/>
  <c r="AD149" i="18"/>
  <c r="AC149" i="18"/>
  <c r="AB149" i="18"/>
  <c r="AE148" i="18"/>
  <c r="AD148" i="18"/>
  <c r="AC148" i="18"/>
  <c r="AB148" i="18"/>
  <c r="AE147" i="18"/>
  <c r="AD147" i="18"/>
  <c r="AC147" i="18"/>
  <c r="AB147" i="18"/>
  <c r="AE146" i="18"/>
  <c r="AD146" i="18"/>
  <c r="AC146" i="18"/>
  <c r="AB146" i="18"/>
  <c r="AE145" i="18"/>
  <c r="AD145" i="18"/>
  <c r="AC145" i="18"/>
  <c r="AB145" i="18"/>
  <c r="AE144" i="18"/>
  <c r="AD144" i="18"/>
  <c r="AC144" i="18"/>
  <c r="AB144" i="18"/>
  <c r="AE143" i="18"/>
  <c r="AD143" i="18"/>
  <c r="AC143" i="18"/>
  <c r="AB143" i="18"/>
  <c r="AE142" i="18"/>
  <c r="AD142" i="18"/>
  <c r="AC142" i="18"/>
  <c r="AB142" i="18"/>
  <c r="AE141" i="18"/>
  <c r="AD141" i="18"/>
  <c r="AC141" i="18"/>
  <c r="AB141" i="18"/>
  <c r="AE140" i="18"/>
  <c r="AD140" i="18"/>
  <c r="AC140" i="18"/>
  <c r="AB140" i="18"/>
  <c r="AE139" i="18"/>
  <c r="AD139" i="18"/>
  <c r="AC139" i="18"/>
  <c r="AB139" i="18"/>
  <c r="AE138" i="18"/>
  <c r="AD138" i="18"/>
  <c r="AC138" i="18"/>
  <c r="AB138" i="18"/>
  <c r="AE137" i="18"/>
  <c r="AD137" i="18"/>
  <c r="AC137" i="18"/>
  <c r="AB137" i="18"/>
  <c r="AE136" i="18"/>
  <c r="AD136" i="18"/>
  <c r="AC136" i="18"/>
  <c r="AB136" i="18"/>
  <c r="AE135" i="18"/>
  <c r="AD135" i="18"/>
  <c r="AC135" i="18"/>
  <c r="AB135" i="18"/>
  <c r="AE134" i="18"/>
  <c r="AD134" i="18"/>
  <c r="AC134" i="18"/>
  <c r="AB134" i="18"/>
  <c r="AE133" i="18"/>
  <c r="AD133" i="18"/>
  <c r="AC133" i="18"/>
  <c r="AB133" i="18"/>
  <c r="AE132" i="18"/>
  <c r="AD132" i="18"/>
  <c r="AC132" i="18"/>
  <c r="AB132" i="18"/>
  <c r="AE131" i="18"/>
  <c r="AD131" i="18"/>
  <c r="AC131" i="18"/>
  <c r="AB131" i="18"/>
  <c r="AE130" i="18"/>
  <c r="AD130" i="18"/>
  <c r="AC130" i="18"/>
  <c r="AB130" i="18"/>
  <c r="AE129" i="18"/>
  <c r="AD129" i="18"/>
  <c r="AC129" i="18"/>
  <c r="AB129" i="18"/>
  <c r="AE128" i="18"/>
  <c r="AD128" i="18"/>
  <c r="AC128" i="18"/>
  <c r="AB128" i="18"/>
  <c r="AE127" i="18"/>
  <c r="AD127" i="18"/>
  <c r="AC127" i="18"/>
  <c r="AB127" i="18"/>
  <c r="AE126" i="18"/>
  <c r="AD126" i="18"/>
  <c r="AC126" i="18"/>
  <c r="AB126" i="18"/>
  <c r="AE125" i="18"/>
  <c r="AD125" i="18"/>
  <c r="AC125" i="18"/>
  <c r="AB125" i="18"/>
  <c r="AE124" i="18"/>
  <c r="AD124" i="18"/>
  <c r="AC124" i="18"/>
  <c r="AB124" i="18"/>
  <c r="AE123" i="18"/>
  <c r="AD123" i="18"/>
  <c r="AC123" i="18"/>
  <c r="AB123" i="18"/>
  <c r="AE122" i="18"/>
  <c r="AD122" i="18"/>
  <c r="AC122" i="18"/>
  <c r="AB122" i="18"/>
  <c r="AE121" i="18"/>
  <c r="AD121" i="18"/>
  <c r="AC121" i="18"/>
  <c r="AB121" i="18"/>
  <c r="AE120" i="18"/>
  <c r="AD120" i="18"/>
  <c r="AC120" i="18"/>
  <c r="AB120" i="18"/>
  <c r="AE119" i="18"/>
  <c r="AD119" i="18"/>
  <c r="AC119" i="18"/>
  <c r="AB119" i="18"/>
  <c r="AE118" i="18"/>
  <c r="AD118" i="18"/>
  <c r="AC118" i="18"/>
  <c r="AB118" i="18"/>
  <c r="AE117" i="18"/>
  <c r="AD117" i="18"/>
  <c r="AC117" i="18"/>
  <c r="AB117" i="18"/>
  <c r="AE116" i="18"/>
  <c r="AD116" i="18"/>
  <c r="AC116" i="18"/>
  <c r="AB116" i="18"/>
  <c r="AE115" i="18"/>
  <c r="AD115" i="18"/>
  <c r="AC115" i="18"/>
  <c r="AB115" i="18"/>
  <c r="AE114" i="18"/>
  <c r="AD114" i="18"/>
  <c r="AC114" i="18"/>
  <c r="AB114" i="18"/>
  <c r="AE113" i="18"/>
  <c r="AD113" i="18"/>
  <c r="AC113" i="18"/>
  <c r="AB113" i="18"/>
  <c r="AE112" i="18"/>
  <c r="AD112" i="18"/>
  <c r="AC112" i="18"/>
  <c r="AB112" i="18"/>
  <c r="AE111" i="18"/>
  <c r="AD111" i="18"/>
  <c r="AC111" i="18"/>
  <c r="AB111" i="18"/>
  <c r="AE110" i="18"/>
  <c r="AD110" i="18"/>
  <c r="AC110" i="18"/>
  <c r="AB110" i="18"/>
  <c r="AE109" i="18"/>
  <c r="AD109" i="18"/>
  <c r="AC109" i="18"/>
  <c r="AB109" i="18"/>
  <c r="AE108" i="18"/>
  <c r="AD108" i="18"/>
  <c r="AC108" i="18"/>
  <c r="AB108" i="18"/>
  <c r="AE107" i="18"/>
  <c r="AD107" i="18"/>
  <c r="AC107" i="18"/>
  <c r="AB107" i="18"/>
  <c r="AE106" i="18"/>
  <c r="AD106" i="18"/>
  <c r="AC106" i="18"/>
  <c r="AB106" i="18"/>
  <c r="AE105" i="18"/>
  <c r="AD105" i="18"/>
  <c r="AC105" i="18"/>
  <c r="AE104" i="18"/>
  <c r="AD104" i="18"/>
  <c r="AC104" i="18"/>
  <c r="AB104" i="18"/>
  <c r="AE103" i="18"/>
  <c r="AD103" i="18"/>
  <c r="AC103" i="18"/>
  <c r="AB103" i="18"/>
  <c r="AE102" i="18"/>
  <c r="AD102" i="18"/>
  <c r="AC102" i="18"/>
  <c r="AB102" i="18"/>
  <c r="AE101" i="18"/>
  <c r="AD101" i="18"/>
  <c r="AC101" i="18"/>
  <c r="AB101" i="18"/>
  <c r="AE100" i="18"/>
  <c r="AD100" i="18"/>
  <c r="AC100" i="18"/>
  <c r="AB100" i="18"/>
  <c r="AE99" i="18"/>
  <c r="AD99" i="18"/>
  <c r="AC99" i="18"/>
  <c r="AB99" i="18"/>
  <c r="AE98" i="18"/>
  <c r="AD98" i="18"/>
  <c r="AC98" i="18"/>
  <c r="AB98" i="18"/>
  <c r="AE97" i="18"/>
  <c r="AD97" i="18"/>
  <c r="AC97" i="18"/>
  <c r="AB97" i="18"/>
  <c r="AD96" i="18"/>
  <c r="AC96" i="18"/>
  <c r="AB96" i="18"/>
  <c r="AC68" i="18"/>
  <c r="AB69" i="18"/>
  <c r="AB73" i="18"/>
  <c r="AC73" i="18"/>
  <c r="AB76" i="18"/>
  <c r="AC76" i="18"/>
  <c r="AB77" i="18"/>
  <c r="AC77" i="18"/>
  <c r="AB78" i="18"/>
  <c r="AC78" i="18"/>
  <c r="AB79" i="18"/>
  <c r="AC79" i="18"/>
  <c r="AB80" i="18"/>
  <c r="AC80" i="18"/>
  <c r="AB81" i="18"/>
  <c r="AC81" i="18"/>
  <c r="AB82" i="18"/>
  <c r="AC82" i="18"/>
  <c r="AB83" i="18"/>
  <c r="AC83" i="18"/>
  <c r="AB84" i="18"/>
  <c r="AC84" i="18"/>
  <c r="AB85" i="18"/>
  <c r="AC85" i="18"/>
  <c r="AB86" i="18"/>
  <c r="AC86" i="18"/>
  <c r="AB87" i="18"/>
  <c r="AC87" i="18"/>
  <c r="AB88" i="18"/>
  <c r="AC88" i="18"/>
  <c r="AB89" i="18"/>
  <c r="AC89" i="18"/>
  <c r="AB90" i="18"/>
  <c r="AC90" i="18"/>
  <c r="AB91" i="18"/>
  <c r="AC91" i="18"/>
  <c r="AB92" i="18"/>
  <c r="AC92" i="18"/>
  <c r="AB93" i="18"/>
  <c r="AC93" i="18"/>
  <c r="AB94" i="18"/>
  <c r="AC94" i="18"/>
  <c r="AB95" i="18"/>
  <c r="AC95" i="18"/>
  <c r="AD68" i="18"/>
  <c r="AD69" i="18"/>
  <c r="AD76" i="18"/>
  <c r="AD77" i="18"/>
  <c r="AD78" i="18"/>
  <c r="AD79" i="18"/>
  <c r="AD80" i="18"/>
  <c r="AD81" i="18"/>
  <c r="AD82" i="18"/>
  <c r="AD83" i="18"/>
  <c r="AD84" i="18"/>
  <c r="AD85" i="18"/>
  <c r="AD86" i="18"/>
  <c r="AD87" i="18"/>
  <c r="AD88" i="18"/>
  <c r="AD89" i="18"/>
  <c r="AD90" i="18"/>
  <c r="AD91" i="18"/>
  <c r="AD92" i="18"/>
  <c r="AD93" i="18"/>
  <c r="AD94" i="18"/>
  <c r="AD95" i="18"/>
  <c r="AE69" i="18"/>
  <c r="AE76" i="18"/>
  <c r="AE77" i="18"/>
  <c r="AE78" i="18"/>
  <c r="AE79" i="18"/>
  <c r="AE80" i="18"/>
  <c r="AE81" i="18"/>
  <c r="AE82" i="18"/>
  <c r="AE83" i="18"/>
  <c r="AE84" i="18"/>
  <c r="AE85" i="18"/>
  <c r="AE86" i="18"/>
  <c r="AE87" i="18"/>
  <c r="AE88" i="18"/>
  <c r="AE89" i="18"/>
  <c r="AE90" i="18"/>
  <c r="AE91" i="18"/>
  <c r="AE92" i="18"/>
  <c r="AE93" i="18"/>
  <c r="AE94" i="18"/>
  <c r="AE95" i="18"/>
  <c r="AI5" i="18"/>
  <c r="AI205" i="19"/>
  <c r="AH205" i="19"/>
  <c r="AG205" i="19"/>
  <c r="AF205" i="19"/>
  <c r="AE205" i="19"/>
  <c r="AD205" i="19"/>
  <c r="AC205" i="19"/>
  <c r="AB205" i="19"/>
  <c r="AI204" i="19"/>
  <c r="AH204" i="19"/>
  <c r="AG204" i="19"/>
  <c r="AF204" i="19"/>
  <c r="AE204" i="19"/>
  <c r="AD204" i="19"/>
  <c r="AC204" i="19"/>
  <c r="AB204" i="19"/>
  <c r="AI203" i="19"/>
  <c r="AH203" i="19"/>
  <c r="AG203" i="19"/>
  <c r="AF203" i="19"/>
  <c r="AE203" i="19"/>
  <c r="AD203" i="19"/>
  <c r="AC203" i="19"/>
  <c r="AB203" i="19"/>
  <c r="AI202" i="19"/>
  <c r="AH202" i="19"/>
  <c r="AG202" i="19"/>
  <c r="AF202" i="19"/>
  <c r="AE202" i="19"/>
  <c r="AD202" i="19"/>
  <c r="AC202" i="19"/>
  <c r="AB202" i="19"/>
  <c r="AI201" i="19"/>
  <c r="AH201" i="19"/>
  <c r="AG201" i="19"/>
  <c r="AF201" i="19"/>
  <c r="AE201" i="19"/>
  <c r="AD201" i="19"/>
  <c r="AC201" i="19"/>
  <c r="AB201" i="19"/>
  <c r="AI200" i="19"/>
  <c r="AH200" i="19"/>
  <c r="AG200" i="19"/>
  <c r="AF200" i="19"/>
  <c r="AE200" i="19"/>
  <c r="AD200" i="19"/>
  <c r="AC200" i="19"/>
  <c r="AB200" i="19"/>
  <c r="AI199" i="19"/>
  <c r="AH199" i="19"/>
  <c r="AG199" i="19"/>
  <c r="AF199" i="19"/>
  <c r="AE199" i="19"/>
  <c r="AD199" i="19"/>
  <c r="AC199" i="19"/>
  <c r="AB199" i="19"/>
  <c r="AI198" i="19"/>
  <c r="AH198" i="19"/>
  <c r="AG198" i="19"/>
  <c r="AF198" i="19"/>
  <c r="AE198" i="19"/>
  <c r="AD198" i="19"/>
  <c r="AC198" i="19"/>
  <c r="AB198" i="19"/>
  <c r="AI197" i="19"/>
  <c r="AH197" i="19"/>
  <c r="AG197" i="19"/>
  <c r="AF197" i="19"/>
  <c r="AE197" i="19"/>
  <c r="AD197" i="19"/>
  <c r="AC197" i="19"/>
  <c r="AB197" i="19"/>
  <c r="AI196" i="19"/>
  <c r="AH196" i="19"/>
  <c r="AG196" i="19"/>
  <c r="AF196" i="19"/>
  <c r="AE196" i="19"/>
  <c r="AD196" i="19"/>
  <c r="AC196" i="19"/>
  <c r="AB196" i="19"/>
  <c r="AI195" i="19"/>
  <c r="AH195" i="19"/>
  <c r="AG195" i="19"/>
  <c r="AF195" i="19"/>
  <c r="AE195" i="19"/>
  <c r="AD195" i="19"/>
  <c r="AC195" i="19"/>
  <c r="AB195" i="19"/>
  <c r="AI194" i="19"/>
  <c r="AH194" i="19"/>
  <c r="AG194" i="19"/>
  <c r="AF194" i="19"/>
  <c r="AE194" i="19"/>
  <c r="AD194" i="19"/>
  <c r="AC194" i="19"/>
  <c r="AB194" i="19"/>
  <c r="AI193" i="19"/>
  <c r="AH193" i="19"/>
  <c r="AG193" i="19"/>
  <c r="AF193" i="19"/>
  <c r="AE193" i="19"/>
  <c r="AD193" i="19"/>
  <c r="AC193" i="19"/>
  <c r="AB193" i="19"/>
  <c r="AI192" i="19"/>
  <c r="AH192" i="19"/>
  <c r="AG192" i="19"/>
  <c r="AF192" i="19"/>
  <c r="AE192" i="19"/>
  <c r="AD192" i="19"/>
  <c r="AC192" i="19"/>
  <c r="AB192" i="19"/>
  <c r="AI191" i="19"/>
  <c r="AH191" i="19"/>
  <c r="AG191" i="19"/>
  <c r="AF191" i="19"/>
  <c r="AE191" i="19"/>
  <c r="AD191" i="19"/>
  <c r="AC191" i="19"/>
  <c r="AB191" i="19"/>
  <c r="AI190" i="19"/>
  <c r="AH190" i="19"/>
  <c r="AG190" i="19"/>
  <c r="AF190" i="19"/>
  <c r="AE190" i="19"/>
  <c r="AD190" i="19"/>
  <c r="AC190" i="19"/>
  <c r="AB190" i="19"/>
  <c r="AI189" i="19"/>
  <c r="AH189" i="19"/>
  <c r="AG189" i="19"/>
  <c r="AF189" i="19"/>
  <c r="AE189" i="19"/>
  <c r="AD189" i="19"/>
  <c r="AC189" i="19"/>
  <c r="AB189" i="19"/>
  <c r="AI188" i="19"/>
  <c r="AH188" i="19"/>
  <c r="AG188" i="19"/>
  <c r="AF188" i="19"/>
  <c r="AE188" i="19"/>
  <c r="AD188" i="19"/>
  <c r="AC188" i="19"/>
  <c r="AB188" i="19"/>
  <c r="AI187" i="19"/>
  <c r="AH187" i="19"/>
  <c r="AG187" i="19"/>
  <c r="AF187" i="19"/>
  <c r="AE187" i="19"/>
  <c r="AD187" i="19"/>
  <c r="AC187" i="19"/>
  <c r="AB187" i="19"/>
  <c r="AI186" i="19"/>
  <c r="AH186" i="19"/>
  <c r="AG186" i="19"/>
  <c r="AF186" i="19"/>
  <c r="AE186" i="19"/>
  <c r="AD186" i="19"/>
  <c r="AC186" i="19"/>
  <c r="AB186" i="19"/>
  <c r="AI185" i="19"/>
  <c r="AH185" i="19"/>
  <c r="AG185" i="19"/>
  <c r="AF185" i="19"/>
  <c r="AE185" i="19"/>
  <c r="AD185" i="19"/>
  <c r="AC185" i="19"/>
  <c r="AB185" i="19"/>
  <c r="AI184" i="19"/>
  <c r="AH184" i="19"/>
  <c r="AG184" i="19"/>
  <c r="AF184" i="19"/>
  <c r="AE184" i="19"/>
  <c r="AD184" i="19"/>
  <c r="AC184" i="19"/>
  <c r="AB184" i="19"/>
  <c r="AI183" i="19"/>
  <c r="AH183" i="19"/>
  <c r="AG183" i="19"/>
  <c r="AF183" i="19"/>
  <c r="AE183" i="19"/>
  <c r="AD183" i="19"/>
  <c r="AC183" i="19"/>
  <c r="AB183" i="19"/>
  <c r="AI182" i="19"/>
  <c r="AH182" i="19"/>
  <c r="AG182" i="19"/>
  <c r="AF182" i="19"/>
  <c r="AE182" i="19"/>
  <c r="AD182" i="19"/>
  <c r="AC182" i="19"/>
  <c r="AB182" i="19"/>
  <c r="AI181" i="19"/>
  <c r="AH181" i="19"/>
  <c r="AG181" i="19"/>
  <c r="AF181" i="19"/>
  <c r="AE181" i="19"/>
  <c r="AD181" i="19"/>
  <c r="AC181" i="19"/>
  <c r="AB181" i="19"/>
  <c r="AI180" i="19"/>
  <c r="AH180" i="19"/>
  <c r="AG180" i="19"/>
  <c r="AF180" i="19"/>
  <c r="AE180" i="19"/>
  <c r="AD180" i="19"/>
  <c r="AC180" i="19"/>
  <c r="AB180" i="19"/>
  <c r="AI179" i="19"/>
  <c r="AH179" i="19"/>
  <c r="AG179" i="19"/>
  <c r="AF179" i="19"/>
  <c r="AE179" i="19"/>
  <c r="AD179" i="19"/>
  <c r="AC179" i="19"/>
  <c r="AB179" i="19"/>
  <c r="AI178" i="19"/>
  <c r="AH178" i="19"/>
  <c r="AG178" i="19"/>
  <c r="AF178" i="19"/>
  <c r="AE178" i="19"/>
  <c r="AD178" i="19"/>
  <c r="AC178" i="19"/>
  <c r="AB178" i="19"/>
  <c r="AI177" i="19"/>
  <c r="AH177" i="19"/>
  <c r="AG177" i="19"/>
  <c r="AF177" i="19"/>
  <c r="AE177" i="19"/>
  <c r="AD177" i="19"/>
  <c r="AC177" i="19"/>
  <c r="AB177" i="19"/>
  <c r="AI176" i="19"/>
  <c r="AH176" i="19"/>
  <c r="AG176" i="19"/>
  <c r="AF176" i="19"/>
  <c r="AE176" i="19"/>
  <c r="AD176" i="19"/>
  <c r="AC176" i="19"/>
  <c r="AB176" i="19"/>
  <c r="AI175" i="19"/>
  <c r="AH175" i="19"/>
  <c r="AG175" i="19"/>
  <c r="AF175" i="19"/>
  <c r="AE175" i="19"/>
  <c r="AD175" i="19"/>
  <c r="AC175" i="19"/>
  <c r="AB175" i="19"/>
  <c r="AI174" i="19"/>
  <c r="AH174" i="19"/>
  <c r="AG174" i="19"/>
  <c r="AF174" i="19"/>
  <c r="AE174" i="19"/>
  <c r="AD174" i="19"/>
  <c r="AC174" i="19"/>
  <c r="AB174" i="19"/>
  <c r="AI173" i="19"/>
  <c r="AH173" i="19"/>
  <c r="AG173" i="19"/>
  <c r="AF173" i="19"/>
  <c r="AE173" i="19"/>
  <c r="AD173" i="19"/>
  <c r="AC173" i="19"/>
  <c r="AB173" i="19"/>
  <c r="AI172" i="19"/>
  <c r="AH172" i="19"/>
  <c r="AG172" i="19"/>
  <c r="AF172" i="19"/>
  <c r="AE172" i="19"/>
  <c r="AD172" i="19"/>
  <c r="AC172" i="19"/>
  <c r="AB172" i="19"/>
  <c r="AI171" i="19"/>
  <c r="AH171" i="19"/>
  <c r="AG171" i="19"/>
  <c r="AF171" i="19"/>
  <c r="AE171" i="19"/>
  <c r="AD171" i="19"/>
  <c r="AC171" i="19"/>
  <c r="AB171" i="19"/>
  <c r="AI170" i="19"/>
  <c r="AH170" i="19"/>
  <c r="AG170" i="19"/>
  <c r="AF170" i="19"/>
  <c r="AE170" i="19"/>
  <c r="AD170" i="19"/>
  <c r="AC170" i="19"/>
  <c r="AB170" i="19"/>
  <c r="AI169" i="19"/>
  <c r="AH169" i="19"/>
  <c r="AG169" i="19"/>
  <c r="AF169" i="19"/>
  <c r="AE169" i="19"/>
  <c r="AD169" i="19"/>
  <c r="AC169" i="19"/>
  <c r="AB169" i="19"/>
  <c r="AI168" i="19"/>
  <c r="AH168" i="19"/>
  <c r="AG168" i="19"/>
  <c r="AF168" i="19"/>
  <c r="AE168" i="19"/>
  <c r="AD168" i="19"/>
  <c r="AC168" i="19"/>
  <c r="AB168" i="19"/>
  <c r="AI167" i="19"/>
  <c r="AH167" i="19"/>
  <c r="AG167" i="19"/>
  <c r="AF167" i="19"/>
  <c r="AE167" i="19"/>
  <c r="AD167" i="19"/>
  <c r="AC167" i="19"/>
  <c r="AB167" i="19"/>
  <c r="AI166" i="19"/>
  <c r="AH166" i="19"/>
  <c r="AG166" i="19"/>
  <c r="AF166" i="19"/>
  <c r="AE166" i="19"/>
  <c r="AD166" i="19"/>
  <c r="AC166" i="19"/>
  <c r="AB166" i="19"/>
  <c r="AI165" i="19"/>
  <c r="AH165" i="19"/>
  <c r="AG165" i="19"/>
  <c r="AF165" i="19"/>
  <c r="AE165" i="19"/>
  <c r="AD165" i="19"/>
  <c r="AC165" i="19"/>
  <c r="AB165" i="19"/>
  <c r="AI164" i="19"/>
  <c r="AH164" i="19"/>
  <c r="AG164" i="19"/>
  <c r="AF164" i="19"/>
  <c r="AE164" i="19"/>
  <c r="AD164" i="19"/>
  <c r="AC164" i="19"/>
  <c r="AB164" i="19"/>
  <c r="AI163" i="19"/>
  <c r="AH163" i="19"/>
  <c r="AG163" i="19"/>
  <c r="AF163" i="19"/>
  <c r="AE163" i="19"/>
  <c r="AD163" i="19"/>
  <c r="AC163" i="19"/>
  <c r="AB163" i="19"/>
  <c r="AI162" i="19"/>
  <c r="AH162" i="19"/>
  <c r="AG162" i="19"/>
  <c r="AF162" i="19"/>
  <c r="AE162" i="19"/>
  <c r="AD162" i="19"/>
  <c r="AC162" i="19"/>
  <c r="AB162" i="19"/>
  <c r="AI161" i="19"/>
  <c r="AH161" i="19"/>
  <c r="AG161" i="19"/>
  <c r="AF161" i="19"/>
  <c r="AE161" i="19"/>
  <c r="AD161" i="19"/>
  <c r="AC161" i="19"/>
  <c r="AB161" i="19"/>
  <c r="AI160" i="19"/>
  <c r="AH160" i="19"/>
  <c r="AG160" i="19"/>
  <c r="AF160" i="19"/>
  <c r="AE160" i="19"/>
  <c r="AD160" i="19"/>
  <c r="AC160" i="19"/>
  <c r="AB160" i="19"/>
  <c r="AI159" i="19"/>
  <c r="AH159" i="19"/>
  <c r="AG159" i="19"/>
  <c r="AF159" i="19"/>
  <c r="AE159" i="19"/>
  <c r="AD159" i="19"/>
  <c r="AC159" i="19"/>
  <c r="AB159" i="19"/>
  <c r="AI158" i="19"/>
  <c r="AH158" i="19"/>
  <c r="AG158" i="19"/>
  <c r="AF158" i="19"/>
  <c r="AE158" i="19"/>
  <c r="AD158" i="19"/>
  <c r="AC158" i="19"/>
  <c r="AB158" i="19"/>
  <c r="AI157" i="19"/>
  <c r="AH157" i="19"/>
  <c r="AG157" i="19"/>
  <c r="AF157" i="19"/>
  <c r="AE157" i="19"/>
  <c r="AD157" i="19"/>
  <c r="AC157" i="19"/>
  <c r="AB157" i="19"/>
  <c r="AI156" i="19"/>
  <c r="AH156" i="19"/>
  <c r="AG156" i="19"/>
  <c r="AF156" i="19"/>
  <c r="AE156" i="19"/>
  <c r="AD156" i="19"/>
  <c r="AC156" i="19"/>
  <c r="AB156" i="19"/>
  <c r="AI155" i="19"/>
  <c r="AH155" i="19"/>
  <c r="AG155" i="19"/>
  <c r="AF155" i="19"/>
  <c r="AE155" i="19"/>
  <c r="AD155" i="19"/>
  <c r="AC155" i="19"/>
  <c r="AB155" i="19"/>
  <c r="AI154" i="19"/>
  <c r="AH154" i="19"/>
  <c r="AG154" i="19"/>
  <c r="AF154" i="19"/>
  <c r="AE154" i="19"/>
  <c r="AD154" i="19"/>
  <c r="AC154" i="19"/>
  <c r="AB154" i="19"/>
  <c r="AI153" i="19"/>
  <c r="AH153" i="19"/>
  <c r="AG153" i="19"/>
  <c r="AF153" i="19"/>
  <c r="AE153" i="19"/>
  <c r="AD153" i="19"/>
  <c r="AC153" i="19"/>
  <c r="AB153" i="19"/>
  <c r="AI152" i="19"/>
  <c r="AH152" i="19"/>
  <c r="AG152" i="19"/>
  <c r="AF152" i="19"/>
  <c r="AE152" i="19"/>
  <c r="AD152" i="19"/>
  <c r="AC152" i="19"/>
  <c r="AB152" i="19"/>
  <c r="AI151" i="19"/>
  <c r="AH151" i="19"/>
  <c r="AG151" i="19"/>
  <c r="AF151" i="19"/>
  <c r="AE151" i="19"/>
  <c r="AD151" i="19"/>
  <c r="AC151" i="19"/>
  <c r="AB151" i="19"/>
  <c r="AI150" i="19"/>
  <c r="AH150" i="19"/>
  <c r="AG150" i="19"/>
  <c r="AF150" i="19"/>
  <c r="AE150" i="19"/>
  <c r="AD150" i="19"/>
  <c r="AC150" i="19"/>
  <c r="AB150" i="19"/>
  <c r="AI149" i="19"/>
  <c r="AH149" i="19"/>
  <c r="AG149" i="19"/>
  <c r="AF149" i="19"/>
  <c r="AE149" i="19"/>
  <c r="AD149" i="19"/>
  <c r="AC149" i="19"/>
  <c r="AB149" i="19"/>
  <c r="AI148" i="19"/>
  <c r="AH148" i="19"/>
  <c r="AG148" i="19"/>
  <c r="AF148" i="19"/>
  <c r="AE148" i="19"/>
  <c r="AD148" i="19"/>
  <c r="AC148" i="19"/>
  <c r="AB148" i="19"/>
  <c r="AI147" i="19"/>
  <c r="AH147" i="19"/>
  <c r="AG147" i="19"/>
  <c r="AF147" i="19"/>
  <c r="AE147" i="19"/>
  <c r="AD147" i="19"/>
  <c r="AC147" i="19"/>
  <c r="AB147" i="19"/>
  <c r="AI146" i="19"/>
  <c r="AH146" i="19"/>
  <c r="AG146" i="19"/>
  <c r="AF146" i="19"/>
  <c r="AE146" i="19"/>
  <c r="AD146" i="19"/>
  <c r="AC146" i="19"/>
  <c r="AB146" i="19"/>
  <c r="AI145" i="19"/>
  <c r="AH145" i="19"/>
  <c r="AG145" i="19"/>
  <c r="AF145" i="19"/>
  <c r="AE145" i="19"/>
  <c r="AD145" i="19"/>
  <c r="AC145" i="19"/>
  <c r="AB145" i="19"/>
  <c r="AI144" i="19"/>
  <c r="AH144" i="19"/>
  <c r="AG144" i="19"/>
  <c r="AF144" i="19"/>
  <c r="AE144" i="19"/>
  <c r="AD144" i="19"/>
  <c r="AC144" i="19"/>
  <c r="AB144" i="19"/>
  <c r="AI143" i="19"/>
  <c r="AH143" i="19"/>
  <c r="AG143" i="19"/>
  <c r="AF143" i="19"/>
  <c r="AE143" i="19"/>
  <c r="AD143" i="19"/>
  <c r="AC143" i="19"/>
  <c r="AB143" i="19"/>
  <c r="AI142" i="19"/>
  <c r="AH142" i="19"/>
  <c r="AG142" i="19"/>
  <c r="AF142" i="19"/>
  <c r="AE142" i="19"/>
  <c r="AD142" i="19"/>
  <c r="AC142" i="19"/>
  <c r="AB142" i="19"/>
  <c r="AI141" i="19"/>
  <c r="AH141" i="19"/>
  <c r="AG141" i="19"/>
  <c r="AF141" i="19"/>
  <c r="AE141" i="19"/>
  <c r="AD141" i="19"/>
  <c r="AC141" i="19"/>
  <c r="AB141" i="19"/>
  <c r="AI140" i="19"/>
  <c r="AH140" i="19"/>
  <c r="AG140" i="19"/>
  <c r="AF140" i="19"/>
  <c r="AE140" i="19"/>
  <c r="AD140" i="19"/>
  <c r="AC140" i="19"/>
  <c r="AB140" i="19"/>
  <c r="AI139" i="19"/>
  <c r="AH139" i="19"/>
  <c r="AG139" i="19"/>
  <c r="AF139" i="19"/>
  <c r="AE139" i="19"/>
  <c r="AD139" i="19"/>
  <c r="AC139" i="19"/>
  <c r="AB139" i="19"/>
  <c r="AI138" i="19"/>
  <c r="AH138" i="19"/>
  <c r="AG138" i="19"/>
  <c r="AF138" i="19"/>
  <c r="AE138" i="19"/>
  <c r="AD138" i="19"/>
  <c r="AC138" i="19"/>
  <c r="AB138" i="19"/>
  <c r="AI137" i="19"/>
  <c r="AH137" i="19"/>
  <c r="AG137" i="19"/>
  <c r="AF137" i="19"/>
  <c r="AE137" i="19"/>
  <c r="AD137" i="19"/>
  <c r="AC137" i="19"/>
  <c r="AB137" i="19"/>
  <c r="AI136" i="19"/>
  <c r="AH136" i="19"/>
  <c r="AG136" i="19"/>
  <c r="AF136" i="19"/>
  <c r="AE136" i="19"/>
  <c r="AD136" i="19"/>
  <c r="AC136" i="19"/>
  <c r="AB136" i="19"/>
  <c r="AI135" i="19"/>
  <c r="AH135" i="19"/>
  <c r="AG135" i="19"/>
  <c r="AF135" i="19"/>
  <c r="AE135" i="19"/>
  <c r="AD135" i="19"/>
  <c r="AC135" i="19"/>
  <c r="AB135" i="19"/>
  <c r="AI134" i="19"/>
  <c r="AH134" i="19"/>
  <c r="AG134" i="19"/>
  <c r="AF134" i="19"/>
  <c r="AE134" i="19"/>
  <c r="AD134" i="19"/>
  <c r="AC134" i="19"/>
  <c r="AB134" i="19"/>
  <c r="AI133" i="19"/>
  <c r="AH133" i="19"/>
  <c r="AG133" i="19"/>
  <c r="AF133" i="19"/>
  <c r="AE133" i="19"/>
  <c r="AD133" i="19"/>
  <c r="AC133" i="19"/>
  <c r="AB133" i="19"/>
  <c r="AI132" i="19"/>
  <c r="AH132" i="19"/>
  <c r="AG132" i="19"/>
  <c r="AF132" i="19"/>
  <c r="AE132" i="19"/>
  <c r="AD132" i="19"/>
  <c r="AC132" i="19"/>
  <c r="AB132" i="19"/>
  <c r="AI131" i="19"/>
  <c r="AH131" i="19"/>
  <c r="AG131" i="19"/>
  <c r="AF131" i="19"/>
  <c r="AE131" i="19"/>
  <c r="AD131" i="19"/>
  <c r="AC131" i="19"/>
  <c r="AB131" i="19"/>
  <c r="AI130" i="19"/>
  <c r="AH130" i="19"/>
  <c r="AG130" i="19"/>
  <c r="AF130" i="19"/>
  <c r="AE130" i="19"/>
  <c r="AD130" i="19"/>
  <c r="AC130" i="19"/>
  <c r="AB130" i="19"/>
  <c r="AI129" i="19"/>
  <c r="AH129" i="19"/>
  <c r="AG129" i="19"/>
  <c r="AF129" i="19"/>
  <c r="AE129" i="19"/>
  <c r="AD129" i="19"/>
  <c r="AC129" i="19"/>
  <c r="AB129" i="19"/>
  <c r="AI128" i="19"/>
  <c r="AH128" i="19"/>
  <c r="AG128" i="19"/>
  <c r="AF128" i="19"/>
  <c r="AE128" i="19"/>
  <c r="AD128" i="19"/>
  <c r="AC128" i="19"/>
  <c r="AB128" i="19"/>
  <c r="AI127" i="19"/>
  <c r="AH127" i="19"/>
  <c r="AG127" i="19"/>
  <c r="AF127" i="19"/>
  <c r="AE127" i="19"/>
  <c r="AD127" i="19"/>
  <c r="AC127" i="19"/>
  <c r="AB127" i="19"/>
  <c r="AI126" i="19"/>
  <c r="AH126" i="19"/>
  <c r="AG126" i="19"/>
  <c r="AF126" i="19"/>
  <c r="AE126" i="19"/>
  <c r="AD126" i="19"/>
  <c r="AC126" i="19"/>
  <c r="AB126" i="19"/>
  <c r="AE125" i="19"/>
  <c r="AD125" i="19"/>
  <c r="AC125" i="19"/>
  <c r="AE124" i="19"/>
  <c r="AD124" i="19"/>
  <c r="AC124" i="19"/>
  <c r="AB124" i="19"/>
  <c r="AE123" i="19"/>
  <c r="AD123" i="19"/>
  <c r="AC123" i="19"/>
  <c r="AB123" i="19"/>
  <c r="AE122" i="19"/>
  <c r="AD122" i="19"/>
  <c r="AC122" i="19"/>
  <c r="AB122" i="19"/>
  <c r="AE121" i="19"/>
  <c r="AD121" i="19"/>
  <c r="AC121" i="19"/>
  <c r="AB121" i="19"/>
  <c r="AE120" i="19"/>
  <c r="AD120" i="19"/>
  <c r="AC120" i="19"/>
  <c r="AB120" i="19"/>
  <c r="AE119" i="19"/>
  <c r="AD119" i="19"/>
  <c r="AC119" i="19"/>
  <c r="AB119" i="19"/>
  <c r="AE118" i="19"/>
  <c r="AD118" i="19"/>
  <c r="AC118" i="19"/>
  <c r="AB118" i="19"/>
  <c r="AE117" i="19"/>
  <c r="AD117" i="19"/>
  <c r="AC117" i="19"/>
  <c r="AB117" i="19"/>
  <c r="AE116" i="19"/>
  <c r="AD116" i="19"/>
  <c r="AC116" i="19"/>
  <c r="AB116" i="19"/>
  <c r="AE115" i="19"/>
  <c r="AD115" i="19"/>
  <c r="AC115" i="19"/>
  <c r="AB115" i="19"/>
  <c r="AE114" i="19"/>
  <c r="AD114" i="19"/>
  <c r="AC114" i="19"/>
  <c r="AB114" i="19"/>
  <c r="AE113" i="19"/>
  <c r="AD113" i="19"/>
  <c r="AC113" i="19"/>
  <c r="AB113" i="19"/>
  <c r="AE112" i="19"/>
  <c r="AD112" i="19"/>
  <c r="AC112" i="19"/>
  <c r="AB112" i="19"/>
  <c r="AE111" i="19"/>
  <c r="AD111" i="19"/>
  <c r="AC111" i="19"/>
  <c r="AB111" i="19"/>
  <c r="AE110" i="19"/>
  <c r="AD110" i="19"/>
  <c r="AC110" i="19"/>
  <c r="AB110" i="19"/>
  <c r="AE109" i="19"/>
  <c r="AD109" i="19"/>
  <c r="AC109" i="19"/>
  <c r="AB109" i="19"/>
  <c r="AE108" i="19"/>
  <c r="AD108" i="19"/>
  <c r="AC108" i="19"/>
  <c r="AB108" i="19"/>
  <c r="AE107" i="19"/>
  <c r="AD107" i="19"/>
  <c r="AC107" i="19"/>
  <c r="AB107" i="19"/>
  <c r="AE106" i="19"/>
  <c r="AD106" i="19"/>
  <c r="AC106" i="19"/>
  <c r="AB106" i="19"/>
  <c r="AC105" i="19"/>
  <c r="AE104" i="19"/>
  <c r="AD104" i="19"/>
  <c r="AC104" i="19"/>
  <c r="AB104" i="19"/>
  <c r="AE103" i="19"/>
  <c r="AD103" i="19"/>
  <c r="AC103" i="19"/>
  <c r="AB103" i="19"/>
  <c r="AE102" i="19"/>
  <c r="AD102" i="19"/>
  <c r="AC102" i="19"/>
  <c r="AB102" i="19"/>
  <c r="AE101" i="19"/>
  <c r="AD101" i="19"/>
  <c r="AC101" i="19"/>
  <c r="AB101" i="19"/>
  <c r="AE100" i="19"/>
  <c r="AD100" i="19"/>
  <c r="AC100" i="19"/>
  <c r="AB100" i="19"/>
  <c r="AE99" i="19"/>
  <c r="AD99" i="19"/>
  <c r="AC99" i="19"/>
  <c r="AB99" i="19"/>
  <c r="AE98" i="19"/>
  <c r="AD98" i="19"/>
  <c r="AC98" i="19"/>
  <c r="AB98" i="19"/>
  <c r="AE97" i="19"/>
  <c r="AD97" i="19"/>
  <c r="AC97" i="19"/>
  <c r="AB97" i="19"/>
  <c r="AE96" i="19"/>
  <c r="AD96" i="19"/>
  <c r="AC96" i="19"/>
  <c r="AB96" i="19"/>
  <c r="AI5" i="19"/>
  <c r="AI205" i="20"/>
  <c r="AH205" i="20"/>
  <c r="AG205" i="20"/>
  <c r="AF205" i="20"/>
  <c r="AE205" i="20"/>
  <c r="AD205" i="20"/>
  <c r="AC205" i="20"/>
  <c r="AB205" i="20"/>
  <c r="AI204" i="20"/>
  <c r="AH204" i="20"/>
  <c r="AG204" i="20"/>
  <c r="AF204" i="20"/>
  <c r="AE204" i="20"/>
  <c r="AD204" i="20"/>
  <c r="AC204" i="20"/>
  <c r="AB204" i="20"/>
  <c r="AI203" i="20"/>
  <c r="AH203" i="20"/>
  <c r="AG203" i="20"/>
  <c r="AF203" i="20"/>
  <c r="AE203" i="20"/>
  <c r="AD203" i="20"/>
  <c r="AC203" i="20"/>
  <c r="AB203" i="20"/>
  <c r="AI202" i="20"/>
  <c r="AH202" i="20"/>
  <c r="AG202" i="20"/>
  <c r="AF202" i="20"/>
  <c r="AE202" i="20"/>
  <c r="AD202" i="20"/>
  <c r="AC202" i="20"/>
  <c r="AB202" i="20"/>
  <c r="AI201" i="20"/>
  <c r="AH201" i="20"/>
  <c r="AG201" i="20"/>
  <c r="AF201" i="20"/>
  <c r="AE201" i="20"/>
  <c r="AD201" i="20"/>
  <c r="AC201" i="20"/>
  <c r="AB201" i="20"/>
  <c r="AI200" i="20"/>
  <c r="AH200" i="20"/>
  <c r="AG200" i="20"/>
  <c r="AF200" i="20"/>
  <c r="AE200" i="20"/>
  <c r="AD200" i="20"/>
  <c r="AC200" i="20"/>
  <c r="AB200" i="20"/>
  <c r="AI199" i="20"/>
  <c r="AH199" i="20"/>
  <c r="AG199" i="20"/>
  <c r="AF199" i="20"/>
  <c r="AE199" i="20"/>
  <c r="AD199" i="20"/>
  <c r="AC199" i="20"/>
  <c r="AB199" i="20"/>
  <c r="AI198" i="20"/>
  <c r="AH198" i="20"/>
  <c r="AG198" i="20"/>
  <c r="AF198" i="20"/>
  <c r="AE198" i="20"/>
  <c r="AD198" i="20"/>
  <c r="AC198" i="20"/>
  <c r="AB198" i="20"/>
  <c r="AI197" i="20"/>
  <c r="AH197" i="20"/>
  <c r="AG197" i="20"/>
  <c r="AF197" i="20"/>
  <c r="AE197" i="20"/>
  <c r="AD197" i="20"/>
  <c r="AC197" i="20"/>
  <c r="AB197" i="20"/>
  <c r="AI196" i="20"/>
  <c r="AH196" i="20"/>
  <c r="AG196" i="20"/>
  <c r="AF196" i="20"/>
  <c r="AE196" i="20"/>
  <c r="AD196" i="20"/>
  <c r="AC196" i="20"/>
  <c r="AB196" i="20"/>
  <c r="AI195" i="20"/>
  <c r="AH195" i="20"/>
  <c r="AG195" i="20"/>
  <c r="AF195" i="20"/>
  <c r="AE195" i="20"/>
  <c r="AD195" i="20"/>
  <c r="AC195" i="20"/>
  <c r="AB195" i="20"/>
  <c r="AI194" i="20"/>
  <c r="AH194" i="20"/>
  <c r="AG194" i="20"/>
  <c r="AF194" i="20"/>
  <c r="AE194" i="20"/>
  <c r="AD194" i="20"/>
  <c r="AC194" i="20"/>
  <c r="AB194" i="20"/>
  <c r="AI193" i="20"/>
  <c r="AH193" i="20"/>
  <c r="AG193" i="20"/>
  <c r="AF193" i="20"/>
  <c r="AE193" i="20"/>
  <c r="AD193" i="20"/>
  <c r="AC193" i="20"/>
  <c r="AB193" i="20"/>
  <c r="AI192" i="20"/>
  <c r="AH192" i="20"/>
  <c r="AG192" i="20"/>
  <c r="AF192" i="20"/>
  <c r="AE192" i="20"/>
  <c r="AD192" i="20"/>
  <c r="AC192" i="20"/>
  <c r="AB192" i="20"/>
  <c r="AI191" i="20"/>
  <c r="AH191" i="20"/>
  <c r="AG191" i="20"/>
  <c r="AF191" i="20"/>
  <c r="AE191" i="20"/>
  <c r="AD191" i="20"/>
  <c r="AC191" i="20"/>
  <c r="AB191" i="20"/>
  <c r="AI190" i="20"/>
  <c r="AH190" i="20"/>
  <c r="AG190" i="20"/>
  <c r="AF190" i="20"/>
  <c r="AE190" i="20"/>
  <c r="AD190" i="20"/>
  <c r="AC190" i="20"/>
  <c r="AB190" i="20"/>
  <c r="AI189" i="20"/>
  <c r="AH189" i="20"/>
  <c r="AG189" i="20"/>
  <c r="AF189" i="20"/>
  <c r="AE189" i="20"/>
  <c r="AD189" i="20"/>
  <c r="AC189" i="20"/>
  <c r="AB189" i="20"/>
  <c r="AI188" i="20"/>
  <c r="AH188" i="20"/>
  <c r="AG188" i="20"/>
  <c r="AF188" i="20"/>
  <c r="AE188" i="20"/>
  <c r="AD188" i="20"/>
  <c r="AC188" i="20"/>
  <c r="AB188" i="20"/>
  <c r="AI187" i="20"/>
  <c r="AH187" i="20"/>
  <c r="AG187" i="20"/>
  <c r="AF187" i="20"/>
  <c r="AE187" i="20"/>
  <c r="AD187" i="20"/>
  <c r="AC187" i="20"/>
  <c r="AB187" i="20"/>
  <c r="AI186" i="20"/>
  <c r="AH186" i="20"/>
  <c r="AG186" i="20"/>
  <c r="AF186" i="20"/>
  <c r="AE186" i="20"/>
  <c r="AD186" i="20"/>
  <c r="AC186" i="20"/>
  <c r="AB186" i="20"/>
  <c r="AI185" i="20"/>
  <c r="AH185" i="20"/>
  <c r="AG185" i="20"/>
  <c r="AF185" i="20"/>
  <c r="AE185" i="20"/>
  <c r="AD185" i="20"/>
  <c r="AC185" i="20"/>
  <c r="AB185" i="20"/>
  <c r="AI184" i="20"/>
  <c r="AH184" i="20"/>
  <c r="AG184" i="20"/>
  <c r="AF184" i="20"/>
  <c r="AE184" i="20"/>
  <c r="AD184" i="20"/>
  <c r="AC184" i="20"/>
  <c r="AB184" i="20"/>
  <c r="AI183" i="20"/>
  <c r="AH183" i="20"/>
  <c r="AG183" i="20"/>
  <c r="AF183" i="20"/>
  <c r="AE183" i="20"/>
  <c r="AD183" i="20"/>
  <c r="AC183" i="20"/>
  <c r="AB183" i="20"/>
  <c r="AI182" i="20"/>
  <c r="AH182" i="20"/>
  <c r="AG182" i="20"/>
  <c r="AF182" i="20"/>
  <c r="AE182" i="20"/>
  <c r="AD182" i="20"/>
  <c r="AC182" i="20"/>
  <c r="AB182" i="20"/>
  <c r="AI181" i="20"/>
  <c r="AH181" i="20"/>
  <c r="AG181" i="20"/>
  <c r="AF181" i="20"/>
  <c r="AE181" i="20"/>
  <c r="AD181" i="20"/>
  <c r="AC181" i="20"/>
  <c r="AB181" i="20"/>
  <c r="AI180" i="20"/>
  <c r="AH180" i="20"/>
  <c r="AG180" i="20"/>
  <c r="AF180" i="20"/>
  <c r="AE180" i="20"/>
  <c r="AD180" i="20"/>
  <c r="AC180" i="20"/>
  <c r="AB180" i="20"/>
  <c r="AI179" i="20"/>
  <c r="AH179" i="20"/>
  <c r="AG179" i="20"/>
  <c r="AF179" i="20"/>
  <c r="AE179" i="20"/>
  <c r="AD179" i="20"/>
  <c r="AC179" i="20"/>
  <c r="AB179" i="20"/>
  <c r="AI178" i="20"/>
  <c r="AH178" i="20"/>
  <c r="AG178" i="20"/>
  <c r="AF178" i="20"/>
  <c r="AE178" i="20"/>
  <c r="AD178" i="20"/>
  <c r="AC178" i="20"/>
  <c r="AB178" i="20"/>
  <c r="AI177" i="20"/>
  <c r="AH177" i="20"/>
  <c r="AG177" i="20"/>
  <c r="AF177" i="20"/>
  <c r="AE177" i="20"/>
  <c r="AD177" i="20"/>
  <c r="AC177" i="20"/>
  <c r="AB177" i="20"/>
  <c r="AI176" i="20"/>
  <c r="AH176" i="20"/>
  <c r="AG176" i="20"/>
  <c r="AF176" i="20"/>
  <c r="AE176" i="20"/>
  <c r="AD176" i="20"/>
  <c r="AC176" i="20"/>
  <c r="AB176" i="20"/>
  <c r="AI175" i="20"/>
  <c r="AH175" i="20"/>
  <c r="AG175" i="20"/>
  <c r="AF175" i="20"/>
  <c r="AE175" i="20"/>
  <c r="AD175" i="20"/>
  <c r="AC175" i="20"/>
  <c r="AB175" i="20"/>
  <c r="AI174" i="20"/>
  <c r="AH174" i="20"/>
  <c r="AG174" i="20"/>
  <c r="AF174" i="20"/>
  <c r="AE174" i="20"/>
  <c r="AD174" i="20"/>
  <c r="AC174" i="20"/>
  <c r="AB174" i="20"/>
  <c r="AI173" i="20"/>
  <c r="AH173" i="20"/>
  <c r="AG173" i="20"/>
  <c r="AF173" i="20"/>
  <c r="AE173" i="20"/>
  <c r="AD173" i="20"/>
  <c r="AC173" i="20"/>
  <c r="AB173" i="20"/>
  <c r="AI172" i="20"/>
  <c r="AH172" i="20"/>
  <c r="AG172" i="20"/>
  <c r="AF172" i="20"/>
  <c r="AE172" i="20"/>
  <c r="AD172" i="20"/>
  <c r="AC172" i="20"/>
  <c r="AB172" i="20"/>
  <c r="AI171" i="20"/>
  <c r="AH171" i="20"/>
  <c r="AG171" i="20"/>
  <c r="AF171" i="20"/>
  <c r="AE171" i="20"/>
  <c r="AD171" i="20"/>
  <c r="AC171" i="20"/>
  <c r="AB171" i="20"/>
  <c r="AI170" i="20"/>
  <c r="AH170" i="20"/>
  <c r="AG170" i="20"/>
  <c r="AF170" i="20"/>
  <c r="AE170" i="20"/>
  <c r="AD170" i="20"/>
  <c r="AC170" i="20"/>
  <c r="AB170" i="20"/>
  <c r="AI169" i="20"/>
  <c r="AH169" i="20"/>
  <c r="AG169" i="20"/>
  <c r="AF169" i="20"/>
  <c r="AE169" i="20"/>
  <c r="AD169" i="20"/>
  <c r="AC169" i="20"/>
  <c r="AB169" i="20"/>
  <c r="AI168" i="20"/>
  <c r="AH168" i="20"/>
  <c r="AG168" i="20"/>
  <c r="AF168" i="20"/>
  <c r="AE168" i="20"/>
  <c r="AD168" i="20"/>
  <c r="AC168" i="20"/>
  <c r="AB168" i="20"/>
  <c r="AI167" i="20"/>
  <c r="AH167" i="20"/>
  <c r="AG167" i="20"/>
  <c r="AF167" i="20"/>
  <c r="AE167" i="20"/>
  <c r="AD167" i="20"/>
  <c r="AC167" i="20"/>
  <c r="AB167" i="20"/>
  <c r="AI166" i="20"/>
  <c r="AH166" i="20"/>
  <c r="AG166" i="20"/>
  <c r="AF166" i="20"/>
  <c r="AE166" i="20"/>
  <c r="AD166" i="20"/>
  <c r="AC166" i="20"/>
  <c r="AB166" i="20"/>
  <c r="AI165" i="20"/>
  <c r="AH165" i="20"/>
  <c r="AG165" i="20"/>
  <c r="AF165" i="20"/>
  <c r="AE165" i="20"/>
  <c r="AD165" i="20"/>
  <c r="AC165" i="20"/>
  <c r="AB165" i="20"/>
  <c r="AI164" i="20"/>
  <c r="AH164" i="20"/>
  <c r="AG164" i="20"/>
  <c r="AF164" i="20"/>
  <c r="AE164" i="20"/>
  <c r="AD164" i="20"/>
  <c r="AC164" i="20"/>
  <c r="AB164" i="20"/>
  <c r="AI163" i="20"/>
  <c r="AH163" i="20"/>
  <c r="AG163" i="20"/>
  <c r="AF163" i="20"/>
  <c r="AE163" i="20"/>
  <c r="AD163" i="20"/>
  <c r="AC163" i="20"/>
  <c r="AB163" i="20"/>
  <c r="AI162" i="20"/>
  <c r="AH162" i="20"/>
  <c r="AG162" i="20"/>
  <c r="AF162" i="20"/>
  <c r="AE162" i="20"/>
  <c r="AD162" i="20"/>
  <c r="AC162" i="20"/>
  <c r="AB162" i="20"/>
  <c r="AI161" i="20"/>
  <c r="AH161" i="20"/>
  <c r="AG161" i="20"/>
  <c r="AF161" i="20"/>
  <c r="AE161" i="20"/>
  <c r="AD161" i="20"/>
  <c r="AC161" i="20"/>
  <c r="AB161" i="20"/>
  <c r="AI160" i="20"/>
  <c r="AH160" i="20"/>
  <c r="AG160" i="20"/>
  <c r="AF160" i="20"/>
  <c r="AE160" i="20"/>
  <c r="AD160" i="20"/>
  <c r="AC160" i="20"/>
  <c r="AB160" i="20"/>
  <c r="AI159" i="20"/>
  <c r="AH159" i="20"/>
  <c r="AG159" i="20"/>
  <c r="AF159" i="20"/>
  <c r="AE159" i="20"/>
  <c r="AD159" i="20"/>
  <c r="AC159" i="20"/>
  <c r="AB159" i="20"/>
  <c r="AI158" i="20"/>
  <c r="AH158" i="20"/>
  <c r="AG158" i="20"/>
  <c r="AF158" i="20"/>
  <c r="AE158" i="20"/>
  <c r="AD158" i="20"/>
  <c r="AC158" i="20"/>
  <c r="AB158" i="20"/>
  <c r="AI157" i="20"/>
  <c r="AH157" i="20"/>
  <c r="AG157" i="20"/>
  <c r="AF157" i="20"/>
  <c r="AE157" i="20"/>
  <c r="AD157" i="20"/>
  <c r="AC157" i="20"/>
  <c r="AB157" i="20"/>
  <c r="AI156" i="20"/>
  <c r="AH156" i="20"/>
  <c r="AG156" i="20"/>
  <c r="AF156" i="20"/>
  <c r="AE156" i="20"/>
  <c r="AD156" i="20"/>
  <c r="AC156" i="20"/>
  <c r="AB156" i="20"/>
  <c r="AI155" i="20"/>
  <c r="AH155" i="20"/>
  <c r="AG155" i="20"/>
  <c r="AF155" i="20"/>
  <c r="AE155" i="20"/>
  <c r="AD155" i="20"/>
  <c r="AC155" i="20"/>
  <c r="AB155" i="20"/>
  <c r="AI154" i="20"/>
  <c r="AH154" i="20"/>
  <c r="AG154" i="20"/>
  <c r="AF154" i="20"/>
  <c r="AE154" i="20"/>
  <c r="AD154" i="20"/>
  <c r="AC154" i="20"/>
  <c r="AB154" i="20"/>
  <c r="AI153" i="20"/>
  <c r="AH153" i="20"/>
  <c r="AG153" i="20"/>
  <c r="AF153" i="20"/>
  <c r="AE153" i="20"/>
  <c r="AD153" i="20"/>
  <c r="AC153" i="20"/>
  <c r="AB153" i="20"/>
  <c r="AI152" i="20"/>
  <c r="AH152" i="20"/>
  <c r="AG152" i="20"/>
  <c r="AF152" i="20"/>
  <c r="AE152" i="20"/>
  <c r="AD152" i="20"/>
  <c r="AC152" i="20"/>
  <c r="AB152" i="20"/>
  <c r="AI151" i="20"/>
  <c r="AH151" i="20"/>
  <c r="AG151" i="20"/>
  <c r="AF151" i="20"/>
  <c r="AE151" i="20"/>
  <c r="AD151" i="20"/>
  <c r="AC151" i="20"/>
  <c r="AB151" i="20"/>
  <c r="AI150" i="20"/>
  <c r="AH150" i="20"/>
  <c r="AG150" i="20"/>
  <c r="AF150" i="20"/>
  <c r="AE150" i="20"/>
  <c r="AD150" i="20"/>
  <c r="AC150" i="20"/>
  <c r="AB150" i="20"/>
  <c r="AI149" i="20"/>
  <c r="AH149" i="20"/>
  <c r="AG149" i="20"/>
  <c r="AF149" i="20"/>
  <c r="AE149" i="20"/>
  <c r="AD149" i="20"/>
  <c r="AC149" i="20"/>
  <c r="AB149" i="20"/>
  <c r="AI148" i="20"/>
  <c r="AH148" i="20"/>
  <c r="AG148" i="20"/>
  <c r="AF148" i="20"/>
  <c r="AE148" i="20"/>
  <c r="AD148" i="20"/>
  <c r="AC148" i="20"/>
  <c r="AB148" i="20"/>
  <c r="AI147" i="20"/>
  <c r="AH147" i="20"/>
  <c r="AG147" i="20"/>
  <c r="AF147" i="20"/>
  <c r="AE147" i="20"/>
  <c r="AD147" i="20"/>
  <c r="AC147" i="20"/>
  <c r="AB147" i="20"/>
  <c r="AI146" i="20"/>
  <c r="AH146" i="20"/>
  <c r="AG146" i="20"/>
  <c r="AF146" i="20"/>
  <c r="AE146" i="20"/>
  <c r="AD146" i="20"/>
  <c r="AC146" i="20"/>
  <c r="AB146" i="20"/>
  <c r="AI145" i="20"/>
  <c r="AH145" i="20"/>
  <c r="AG145" i="20"/>
  <c r="AF145" i="20"/>
  <c r="AE145" i="20"/>
  <c r="AD145" i="20"/>
  <c r="AC145" i="20"/>
  <c r="AB145" i="20"/>
  <c r="AI144" i="20"/>
  <c r="AH144" i="20"/>
  <c r="AG144" i="20"/>
  <c r="AF144" i="20"/>
  <c r="AE144" i="20"/>
  <c r="AD144" i="20"/>
  <c r="AC144" i="20"/>
  <c r="AB144" i="20"/>
  <c r="AI143" i="20"/>
  <c r="AH143" i="20"/>
  <c r="AG143" i="20"/>
  <c r="AF143" i="20"/>
  <c r="AE143" i="20"/>
  <c r="AD143" i="20"/>
  <c r="AC143" i="20"/>
  <c r="AB143" i="20"/>
  <c r="AI142" i="20"/>
  <c r="AH142" i="20"/>
  <c r="AG142" i="20"/>
  <c r="AF142" i="20"/>
  <c r="AE142" i="20"/>
  <c r="AD142" i="20"/>
  <c r="AC142" i="20"/>
  <c r="AB142" i="20"/>
  <c r="AI141" i="20"/>
  <c r="AH141" i="20"/>
  <c r="AG141" i="20"/>
  <c r="AF141" i="20"/>
  <c r="AE141" i="20"/>
  <c r="AD141" i="20"/>
  <c r="AC141" i="20"/>
  <c r="AB141" i="20"/>
  <c r="AI140" i="20"/>
  <c r="AH140" i="20"/>
  <c r="AG140" i="20"/>
  <c r="AF140" i="20"/>
  <c r="AE140" i="20"/>
  <c r="AD140" i="20"/>
  <c r="AC140" i="20"/>
  <c r="AB140" i="20"/>
  <c r="AI139" i="20"/>
  <c r="AH139" i="20"/>
  <c r="AG139" i="20"/>
  <c r="AF139" i="20"/>
  <c r="AE139" i="20"/>
  <c r="AD139" i="20"/>
  <c r="AC139" i="20"/>
  <c r="AB139" i="20"/>
  <c r="AI138" i="20"/>
  <c r="AH138" i="20"/>
  <c r="AG138" i="20"/>
  <c r="AF138" i="20"/>
  <c r="AE138" i="20"/>
  <c r="AD138" i="20"/>
  <c r="AC138" i="20"/>
  <c r="AB138" i="20"/>
  <c r="AI137" i="20"/>
  <c r="AH137" i="20"/>
  <c r="AG137" i="20"/>
  <c r="AF137" i="20"/>
  <c r="AE137" i="20"/>
  <c r="AD137" i="20"/>
  <c r="AC137" i="20"/>
  <c r="AB137" i="20"/>
  <c r="AI136" i="20"/>
  <c r="AH136" i="20"/>
  <c r="AG136" i="20"/>
  <c r="AF136" i="20"/>
  <c r="AE136" i="20"/>
  <c r="AD136" i="20"/>
  <c r="AC136" i="20"/>
  <c r="AB136" i="20"/>
  <c r="AI135" i="20"/>
  <c r="AH135" i="20"/>
  <c r="AG135" i="20"/>
  <c r="AF135" i="20"/>
  <c r="AE135" i="20"/>
  <c r="AD135" i="20"/>
  <c r="AC135" i="20"/>
  <c r="AB135" i="20"/>
  <c r="AI134" i="20"/>
  <c r="AH134" i="20"/>
  <c r="AG134" i="20"/>
  <c r="AF134" i="20"/>
  <c r="AE134" i="20"/>
  <c r="AD134" i="20"/>
  <c r="AC134" i="20"/>
  <c r="AB134" i="20"/>
  <c r="AI133" i="20"/>
  <c r="AH133" i="20"/>
  <c r="AG133" i="20"/>
  <c r="AF133" i="20"/>
  <c r="AE133" i="20"/>
  <c r="AD133" i="20"/>
  <c r="AC133" i="20"/>
  <c r="AB133" i="20"/>
  <c r="AI132" i="20"/>
  <c r="AH132" i="20"/>
  <c r="AG132" i="20"/>
  <c r="AF132" i="20"/>
  <c r="AE132" i="20"/>
  <c r="AD132" i="20"/>
  <c r="AC132" i="20"/>
  <c r="AB132" i="20"/>
  <c r="AI131" i="20"/>
  <c r="AH131" i="20"/>
  <c r="AG131" i="20"/>
  <c r="AF131" i="20"/>
  <c r="AE131" i="20"/>
  <c r="AD131" i="20"/>
  <c r="AC131" i="20"/>
  <c r="AB131" i="20"/>
  <c r="AI130" i="20"/>
  <c r="AH130" i="20"/>
  <c r="AG130" i="20"/>
  <c r="AF130" i="20"/>
  <c r="AE130" i="20"/>
  <c r="AD130" i="20"/>
  <c r="AC130" i="20"/>
  <c r="AB130" i="20"/>
  <c r="AI129" i="20"/>
  <c r="AH129" i="20"/>
  <c r="AG129" i="20"/>
  <c r="AF129" i="20"/>
  <c r="AE129" i="20"/>
  <c r="AD129" i="20"/>
  <c r="AC129" i="20"/>
  <c r="AB129" i="20"/>
  <c r="AI128" i="20"/>
  <c r="AH128" i="20"/>
  <c r="AG128" i="20"/>
  <c r="AF128" i="20"/>
  <c r="AE128" i="20"/>
  <c r="AD128" i="20"/>
  <c r="AC128" i="20"/>
  <c r="AB128" i="20"/>
  <c r="AI127" i="20"/>
  <c r="AH127" i="20"/>
  <c r="AG127" i="20"/>
  <c r="AF127" i="20"/>
  <c r="AE127" i="20"/>
  <c r="AD127" i="20"/>
  <c r="AC127" i="20"/>
  <c r="AB127" i="20"/>
  <c r="AI126" i="20"/>
  <c r="AH126" i="20"/>
  <c r="AG126" i="20"/>
  <c r="AF126" i="20"/>
  <c r="AE126" i="20"/>
  <c r="AD126" i="20"/>
  <c r="AC126" i="20"/>
  <c r="AB126" i="20"/>
  <c r="AI125" i="20"/>
  <c r="AH125" i="20"/>
  <c r="AG125" i="20"/>
  <c r="AF125" i="20"/>
  <c r="AE125" i="20"/>
  <c r="AD125" i="20"/>
  <c r="AC125" i="20"/>
  <c r="AB125" i="20"/>
  <c r="AI124" i="20"/>
  <c r="AH124" i="20"/>
  <c r="AG124" i="20"/>
  <c r="AF124" i="20"/>
  <c r="AE124" i="20"/>
  <c r="AD124" i="20"/>
  <c r="AC124" i="20"/>
  <c r="AB124" i="20"/>
  <c r="AI123" i="20"/>
  <c r="AH123" i="20"/>
  <c r="AG123" i="20"/>
  <c r="AF123" i="20"/>
  <c r="AE123" i="20"/>
  <c r="AD123" i="20"/>
  <c r="AC123" i="20"/>
  <c r="AB123" i="20"/>
  <c r="AI122" i="20"/>
  <c r="AH122" i="20"/>
  <c r="AG122" i="20"/>
  <c r="AF122" i="20"/>
  <c r="AE122" i="20"/>
  <c r="AD122" i="20"/>
  <c r="AC122" i="20"/>
  <c r="AB122" i="20"/>
  <c r="AI121" i="20"/>
  <c r="AH121" i="20"/>
  <c r="AG121" i="20"/>
  <c r="AF121" i="20"/>
  <c r="AE121" i="20"/>
  <c r="AD121" i="20"/>
  <c r="AC121" i="20"/>
  <c r="AB121" i="20"/>
  <c r="AI120" i="20"/>
  <c r="AH120" i="20"/>
  <c r="AG120" i="20"/>
  <c r="AF120" i="20"/>
  <c r="AE120" i="20"/>
  <c r="AD120" i="20"/>
  <c r="AC120" i="20"/>
  <c r="AB120" i="20"/>
  <c r="AI119" i="20"/>
  <c r="AH119" i="20"/>
  <c r="AG119" i="20"/>
  <c r="AF119" i="20"/>
  <c r="AE119" i="20"/>
  <c r="AD119" i="20"/>
  <c r="AC119" i="20"/>
  <c r="AB119" i="20"/>
  <c r="AI118" i="20"/>
  <c r="AH118" i="20"/>
  <c r="AG118" i="20"/>
  <c r="AF118" i="20"/>
  <c r="AE118" i="20"/>
  <c r="AD118" i="20"/>
  <c r="AC118" i="20"/>
  <c r="AB118" i="20"/>
  <c r="AI117" i="20"/>
  <c r="AH117" i="20"/>
  <c r="AG117" i="20"/>
  <c r="AF117" i="20"/>
  <c r="AE117" i="20"/>
  <c r="AD117" i="20"/>
  <c r="AC117" i="20"/>
  <c r="AB117" i="20"/>
  <c r="AI116" i="20"/>
  <c r="AH116" i="20"/>
  <c r="AG116" i="20"/>
  <c r="AF116" i="20"/>
  <c r="AE116" i="20"/>
  <c r="AD116" i="20"/>
  <c r="AC116" i="20"/>
  <c r="AB116" i="20"/>
  <c r="AI115" i="20"/>
  <c r="AH115" i="20"/>
  <c r="AG115" i="20"/>
  <c r="AF115" i="20"/>
  <c r="AE115" i="20"/>
  <c r="AD115" i="20"/>
  <c r="AC115" i="20"/>
  <c r="AB115" i="20"/>
  <c r="AI114" i="20"/>
  <c r="AH114" i="20"/>
  <c r="AG114" i="20"/>
  <c r="AF114" i="20"/>
  <c r="AE114" i="20"/>
  <c r="AD114" i="20"/>
  <c r="AC114" i="20"/>
  <c r="AB114" i="20"/>
  <c r="AI113" i="20"/>
  <c r="AH113" i="20"/>
  <c r="AG113" i="20"/>
  <c r="AF113" i="20"/>
  <c r="AE113" i="20"/>
  <c r="AD113" i="20"/>
  <c r="AC113" i="20"/>
  <c r="AB113" i="20"/>
  <c r="AI112" i="20"/>
  <c r="AH112" i="20"/>
  <c r="AG112" i="20"/>
  <c r="AF112" i="20"/>
  <c r="AE112" i="20"/>
  <c r="AD112" i="20"/>
  <c r="AC112" i="20"/>
  <c r="AB112" i="20"/>
  <c r="AI111" i="20"/>
  <c r="AH111" i="20"/>
  <c r="AG111" i="20"/>
  <c r="AF111" i="20"/>
  <c r="AE111" i="20"/>
  <c r="AD111" i="20"/>
  <c r="AC111" i="20"/>
  <c r="AB111" i="20"/>
  <c r="AI110" i="20"/>
  <c r="AH110" i="20"/>
  <c r="AG110" i="20"/>
  <c r="AF110" i="20"/>
  <c r="AE110" i="20"/>
  <c r="AD110" i="20"/>
  <c r="AC110" i="20"/>
  <c r="AB110" i="20"/>
  <c r="AI109" i="20"/>
  <c r="AH109" i="20"/>
  <c r="AG109" i="20"/>
  <c r="AF109" i="20"/>
  <c r="AE109" i="20"/>
  <c r="AD109" i="20"/>
  <c r="AC109" i="20"/>
  <c r="AB109" i="20"/>
  <c r="AI108" i="20"/>
  <c r="AH108" i="20"/>
  <c r="AG108" i="20"/>
  <c r="AF108" i="20"/>
  <c r="AE108" i="20"/>
  <c r="AD108" i="20"/>
  <c r="AC108" i="20"/>
  <c r="AB108" i="20"/>
  <c r="AI107" i="20"/>
  <c r="AH107" i="20"/>
  <c r="AG107" i="20"/>
  <c r="AF107" i="20"/>
  <c r="AE107" i="20"/>
  <c r="AD107" i="20"/>
  <c r="AC107" i="20"/>
  <c r="AB107" i="20"/>
  <c r="AI106" i="20"/>
  <c r="AH106" i="20"/>
  <c r="AG106" i="20"/>
  <c r="AF106" i="20"/>
  <c r="AE106" i="20"/>
  <c r="AD106" i="20"/>
  <c r="AC106" i="20"/>
  <c r="AB106" i="20"/>
  <c r="AI105" i="20"/>
  <c r="AH105" i="20"/>
  <c r="AG105" i="20"/>
  <c r="AF105" i="20"/>
  <c r="AE105" i="20"/>
  <c r="AD105" i="20"/>
  <c r="AC105" i="20"/>
  <c r="AB105" i="20"/>
  <c r="AI104" i="20"/>
  <c r="AH104" i="20"/>
  <c r="AG104" i="20"/>
  <c r="AF104" i="20"/>
  <c r="AE104" i="20"/>
  <c r="AD104" i="20"/>
  <c r="AC104" i="20"/>
  <c r="AB104" i="20"/>
  <c r="AI103" i="20"/>
  <c r="AH103" i="20"/>
  <c r="AG103" i="20"/>
  <c r="AF103" i="20"/>
  <c r="AE103" i="20"/>
  <c r="AD103" i="20"/>
  <c r="AC103" i="20"/>
  <c r="AB103" i="20"/>
  <c r="AI102" i="20"/>
  <c r="AH102" i="20"/>
  <c r="AG102" i="20"/>
  <c r="AF102" i="20"/>
  <c r="AE102" i="20"/>
  <c r="AD102" i="20"/>
  <c r="AC102" i="20"/>
  <c r="AB102" i="20"/>
  <c r="AI101" i="20"/>
  <c r="AH101" i="20"/>
  <c r="AG101" i="20"/>
  <c r="AF101" i="20"/>
  <c r="AE101" i="20"/>
  <c r="AD101" i="20"/>
  <c r="AC101" i="20"/>
  <c r="AB101" i="20"/>
  <c r="AI100" i="20"/>
  <c r="AH100" i="20"/>
  <c r="AG100" i="20"/>
  <c r="AF100" i="20"/>
  <c r="AE100" i="20"/>
  <c r="AD100" i="20"/>
  <c r="AC100" i="20"/>
  <c r="AB100" i="20"/>
  <c r="AI99" i="20"/>
  <c r="AH99" i="20"/>
  <c r="AG99" i="20"/>
  <c r="AF99" i="20"/>
  <c r="AE99" i="20"/>
  <c r="AD99" i="20"/>
  <c r="AC99" i="20"/>
  <c r="AB99" i="20"/>
  <c r="AI98" i="20"/>
  <c r="AH98" i="20"/>
  <c r="AG98" i="20"/>
  <c r="AF98" i="20"/>
  <c r="AE98" i="20"/>
  <c r="AD98" i="20"/>
  <c r="AC98" i="20"/>
  <c r="AB98" i="20"/>
  <c r="AI97" i="20"/>
  <c r="AH97" i="20"/>
  <c r="AG97" i="20"/>
  <c r="AF97" i="20"/>
  <c r="AE97" i="20"/>
  <c r="AD97" i="20"/>
  <c r="AC97" i="20"/>
  <c r="AB97" i="20"/>
  <c r="AI96" i="20"/>
  <c r="AH96" i="20"/>
  <c r="AG96" i="20"/>
  <c r="AF96" i="20"/>
  <c r="AE96" i="20"/>
  <c r="AD96" i="20"/>
  <c r="AC96" i="20"/>
  <c r="AB96" i="20"/>
  <c r="AI5" i="20"/>
  <c r="B77" i="27"/>
  <c r="AI205" i="26"/>
  <c r="AH205" i="26"/>
  <c r="AG205" i="26"/>
  <c r="AF205" i="26"/>
  <c r="AE205" i="26"/>
  <c r="AD205" i="26"/>
  <c r="AC205" i="26"/>
  <c r="AB205" i="26"/>
  <c r="AI204" i="26"/>
  <c r="AH204" i="26"/>
  <c r="AG204" i="26"/>
  <c r="AF204" i="26"/>
  <c r="AE204" i="26"/>
  <c r="AD204" i="26"/>
  <c r="AC204" i="26"/>
  <c r="AB204" i="26"/>
  <c r="AI203" i="26"/>
  <c r="AH203" i="26"/>
  <c r="AG203" i="26"/>
  <c r="AF203" i="26"/>
  <c r="AE203" i="26"/>
  <c r="AD203" i="26"/>
  <c r="AC203" i="26"/>
  <c r="AB203" i="26"/>
  <c r="AI202" i="26"/>
  <c r="AH202" i="26"/>
  <c r="AG202" i="26"/>
  <c r="AF202" i="26"/>
  <c r="AE202" i="26"/>
  <c r="AD202" i="26"/>
  <c r="AC202" i="26"/>
  <c r="AB202" i="26"/>
  <c r="AI201" i="26"/>
  <c r="AH201" i="26"/>
  <c r="AG201" i="26"/>
  <c r="AF201" i="26"/>
  <c r="AE201" i="26"/>
  <c r="AD201" i="26"/>
  <c r="AC201" i="26"/>
  <c r="AB201" i="26"/>
  <c r="AI200" i="26"/>
  <c r="AH200" i="26"/>
  <c r="AG200" i="26"/>
  <c r="AF200" i="26"/>
  <c r="AE200" i="26"/>
  <c r="AD200" i="26"/>
  <c r="AC200" i="26"/>
  <c r="AB200" i="26"/>
  <c r="AI199" i="26"/>
  <c r="AH199" i="26"/>
  <c r="AG199" i="26"/>
  <c r="AF199" i="26"/>
  <c r="AE199" i="26"/>
  <c r="AD199" i="26"/>
  <c r="AC199" i="26"/>
  <c r="AB199" i="26"/>
  <c r="AI198" i="26"/>
  <c r="AH198" i="26"/>
  <c r="AG198" i="26"/>
  <c r="AF198" i="26"/>
  <c r="AE198" i="26"/>
  <c r="AD198" i="26"/>
  <c r="AC198" i="26"/>
  <c r="AB198" i="26"/>
  <c r="AI197" i="26"/>
  <c r="AH197" i="26"/>
  <c r="AG197" i="26"/>
  <c r="AF197" i="26"/>
  <c r="AE197" i="26"/>
  <c r="AD197" i="26"/>
  <c r="AC197" i="26"/>
  <c r="AB197" i="26"/>
  <c r="AI196" i="26"/>
  <c r="AH196" i="26"/>
  <c r="AG196" i="26"/>
  <c r="AF196" i="26"/>
  <c r="AE196" i="26"/>
  <c r="AD196" i="26"/>
  <c r="AC196" i="26"/>
  <c r="AB196" i="26"/>
  <c r="AI195" i="26"/>
  <c r="AH195" i="26"/>
  <c r="AG195" i="26"/>
  <c r="AF195" i="26"/>
  <c r="AE195" i="26"/>
  <c r="AD195" i="26"/>
  <c r="AC195" i="26"/>
  <c r="AB195" i="26"/>
  <c r="AI194" i="26"/>
  <c r="AH194" i="26"/>
  <c r="AG194" i="26"/>
  <c r="AF194" i="26"/>
  <c r="AE194" i="26"/>
  <c r="AD194" i="26"/>
  <c r="AC194" i="26"/>
  <c r="AB194" i="26"/>
  <c r="AI193" i="26"/>
  <c r="AH193" i="26"/>
  <c r="AG193" i="26"/>
  <c r="AF193" i="26"/>
  <c r="AE193" i="26"/>
  <c r="AD193" i="26"/>
  <c r="AC193" i="26"/>
  <c r="AB193" i="26"/>
  <c r="AI192" i="26"/>
  <c r="AH192" i="26"/>
  <c r="AG192" i="26"/>
  <c r="AF192" i="26"/>
  <c r="AE192" i="26"/>
  <c r="AD192" i="26"/>
  <c r="AC192" i="26"/>
  <c r="AB192" i="26"/>
  <c r="AI191" i="26"/>
  <c r="AH191" i="26"/>
  <c r="AG191" i="26"/>
  <c r="AF191" i="26"/>
  <c r="AE191" i="26"/>
  <c r="AD191" i="26"/>
  <c r="AC191" i="26"/>
  <c r="AB191" i="26"/>
  <c r="AI190" i="26"/>
  <c r="AH190" i="26"/>
  <c r="AG190" i="26"/>
  <c r="AF190" i="26"/>
  <c r="AE190" i="26"/>
  <c r="AD190" i="26"/>
  <c r="AC190" i="26"/>
  <c r="AB190" i="26"/>
  <c r="AI189" i="26"/>
  <c r="AH189" i="26"/>
  <c r="AG189" i="26"/>
  <c r="AF189" i="26"/>
  <c r="AE189" i="26"/>
  <c r="AD189" i="26"/>
  <c r="AC189" i="26"/>
  <c r="AB189" i="26"/>
  <c r="AI188" i="26"/>
  <c r="AH188" i="26"/>
  <c r="AG188" i="26"/>
  <c r="AF188" i="26"/>
  <c r="AE188" i="26"/>
  <c r="AD188" i="26"/>
  <c r="AC188" i="26"/>
  <c r="AB188" i="26"/>
  <c r="AI187" i="26"/>
  <c r="AH187" i="26"/>
  <c r="AG187" i="26"/>
  <c r="AF187" i="26"/>
  <c r="AE187" i="26"/>
  <c r="AD187" i="26"/>
  <c r="AC187" i="26"/>
  <c r="AB187" i="26"/>
  <c r="AI186" i="26"/>
  <c r="AH186" i="26"/>
  <c r="AG186" i="26"/>
  <c r="AF186" i="26"/>
  <c r="AE186" i="26"/>
  <c r="AD186" i="26"/>
  <c r="AC186" i="26"/>
  <c r="AB186" i="26"/>
  <c r="AI185" i="26"/>
  <c r="AH185" i="26"/>
  <c r="AG185" i="26"/>
  <c r="AF185" i="26"/>
  <c r="AE185" i="26"/>
  <c r="AD185" i="26"/>
  <c r="AC185" i="26"/>
  <c r="AB185" i="26"/>
  <c r="AI184" i="26"/>
  <c r="AH184" i="26"/>
  <c r="AG184" i="26"/>
  <c r="AF184" i="26"/>
  <c r="AE184" i="26"/>
  <c r="AD184" i="26"/>
  <c r="AC184" i="26"/>
  <c r="AB184" i="26"/>
  <c r="AI183" i="26"/>
  <c r="AH183" i="26"/>
  <c r="AG183" i="26"/>
  <c r="AF183" i="26"/>
  <c r="AE183" i="26"/>
  <c r="AD183" i="26"/>
  <c r="AC183" i="26"/>
  <c r="AB183" i="26"/>
  <c r="AI182" i="26"/>
  <c r="AH182" i="26"/>
  <c r="AG182" i="26"/>
  <c r="AF182" i="26"/>
  <c r="AE182" i="26"/>
  <c r="AD182" i="26"/>
  <c r="AC182" i="26"/>
  <c r="AB182" i="26"/>
  <c r="AI181" i="26"/>
  <c r="AH181" i="26"/>
  <c r="AG181" i="26"/>
  <c r="AF181" i="26"/>
  <c r="AE181" i="26"/>
  <c r="AD181" i="26"/>
  <c r="AC181" i="26"/>
  <c r="AB181" i="26"/>
  <c r="AI180" i="26"/>
  <c r="AH180" i="26"/>
  <c r="AG180" i="26"/>
  <c r="AF180" i="26"/>
  <c r="AE180" i="26"/>
  <c r="AD180" i="26"/>
  <c r="AC180" i="26"/>
  <c r="AB180" i="26"/>
  <c r="AI179" i="26"/>
  <c r="AH179" i="26"/>
  <c r="AG179" i="26"/>
  <c r="AF179" i="26"/>
  <c r="AE179" i="26"/>
  <c r="AD179" i="26"/>
  <c r="AC179" i="26"/>
  <c r="AB179" i="26"/>
  <c r="AI178" i="26"/>
  <c r="AH178" i="26"/>
  <c r="AG178" i="26"/>
  <c r="AF178" i="26"/>
  <c r="AE178" i="26"/>
  <c r="AD178" i="26"/>
  <c r="AC178" i="26"/>
  <c r="AB178" i="26"/>
  <c r="AI177" i="26"/>
  <c r="AH177" i="26"/>
  <c r="AG177" i="26"/>
  <c r="AF177" i="26"/>
  <c r="AE177" i="26"/>
  <c r="AD177" i="26"/>
  <c r="AC177" i="26"/>
  <c r="AB177" i="26"/>
  <c r="AI176" i="26"/>
  <c r="AH176" i="26"/>
  <c r="AG176" i="26"/>
  <c r="AF176" i="26"/>
  <c r="AE176" i="26"/>
  <c r="AD176" i="26"/>
  <c r="AC176" i="26"/>
  <c r="AB176" i="26"/>
  <c r="AI175" i="26"/>
  <c r="AH175" i="26"/>
  <c r="AG175" i="26"/>
  <c r="AF175" i="26"/>
  <c r="AE175" i="26"/>
  <c r="AD175" i="26"/>
  <c r="AC175" i="26"/>
  <c r="AB175" i="26"/>
  <c r="AI174" i="26"/>
  <c r="AH174" i="26"/>
  <c r="AG174" i="26"/>
  <c r="AF174" i="26"/>
  <c r="AE174" i="26"/>
  <c r="AD174" i="26"/>
  <c r="AC174" i="26"/>
  <c r="AB174" i="26"/>
  <c r="AI173" i="26"/>
  <c r="AH173" i="26"/>
  <c r="AG173" i="26"/>
  <c r="AF173" i="26"/>
  <c r="AE173" i="26"/>
  <c r="AD173" i="26"/>
  <c r="AC173" i="26"/>
  <c r="AB173" i="26"/>
  <c r="AI172" i="26"/>
  <c r="AH172" i="26"/>
  <c r="AG172" i="26"/>
  <c r="AF172" i="26"/>
  <c r="AE172" i="26"/>
  <c r="AD172" i="26"/>
  <c r="AC172" i="26"/>
  <c r="AB172" i="26"/>
  <c r="AI171" i="26"/>
  <c r="AH171" i="26"/>
  <c r="AG171" i="26"/>
  <c r="AF171" i="26"/>
  <c r="AE171" i="26"/>
  <c r="AD171" i="26"/>
  <c r="AC171" i="26"/>
  <c r="AB171" i="26"/>
  <c r="AI170" i="26"/>
  <c r="AH170" i="26"/>
  <c r="AG170" i="26"/>
  <c r="AF170" i="26"/>
  <c r="AE170" i="26"/>
  <c r="AD170" i="26"/>
  <c r="AC170" i="26"/>
  <c r="AB170" i="26"/>
  <c r="AI169" i="26"/>
  <c r="AH169" i="26"/>
  <c r="AG169" i="26"/>
  <c r="AF169" i="26"/>
  <c r="AE169" i="26"/>
  <c r="AD169" i="26"/>
  <c r="AC169" i="26"/>
  <c r="AB169" i="26"/>
  <c r="AI168" i="26"/>
  <c r="AH168" i="26"/>
  <c r="AG168" i="26"/>
  <c r="AF168" i="26"/>
  <c r="AE168" i="26"/>
  <c r="AD168" i="26"/>
  <c r="AC168" i="26"/>
  <c r="AB168" i="26"/>
  <c r="AI167" i="26"/>
  <c r="AH167" i="26"/>
  <c r="AG167" i="26"/>
  <c r="AF167" i="26"/>
  <c r="AE167" i="26"/>
  <c r="AD167" i="26"/>
  <c r="AC167" i="26"/>
  <c r="AB167" i="26"/>
  <c r="AI166" i="26"/>
  <c r="AH166" i="26"/>
  <c r="AG166" i="26"/>
  <c r="AF166" i="26"/>
  <c r="AE166" i="26"/>
  <c r="AD166" i="26"/>
  <c r="AC166" i="26"/>
  <c r="AB166" i="26"/>
  <c r="AI165" i="26"/>
  <c r="AH165" i="26"/>
  <c r="AG165" i="26"/>
  <c r="AF165" i="26"/>
  <c r="AE165" i="26"/>
  <c r="AD165" i="26"/>
  <c r="AC165" i="26"/>
  <c r="AB165" i="26"/>
  <c r="AI164" i="26"/>
  <c r="AH164" i="26"/>
  <c r="AG164" i="26"/>
  <c r="AF164" i="26"/>
  <c r="AE164" i="26"/>
  <c r="AD164" i="26"/>
  <c r="AC164" i="26"/>
  <c r="AB164" i="26"/>
  <c r="AI163" i="26"/>
  <c r="AH163" i="26"/>
  <c r="AG163" i="26"/>
  <c r="AF163" i="26"/>
  <c r="AE163" i="26"/>
  <c r="AD163" i="26"/>
  <c r="AC163" i="26"/>
  <c r="AB163" i="26"/>
  <c r="AI162" i="26"/>
  <c r="AH162" i="26"/>
  <c r="AG162" i="26"/>
  <c r="AF162" i="26"/>
  <c r="AE162" i="26"/>
  <c r="AD162" i="26"/>
  <c r="AC162" i="26"/>
  <c r="AB162" i="26"/>
  <c r="AI161" i="26"/>
  <c r="AH161" i="26"/>
  <c r="AG161" i="26"/>
  <c r="AF161" i="26"/>
  <c r="AE161" i="26"/>
  <c r="AD161" i="26"/>
  <c r="AC161" i="26"/>
  <c r="AB161" i="26"/>
  <c r="AI160" i="26"/>
  <c r="AH160" i="26"/>
  <c r="AG160" i="26"/>
  <c r="AF160" i="26"/>
  <c r="AE160" i="26"/>
  <c r="AD160" i="26"/>
  <c r="AC160" i="26"/>
  <c r="AB160" i="26"/>
  <c r="AI159" i="26"/>
  <c r="AH159" i="26"/>
  <c r="AG159" i="26"/>
  <c r="AF159" i="26"/>
  <c r="AE159" i="26"/>
  <c r="AD159" i="26"/>
  <c r="AC159" i="26"/>
  <c r="AB159" i="26"/>
  <c r="AI158" i="26"/>
  <c r="AH158" i="26"/>
  <c r="AG158" i="26"/>
  <c r="AF158" i="26"/>
  <c r="AE158" i="26"/>
  <c r="AD158" i="26"/>
  <c r="AC158" i="26"/>
  <c r="AB158" i="26"/>
  <c r="AI157" i="26"/>
  <c r="AH157" i="26"/>
  <c r="AG157" i="26"/>
  <c r="AF157" i="26"/>
  <c r="AE157" i="26"/>
  <c r="AD157" i="26"/>
  <c r="AC157" i="26"/>
  <c r="AB157" i="26"/>
  <c r="AI156" i="26"/>
  <c r="AH156" i="26"/>
  <c r="AG156" i="26"/>
  <c r="AF156" i="26"/>
  <c r="AE156" i="26"/>
  <c r="AD156" i="26"/>
  <c r="AC156" i="26"/>
  <c r="AB156" i="26"/>
  <c r="AB23" i="26"/>
  <c r="AC23" i="26"/>
  <c r="AB26" i="26"/>
  <c r="AC26" i="26"/>
  <c r="AB29" i="26"/>
  <c r="AC29" i="26"/>
  <c r="AB35" i="26"/>
  <c r="AC35" i="26"/>
  <c r="AB41" i="26"/>
  <c r="AC41" i="26"/>
  <c r="AB47" i="26"/>
  <c r="AC47" i="26"/>
  <c r="AB53" i="26"/>
  <c r="AC53" i="26"/>
  <c r="AB65" i="26"/>
  <c r="AC65" i="26"/>
  <c r="AB66" i="26"/>
  <c r="AC66" i="26"/>
  <c r="AB67" i="26"/>
  <c r="AC67" i="26"/>
  <c r="AB68" i="26"/>
  <c r="AC68" i="26"/>
  <c r="AB69" i="26"/>
  <c r="AC69" i="26"/>
  <c r="AB70" i="26"/>
  <c r="AC70" i="26"/>
  <c r="AB71" i="26"/>
  <c r="AC71" i="26"/>
  <c r="AB72" i="26"/>
  <c r="AC72" i="26"/>
  <c r="AB73" i="26"/>
  <c r="AC73" i="26"/>
  <c r="AB74" i="26"/>
  <c r="AC74" i="26"/>
  <c r="AB75" i="26"/>
  <c r="AC75" i="26"/>
  <c r="AB76" i="26"/>
  <c r="AC76" i="26"/>
  <c r="AB77" i="26"/>
  <c r="AC77" i="26"/>
  <c r="AB78" i="26"/>
  <c r="AC78" i="26"/>
  <c r="AB79" i="26"/>
  <c r="AC79" i="26"/>
  <c r="AB80" i="26"/>
  <c r="AC80" i="26"/>
  <c r="AB81" i="26"/>
  <c r="AC81" i="26"/>
  <c r="AB82" i="26"/>
  <c r="AC82" i="26"/>
  <c r="AB83" i="26"/>
  <c r="AC83" i="26"/>
  <c r="AB84" i="26"/>
  <c r="AC84" i="26"/>
  <c r="AB85" i="26"/>
  <c r="AC85" i="26"/>
  <c r="AB86" i="26"/>
  <c r="AC86" i="26"/>
  <c r="AB87" i="26"/>
  <c r="AC87" i="26"/>
  <c r="AB88" i="26"/>
  <c r="AC88" i="26"/>
  <c r="AB89" i="26"/>
  <c r="AC89" i="26"/>
  <c r="AB90" i="26"/>
  <c r="AC90" i="26"/>
  <c r="AB91" i="26"/>
  <c r="AC91" i="26"/>
  <c r="AB92" i="26"/>
  <c r="AC92" i="26"/>
  <c r="AB93" i="26"/>
  <c r="AC93" i="26"/>
  <c r="AB94" i="26"/>
  <c r="AC94" i="26"/>
  <c r="AB95" i="26"/>
  <c r="AC95" i="26"/>
  <c r="AB96" i="26"/>
  <c r="AC96" i="26"/>
  <c r="AB97" i="26"/>
  <c r="AC97" i="26"/>
  <c r="AB98" i="26"/>
  <c r="AC98" i="26"/>
  <c r="AB99" i="26"/>
  <c r="AC99" i="26"/>
  <c r="AB100" i="26"/>
  <c r="AC100" i="26"/>
  <c r="AB101" i="26"/>
  <c r="AC101" i="26"/>
  <c r="AB102" i="26"/>
  <c r="AC102" i="26"/>
  <c r="AB103" i="26"/>
  <c r="AC103" i="26"/>
  <c r="AB104" i="26"/>
  <c r="AC104" i="26"/>
  <c r="AB105" i="26"/>
  <c r="AC105" i="26"/>
  <c r="AB106" i="26"/>
  <c r="AC106" i="26"/>
  <c r="AB107" i="26"/>
  <c r="AC107" i="26"/>
  <c r="AB108" i="26"/>
  <c r="AC108" i="26"/>
  <c r="AB109" i="26"/>
  <c r="AC109" i="26"/>
  <c r="AB110" i="26"/>
  <c r="AC110" i="26"/>
  <c r="AB111" i="26"/>
  <c r="AC111" i="26"/>
  <c r="AB112" i="26"/>
  <c r="AC112" i="26"/>
  <c r="AB113" i="26"/>
  <c r="AC113" i="26"/>
  <c r="AB114" i="26"/>
  <c r="AC114" i="26"/>
  <c r="AB115" i="26"/>
  <c r="AC115" i="26"/>
  <c r="AB116" i="26"/>
  <c r="AC116" i="26"/>
  <c r="AB117" i="26"/>
  <c r="AC117" i="26"/>
  <c r="AB118" i="26"/>
  <c r="AC118" i="26"/>
  <c r="AB119" i="26"/>
  <c r="AC119" i="26"/>
  <c r="AB120" i="26"/>
  <c r="AC120" i="26"/>
  <c r="AB121" i="26"/>
  <c r="AC121" i="26"/>
  <c r="AB122" i="26"/>
  <c r="AC122" i="26"/>
  <c r="AB123" i="26"/>
  <c r="AC123" i="26"/>
  <c r="AB124" i="26"/>
  <c r="AC124" i="26"/>
  <c r="AB125" i="26"/>
  <c r="AC125" i="26"/>
  <c r="AB126" i="26"/>
  <c r="AC126" i="26"/>
  <c r="AB127" i="26"/>
  <c r="AC127" i="26"/>
  <c r="AB128" i="26"/>
  <c r="AC128" i="26"/>
  <c r="AB129" i="26"/>
  <c r="AC129" i="26"/>
  <c r="AB130" i="26"/>
  <c r="AC130" i="26"/>
  <c r="AB131" i="26"/>
  <c r="AC131" i="26"/>
  <c r="AB132" i="26"/>
  <c r="AC132" i="26"/>
  <c r="AB133" i="26"/>
  <c r="AC133" i="26"/>
  <c r="AB134" i="26"/>
  <c r="AC134" i="26"/>
  <c r="AB135" i="26"/>
  <c r="AC135" i="26"/>
  <c r="AB136" i="26"/>
  <c r="AC136" i="26"/>
  <c r="AB137" i="26"/>
  <c r="AC137" i="26"/>
  <c r="AB138" i="26"/>
  <c r="AC138" i="26"/>
  <c r="AB139" i="26"/>
  <c r="AC139" i="26"/>
  <c r="AB140" i="26"/>
  <c r="AC140" i="26"/>
  <c r="AB141" i="26"/>
  <c r="AC141" i="26"/>
  <c r="AB142" i="26"/>
  <c r="AC142" i="26"/>
  <c r="AB143" i="26"/>
  <c r="AC143" i="26"/>
  <c r="AB144" i="26"/>
  <c r="AC144" i="26"/>
  <c r="AB145" i="26"/>
  <c r="AC145" i="26"/>
  <c r="AB146" i="26"/>
  <c r="AC146" i="26"/>
  <c r="AB147" i="26"/>
  <c r="AC147" i="26"/>
  <c r="AB148" i="26"/>
  <c r="AC148" i="26"/>
  <c r="AB149" i="26"/>
  <c r="AC149" i="26"/>
  <c r="AB150" i="26"/>
  <c r="AC150" i="26"/>
  <c r="AB151" i="26"/>
  <c r="AC151" i="26"/>
  <c r="AB152" i="26"/>
  <c r="AC152" i="26"/>
  <c r="AB153" i="26"/>
  <c r="AC153" i="26"/>
  <c r="AB154" i="26"/>
  <c r="AC154" i="26"/>
  <c r="AB155" i="26"/>
  <c r="AC155" i="26"/>
  <c r="AD47" i="26"/>
  <c r="AD53" i="26"/>
  <c r="AD65" i="26"/>
  <c r="AD66" i="26"/>
  <c r="AD67" i="26"/>
  <c r="AD68" i="26"/>
  <c r="AD69" i="26"/>
  <c r="AD70" i="26"/>
  <c r="AD71" i="26"/>
  <c r="AD72" i="26"/>
  <c r="AD73" i="26"/>
  <c r="AD74" i="26"/>
  <c r="AD75" i="26"/>
  <c r="AD76" i="26"/>
  <c r="AD77" i="26"/>
  <c r="AD78" i="26"/>
  <c r="AD79" i="26"/>
  <c r="AD80" i="26"/>
  <c r="AD81" i="26"/>
  <c r="AD82" i="26"/>
  <c r="AD83" i="26"/>
  <c r="AD84" i="26"/>
  <c r="AD85" i="26"/>
  <c r="AD86" i="26"/>
  <c r="AD87" i="26"/>
  <c r="AD88" i="26"/>
  <c r="AD89" i="26"/>
  <c r="AD90" i="26"/>
  <c r="AD91" i="26"/>
  <c r="AD92" i="26"/>
  <c r="AD93" i="26"/>
  <c r="AD94" i="26"/>
  <c r="AD95" i="26"/>
  <c r="AD96" i="26"/>
  <c r="AD97" i="26"/>
  <c r="AD98" i="26"/>
  <c r="AD99" i="26"/>
  <c r="AD100" i="26"/>
  <c r="AD101" i="26"/>
  <c r="AD102" i="26"/>
  <c r="AD103" i="26"/>
  <c r="AD104" i="26"/>
  <c r="AD105" i="26"/>
  <c r="AD106" i="26"/>
  <c r="AD107" i="26"/>
  <c r="AD108" i="26"/>
  <c r="AD109" i="26"/>
  <c r="AD110" i="26"/>
  <c r="AD111" i="26"/>
  <c r="AD112" i="26"/>
  <c r="AD113" i="26"/>
  <c r="AD114" i="26"/>
  <c r="AD115" i="26"/>
  <c r="AD116" i="26"/>
  <c r="AD117" i="26"/>
  <c r="AD118" i="26"/>
  <c r="AD119" i="26"/>
  <c r="AD120" i="26"/>
  <c r="AD121" i="26"/>
  <c r="AD122" i="26"/>
  <c r="AD123" i="26"/>
  <c r="AD124" i="26"/>
  <c r="AD125" i="26"/>
  <c r="AD126" i="26"/>
  <c r="AD127" i="26"/>
  <c r="AD128" i="26"/>
  <c r="AD129" i="26"/>
  <c r="AD130" i="26"/>
  <c r="AD131" i="26"/>
  <c r="AD132" i="26"/>
  <c r="AD133" i="26"/>
  <c r="AD134" i="26"/>
  <c r="AD135" i="26"/>
  <c r="AD136" i="26"/>
  <c r="AD137" i="26"/>
  <c r="AD138" i="26"/>
  <c r="AD139" i="26"/>
  <c r="AD140" i="26"/>
  <c r="AD141" i="26"/>
  <c r="AD142" i="26"/>
  <c r="AD143" i="26"/>
  <c r="AD144" i="26"/>
  <c r="AD145" i="26"/>
  <c r="AD146" i="26"/>
  <c r="AD147" i="26"/>
  <c r="AD148" i="26"/>
  <c r="AD149" i="26"/>
  <c r="AD150" i="26"/>
  <c r="AD151" i="26"/>
  <c r="AD152" i="26"/>
  <c r="AD153" i="26"/>
  <c r="AD154" i="26"/>
  <c r="AD155" i="26"/>
  <c r="AE47" i="26"/>
  <c r="AE53" i="26"/>
  <c r="AE65" i="26"/>
  <c r="AE66" i="26"/>
  <c r="AE67" i="26"/>
  <c r="AE68" i="26"/>
  <c r="AE69" i="26"/>
  <c r="AE70" i="26"/>
  <c r="AE71" i="26"/>
  <c r="AE72" i="26"/>
  <c r="AE73" i="26"/>
  <c r="AE74" i="26"/>
  <c r="AE75" i="26"/>
  <c r="AE76" i="26"/>
  <c r="AE77" i="26"/>
  <c r="AE78" i="26"/>
  <c r="AE79" i="26"/>
  <c r="AE80" i="26"/>
  <c r="AE81" i="26"/>
  <c r="AE82" i="26"/>
  <c r="AE83" i="26"/>
  <c r="AE84" i="26"/>
  <c r="AE85" i="26"/>
  <c r="AE86" i="26"/>
  <c r="AE87" i="26"/>
  <c r="AE88" i="26"/>
  <c r="AE89" i="26"/>
  <c r="AE90" i="26"/>
  <c r="AE91" i="26"/>
  <c r="AE92" i="26"/>
  <c r="AE93" i="26"/>
  <c r="AE94" i="26"/>
  <c r="AE95" i="26"/>
  <c r="AE96" i="26"/>
  <c r="AE97" i="26"/>
  <c r="AE98" i="26"/>
  <c r="AE99" i="26"/>
  <c r="AE100" i="26"/>
  <c r="AE101" i="26"/>
  <c r="AE102" i="26"/>
  <c r="AE103" i="26"/>
  <c r="AE104" i="26"/>
  <c r="AE105" i="26"/>
  <c r="AE106" i="26"/>
  <c r="AE107" i="26"/>
  <c r="AE108" i="26"/>
  <c r="AE109" i="26"/>
  <c r="AE110" i="26"/>
  <c r="AE111" i="26"/>
  <c r="AE112" i="26"/>
  <c r="AE113" i="26"/>
  <c r="AE114" i="26"/>
  <c r="AE115" i="26"/>
  <c r="AE116" i="26"/>
  <c r="AE117" i="26"/>
  <c r="AE118" i="26"/>
  <c r="AE119" i="26"/>
  <c r="AE120" i="26"/>
  <c r="AE121" i="26"/>
  <c r="AE122" i="26"/>
  <c r="AE123" i="26"/>
  <c r="AE124" i="26"/>
  <c r="AE125" i="26"/>
  <c r="AE126" i="26"/>
  <c r="AE127" i="26"/>
  <c r="AE128" i="26"/>
  <c r="AE129" i="26"/>
  <c r="AE130" i="26"/>
  <c r="AE131" i="26"/>
  <c r="AE132" i="26"/>
  <c r="AE133" i="26"/>
  <c r="AE134" i="26"/>
  <c r="AE135" i="26"/>
  <c r="AE136" i="26"/>
  <c r="AE137" i="26"/>
  <c r="AE138" i="26"/>
  <c r="AE139" i="26"/>
  <c r="AE140" i="26"/>
  <c r="AE141" i="26"/>
  <c r="AE142" i="26"/>
  <c r="AE143" i="26"/>
  <c r="AE144" i="26"/>
  <c r="AE145" i="26"/>
  <c r="AE146" i="26"/>
  <c r="AE147" i="26"/>
  <c r="AE148" i="26"/>
  <c r="AE149" i="26"/>
  <c r="AE150" i="26"/>
  <c r="AE151" i="26"/>
  <c r="AE152" i="26"/>
  <c r="AE153" i="26"/>
  <c r="AE154" i="26"/>
  <c r="AE155" i="26"/>
  <c r="AI5" i="26"/>
  <c r="D123" i="20"/>
  <c r="F11" i="19"/>
  <c r="J6" i="20"/>
  <c r="K6" i="20" s="1"/>
  <c r="F11" i="13"/>
  <c r="N3" i="27"/>
  <c r="R4" i="27"/>
  <c r="B37" i="27"/>
  <c r="B38" i="27"/>
  <c r="B40" i="27"/>
  <c r="B41" i="27"/>
  <c r="B42" i="27"/>
  <c r="B44" i="27"/>
  <c r="B46" i="27"/>
  <c r="B48" i="27"/>
  <c r="B50" i="27"/>
  <c r="J50" i="27" s="1"/>
  <c r="B54" i="27"/>
  <c r="B55" i="27"/>
  <c r="B56" i="27"/>
  <c r="B66" i="27"/>
  <c r="B70" i="27"/>
  <c r="B86" i="27"/>
  <c r="B102" i="27"/>
  <c r="B103" i="27"/>
  <c r="B104" i="27"/>
  <c r="B105" i="27"/>
  <c r="B106" i="27"/>
  <c r="B107" i="27"/>
  <c r="B108" i="27"/>
  <c r="B109" i="27"/>
  <c r="B110" i="27"/>
  <c r="B111" i="27"/>
  <c r="B112" i="27"/>
  <c r="B113" i="27"/>
  <c r="B114" i="27"/>
  <c r="B115" i="27"/>
  <c r="D23" i="27"/>
  <c r="B21" i="27"/>
  <c r="E82" i="13"/>
  <c r="E23" i="27" s="1"/>
  <c r="F133" i="27"/>
  <c r="F82" i="13"/>
  <c r="F23" i="27" s="1"/>
  <c r="G23" i="27"/>
  <c r="D24" i="27"/>
  <c r="E83" i="13"/>
  <c r="E24" i="27" s="1"/>
  <c r="F83" i="13"/>
  <c r="F24" i="27" s="1"/>
  <c r="G24" i="27"/>
  <c r="D25" i="27"/>
  <c r="E84" i="13"/>
  <c r="E25" i="27" s="1"/>
  <c r="F84" i="13"/>
  <c r="F25" i="27" s="1"/>
  <c r="G25" i="27"/>
  <c r="D26" i="27"/>
  <c r="E85" i="13"/>
  <c r="E26" i="27" s="1"/>
  <c r="F85" i="13"/>
  <c r="F26" i="27" s="1"/>
  <c r="G26" i="27"/>
  <c r="D27" i="27"/>
  <c r="E86" i="13"/>
  <c r="E27" i="27" s="1"/>
  <c r="F86" i="13"/>
  <c r="F27" i="27" s="1"/>
  <c r="G27" i="27"/>
  <c r="D28" i="27"/>
  <c r="E87" i="13"/>
  <c r="E28" i="27" s="1"/>
  <c r="F87" i="13"/>
  <c r="F28" i="27" s="1"/>
  <c r="G28" i="27"/>
  <c r="D29" i="27"/>
  <c r="E88" i="13"/>
  <c r="E29" i="27" s="1"/>
  <c r="F88" i="13"/>
  <c r="F29" i="27" s="1"/>
  <c r="G29" i="27"/>
  <c r="D30" i="27"/>
  <c r="E89" i="13"/>
  <c r="E30" i="27" s="1"/>
  <c r="F89" i="13"/>
  <c r="F30" i="27" s="1"/>
  <c r="G30" i="27"/>
  <c r="D31" i="27"/>
  <c r="E90" i="13"/>
  <c r="E31" i="27" s="1"/>
  <c r="F90" i="13"/>
  <c r="F31" i="27" s="1"/>
  <c r="G31" i="27"/>
  <c r="D32" i="27"/>
  <c r="E91" i="13"/>
  <c r="E32" i="27" s="1"/>
  <c r="F91" i="13"/>
  <c r="F32" i="27" s="1"/>
  <c r="G32" i="27"/>
  <c r="D33" i="27"/>
  <c r="E92" i="13"/>
  <c r="E33" i="27" s="1"/>
  <c r="F92" i="13"/>
  <c r="F33" i="27" s="1"/>
  <c r="G33" i="27"/>
  <c r="D34" i="27"/>
  <c r="E93" i="13"/>
  <c r="E34" i="27" s="1"/>
  <c r="F93" i="13"/>
  <c r="F34" i="27" s="1"/>
  <c r="G34" i="27"/>
  <c r="D35" i="27"/>
  <c r="E95" i="13"/>
  <c r="E35" i="27" s="1"/>
  <c r="F95" i="13"/>
  <c r="F35" i="27" s="1"/>
  <c r="G35" i="27"/>
  <c r="C39" i="27"/>
  <c r="D39" i="27"/>
  <c r="E39" i="27"/>
  <c r="F183" i="27"/>
  <c r="G39" i="27"/>
  <c r="C40" i="27"/>
  <c r="D40" i="27"/>
  <c r="F40" i="27"/>
  <c r="G40" i="27"/>
  <c r="C41" i="27"/>
  <c r="D41" i="27"/>
  <c r="F41" i="27"/>
  <c r="G41" i="27"/>
  <c r="C42" i="27"/>
  <c r="D42" i="27"/>
  <c r="G42" i="27"/>
  <c r="C43" i="27"/>
  <c r="D43" i="27"/>
  <c r="G43" i="27"/>
  <c r="C44" i="27"/>
  <c r="D44" i="27"/>
  <c r="F44" i="27"/>
  <c r="G44" i="27"/>
  <c r="C45" i="27"/>
  <c r="D45" i="27"/>
  <c r="G45" i="27"/>
  <c r="C46" i="27"/>
  <c r="D46" i="27"/>
  <c r="E46" i="27"/>
  <c r="G46" i="27"/>
  <c r="C47" i="27"/>
  <c r="D47" i="27"/>
  <c r="G47" i="27"/>
  <c r="C48" i="27"/>
  <c r="D48" i="27"/>
  <c r="F48" i="27"/>
  <c r="G48" i="27"/>
  <c r="C49" i="27"/>
  <c r="D49" i="27"/>
  <c r="F49" i="27"/>
  <c r="G49" i="27"/>
  <c r="C50" i="27"/>
  <c r="D50" i="27"/>
  <c r="E50" i="27"/>
  <c r="G50" i="27"/>
  <c r="D51" i="27"/>
  <c r="E51" i="27"/>
  <c r="G51" i="27"/>
  <c r="C55" i="27"/>
  <c r="D55" i="27"/>
  <c r="E82" i="19"/>
  <c r="E55" i="27" s="1"/>
  <c r="F140" i="27"/>
  <c r="F82" i="19"/>
  <c r="F55" i="27" s="1"/>
  <c r="G55" i="27"/>
  <c r="C56" i="27"/>
  <c r="D56" i="27"/>
  <c r="E83" i="19"/>
  <c r="E56" i="27" s="1"/>
  <c r="F83" i="19"/>
  <c r="F56" i="27" s="1"/>
  <c r="G56" i="27"/>
  <c r="C57" i="27"/>
  <c r="D57" i="27"/>
  <c r="E84" i="19"/>
  <c r="E57" i="27" s="1"/>
  <c r="F84" i="19"/>
  <c r="F57" i="27" s="1"/>
  <c r="G57" i="27"/>
  <c r="C58" i="27"/>
  <c r="D58" i="27"/>
  <c r="E85" i="19"/>
  <c r="F85" i="19"/>
  <c r="F58" i="27" s="1"/>
  <c r="G58" i="27"/>
  <c r="C59" i="27"/>
  <c r="D59" i="27"/>
  <c r="E86" i="19"/>
  <c r="E59" i="27"/>
  <c r="F86" i="19"/>
  <c r="F59" i="27" s="1"/>
  <c r="G59" i="27"/>
  <c r="C60" i="27"/>
  <c r="D60" i="27"/>
  <c r="E87" i="19"/>
  <c r="E60" i="27" s="1"/>
  <c r="F87" i="19"/>
  <c r="F60" i="27"/>
  <c r="G60" i="27"/>
  <c r="C61" i="27"/>
  <c r="D61" i="27"/>
  <c r="E88" i="19"/>
  <c r="F88" i="19"/>
  <c r="F61" i="27" s="1"/>
  <c r="G61" i="27"/>
  <c r="C62" i="27"/>
  <c r="D62" i="27"/>
  <c r="E89" i="19"/>
  <c r="E62" i="27" s="1"/>
  <c r="F89" i="19"/>
  <c r="F62" i="27" s="1"/>
  <c r="G62" i="27"/>
  <c r="C63" i="27"/>
  <c r="D63" i="27"/>
  <c r="E90" i="19"/>
  <c r="E63" i="27" s="1"/>
  <c r="F90" i="19"/>
  <c r="F63" i="27" s="1"/>
  <c r="G63" i="27"/>
  <c r="C64" i="27"/>
  <c r="D64" i="27"/>
  <c r="E91" i="19"/>
  <c r="E64" i="27" s="1"/>
  <c r="F91" i="19"/>
  <c r="F64" i="27" s="1"/>
  <c r="G64" i="27"/>
  <c r="C65" i="27"/>
  <c r="D65" i="27"/>
  <c r="E65" i="27"/>
  <c r="F65" i="27"/>
  <c r="G65" i="27"/>
  <c r="C66" i="27"/>
  <c r="D66" i="27"/>
  <c r="E66" i="27"/>
  <c r="G66" i="27"/>
  <c r="D67" i="27"/>
  <c r="E94" i="19"/>
  <c r="F94" i="19"/>
  <c r="G67" i="27"/>
  <c r="C82" i="20"/>
  <c r="C71" i="27" s="1"/>
  <c r="D71" i="27"/>
  <c r="E82" i="20"/>
  <c r="E71" i="27" s="1"/>
  <c r="F151" i="27"/>
  <c r="F82" i="20"/>
  <c r="F71" i="27" s="1"/>
  <c r="G71" i="27"/>
  <c r="C83" i="20"/>
  <c r="C72" i="27" s="1"/>
  <c r="D72" i="27"/>
  <c r="E83" i="20"/>
  <c r="E72" i="27" s="1"/>
  <c r="F83" i="20"/>
  <c r="F72" i="27" s="1"/>
  <c r="G72" i="27"/>
  <c r="C84" i="20"/>
  <c r="C73" i="27" s="1"/>
  <c r="D73" i="27"/>
  <c r="E84" i="20"/>
  <c r="E73" i="27" s="1"/>
  <c r="F84" i="20"/>
  <c r="F73" i="27" s="1"/>
  <c r="G73" i="27"/>
  <c r="C85" i="20"/>
  <c r="C74" i="27" s="1"/>
  <c r="D74" i="27"/>
  <c r="E85" i="20"/>
  <c r="E74" i="27" s="1"/>
  <c r="F85" i="20"/>
  <c r="F74" i="27" s="1"/>
  <c r="G74" i="27"/>
  <c r="C86" i="20"/>
  <c r="C75" i="27" s="1"/>
  <c r="D75" i="27"/>
  <c r="E86" i="20"/>
  <c r="E75" i="27" s="1"/>
  <c r="F86" i="20"/>
  <c r="F75" i="27" s="1"/>
  <c r="G75" i="27"/>
  <c r="C87" i="20"/>
  <c r="C76" i="27" s="1"/>
  <c r="D76" i="27"/>
  <c r="E87" i="20"/>
  <c r="E76" i="27" s="1"/>
  <c r="F87" i="20"/>
  <c r="F76" i="27" s="1"/>
  <c r="G76" i="27"/>
  <c r="C88" i="20"/>
  <c r="C77" i="27" s="1"/>
  <c r="D77" i="27"/>
  <c r="E88" i="20"/>
  <c r="E77" i="27" s="1"/>
  <c r="F88" i="20"/>
  <c r="F77" i="27" s="1"/>
  <c r="G77" i="27"/>
  <c r="C89" i="20"/>
  <c r="C78" i="27" s="1"/>
  <c r="D78" i="27"/>
  <c r="E89" i="20"/>
  <c r="E78" i="27" s="1"/>
  <c r="F89" i="20"/>
  <c r="F78" i="27" s="1"/>
  <c r="G78" i="27"/>
  <c r="C90" i="20"/>
  <c r="C79" i="27" s="1"/>
  <c r="D79" i="27"/>
  <c r="E90" i="20"/>
  <c r="E79" i="27" s="1"/>
  <c r="F90" i="20"/>
  <c r="F79" i="27" s="1"/>
  <c r="G79" i="27"/>
  <c r="C91" i="20"/>
  <c r="C80" i="27" s="1"/>
  <c r="D80" i="27"/>
  <c r="E91" i="20"/>
  <c r="E80" i="27" s="1"/>
  <c r="F91" i="20"/>
  <c r="F80" i="27" s="1"/>
  <c r="G80" i="27"/>
  <c r="C92" i="20"/>
  <c r="C81" i="27" s="1"/>
  <c r="D81" i="27"/>
  <c r="E92" i="20"/>
  <c r="E81" i="27" s="1"/>
  <c r="F92" i="20"/>
  <c r="F81" i="27" s="1"/>
  <c r="G81" i="27"/>
  <c r="C93" i="20"/>
  <c r="C82" i="27" s="1"/>
  <c r="D82" i="27"/>
  <c r="E93" i="20"/>
  <c r="E82" i="27" s="1"/>
  <c r="F93" i="20"/>
  <c r="F82" i="27" s="1"/>
  <c r="G82" i="27"/>
  <c r="D83" i="27"/>
  <c r="E94" i="20"/>
  <c r="E83" i="27" s="1"/>
  <c r="F94" i="20"/>
  <c r="F83" i="27" s="1"/>
  <c r="G83" i="27"/>
  <c r="C87" i="27"/>
  <c r="D87" i="27"/>
  <c r="E87" i="27"/>
  <c r="F87" i="27"/>
  <c r="G87" i="27"/>
  <c r="C88" i="27"/>
  <c r="D88" i="27"/>
  <c r="AD26" i="26"/>
  <c r="F88" i="27"/>
  <c r="G88" i="27"/>
  <c r="C89" i="27"/>
  <c r="D89" i="27"/>
  <c r="AD29" i="26"/>
  <c r="E89" i="27"/>
  <c r="F89" i="27"/>
  <c r="G89" i="27"/>
  <c r="C90" i="27"/>
  <c r="D90" i="27"/>
  <c r="E90" i="27"/>
  <c r="F90" i="27"/>
  <c r="G90" i="27"/>
  <c r="C91" i="27"/>
  <c r="D91" i="27"/>
  <c r="AD41" i="26"/>
  <c r="AE41" i="26"/>
  <c r="F91" i="27"/>
  <c r="G91" i="27"/>
  <c r="C92" i="27"/>
  <c r="D92" i="27"/>
  <c r="E92" i="27"/>
  <c r="F92" i="27"/>
  <c r="G92" i="27"/>
  <c r="C93" i="27"/>
  <c r="D93" i="27"/>
  <c r="E93" i="27"/>
  <c r="F93" i="27"/>
  <c r="G93" i="27"/>
  <c r="C94" i="27"/>
  <c r="D94" i="27"/>
  <c r="E94" i="27"/>
  <c r="F94" i="27"/>
  <c r="G94" i="27"/>
  <c r="C95" i="27"/>
  <c r="D95" i="27"/>
  <c r="E95" i="27"/>
  <c r="F95" i="27"/>
  <c r="G95" i="27"/>
  <c r="C96" i="27"/>
  <c r="D96" i="27"/>
  <c r="E96" i="27"/>
  <c r="F96" i="27"/>
  <c r="G96" i="27"/>
  <c r="C97" i="27"/>
  <c r="D97" i="27"/>
  <c r="E97" i="27"/>
  <c r="F97" i="27"/>
  <c r="G97" i="27"/>
  <c r="C98" i="27"/>
  <c r="D98" i="27"/>
  <c r="E98" i="27"/>
  <c r="F98" i="27"/>
  <c r="G98" i="27"/>
  <c r="D99" i="27"/>
  <c r="E99" i="27"/>
  <c r="F99" i="27"/>
  <c r="G99" i="27"/>
  <c r="C103" i="27"/>
  <c r="D103" i="27"/>
  <c r="E103" i="27"/>
  <c r="F160" i="27"/>
  <c r="F103" i="27"/>
  <c r="G103" i="27"/>
  <c r="C104" i="27"/>
  <c r="D104" i="27"/>
  <c r="E104" i="27"/>
  <c r="F104" i="27"/>
  <c r="G104" i="27"/>
  <c r="C105" i="27"/>
  <c r="D105" i="27"/>
  <c r="E105" i="27"/>
  <c r="F105" i="27"/>
  <c r="G105" i="27"/>
  <c r="C106" i="27"/>
  <c r="D106" i="27"/>
  <c r="E106" i="27"/>
  <c r="F106" i="27"/>
  <c r="G106" i="27"/>
  <c r="C107" i="27"/>
  <c r="D107" i="27"/>
  <c r="E107" i="27"/>
  <c r="F107" i="27"/>
  <c r="G107" i="27"/>
  <c r="C108" i="27"/>
  <c r="D108" i="27"/>
  <c r="E108" i="27"/>
  <c r="F108" i="27"/>
  <c r="G108" i="27"/>
  <c r="C109" i="27"/>
  <c r="D109" i="27"/>
  <c r="E109" i="27"/>
  <c r="F109" i="27"/>
  <c r="G109" i="27"/>
  <c r="C110" i="27"/>
  <c r="D110" i="27"/>
  <c r="E110" i="27"/>
  <c r="F110" i="27"/>
  <c r="G110" i="27"/>
  <c r="C111" i="27"/>
  <c r="D111" i="27"/>
  <c r="E111" i="27"/>
  <c r="F111" i="27"/>
  <c r="G111" i="27"/>
  <c r="C112" i="27"/>
  <c r="D112" i="27"/>
  <c r="E112" i="27"/>
  <c r="F112" i="27"/>
  <c r="G112" i="27"/>
  <c r="C113" i="27"/>
  <c r="D113" i="27"/>
  <c r="E113" i="27"/>
  <c r="F113" i="27"/>
  <c r="G113" i="27"/>
  <c r="C114" i="27"/>
  <c r="D114" i="27"/>
  <c r="E114" i="27"/>
  <c r="F114" i="27"/>
  <c r="G114" i="27"/>
  <c r="C115" i="27"/>
  <c r="D115" i="27"/>
  <c r="E115" i="27"/>
  <c r="F115" i="27"/>
  <c r="G115" i="27"/>
  <c r="K24" i="24"/>
  <c r="K25" i="24" s="1"/>
  <c r="L24" i="24"/>
  <c r="L25" i="24" s="1"/>
  <c r="M24" i="24"/>
  <c r="M25" i="24" s="1"/>
  <c r="N24" i="24"/>
  <c r="N25" i="24" s="1"/>
  <c r="O24" i="24"/>
  <c r="O25" i="24" s="1"/>
  <c r="P24" i="24"/>
  <c r="P25" i="24" s="1"/>
  <c r="Q24" i="24"/>
  <c r="Q25" i="24" s="1"/>
  <c r="R11" i="27"/>
  <c r="U11" i="27" s="1"/>
  <c r="X11" i="27" s="1"/>
  <c r="AA11" i="27" s="1"/>
  <c r="AD11" i="27" s="1"/>
  <c r="R13" i="27"/>
  <c r="U13" i="27" s="1"/>
  <c r="X13" i="27" s="1"/>
  <c r="AA13" i="27" s="1"/>
  <c r="AD13" i="27" s="1"/>
  <c r="G108" i="26"/>
  <c r="G108" i="19"/>
  <c r="G108" i="13"/>
  <c r="G22" i="27"/>
  <c r="F22" i="27"/>
  <c r="E22" i="27"/>
  <c r="D22" i="27"/>
  <c r="C37" i="27"/>
  <c r="C38" i="27"/>
  <c r="C53" i="27"/>
  <c r="C54" i="27"/>
  <c r="C69" i="27"/>
  <c r="C70" i="27"/>
  <c r="C85" i="27"/>
  <c r="C86" i="27"/>
  <c r="C101" i="27"/>
  <c r="C102" i="27"/>
  <c r="AC3" i="27"/>
  <c r="Z3" i="27"/>
  <c r="W3" i="27"/>
  <c r="T3" i="27"/>
  <c r="Q3" i="27"/>
  <c r="F120" i="27"/>
  <c r="F121" i="27"/>
  <c r="F122" i="27"/>
  <c r="F123" i="27"/>
  <c r="F124" i="27"/>
  <c r="F125" i="27"/>
  <c r="F126" i="27"/>
  <c r="F127" i="27"/>
  <c r="F128" i="27"/>
  <c r="F129" i="27"/>
  <c r="F130" i="27"/>
  <c r="F131" i="27"/>
  <c r="F132" i="27"/>
  <c r="F134" i="27"/>
  <c r="F135" i="27"/>
  <c r="F136" i="27"/>
  <c r="F137" i="27"/>
  <c r="F138" i="27"/>
  <c r="F139" i="27"/>
  <c r="F141" i="27"/>
  <c r="F142" i="27"/>
  <c r="F143" i="27"/>
  <c r="F144" i="27"/>
  <c r="F145" i="27"/>
  <c r="F146" i="27"/>
  <c r="F147" i="27"/>
  <c r="F148" i="27"/>
  <c r="F149" i="27"/>
  <c r="F150" i="27"/>
  <c r="F152" i="27"/>
  <c r="F153" i="27"/>
  <c r="F154" i="27"/>
  <c r="F155" i="27"/>
  <c r="F156" i="27"/>
  <c r="F157" i="27"/>
  <c r="F158" i="27"/>
  <c r="F159" i="27"/>
  <c r="F161" i="27"/>
  <c r="F162" i="27"/>
  <c r="F163" i="27"/>
  <c r="F164" i="27"/>
  <c r="F165" i="27"/>
  <c r="F166" i="27"/>
  <c r="F167" i="27"/>
  <c r="F168" i="27"/>
  <c r="F169" i="27"/>
  <c r="F170" i="27"/>
  <c r="F171" i="27"/>
  <c r="F172" i="27"/>
  <c r="F173" i="27"/>
  <c r="F174" i="27"/>
  <c r="F175" i="27"/>
  <c r="F176" i="27"/>
  <c r="F177" i="27"/>
  <c r="F178" i="27"/>
  <c r="F179" i="27"/>
  <c r="F180" i="27"/>
  <c r="F181" i="27"/>
  <c r="F182" i="27"/>
  <c r="F119" i="27"/>
  <c r="Q6" i="26"/>
  <c r="R6" i="26" s="1"/>
  <c r="S6" i="26" s="1"/>
  <c r="U6" i="26"/>
  <c r="V6" i="26"/>
  <c r="Q7" i="26"/>
  <c r="U7" i="26"/>
  <c r="V7" i="26"/>
  <c r="Q8" i="26"/>
  <c r="U8" i="26"/>
  <c r="V8" i="26"/>
  <c r="Q9" i="26"/>
  <c r="U9" i="26"/>
  <c r="V9" i="26"/>
  <c r="Q10" i="26"/>
  <c r="U10" i="26"/>
  <c r="V10" i="26"/>
  <c r="Q11" i="26"/>
  <c r="U11" i="26"/>
  <c r="V11" i="26"/>
  <c r="Q12" i="26"/>
  <c r="U12" i="26"/>
  <c r="V12" i="26"/>
  <c r="Q13" i="26"/>
  <c r="U13" i="26"/>
  <c r="V13" i="26"/>
  <c r="Q14" i="26"/>
  <c r="U14" i="26"/>
  <c r="V14" i="26"/>
  <c r="Q15" i="26"/>
  <c r="U15" i="26"/>
  <c r="V15" i="26"/>
  <c r="Q16" i="26"/>
  <c r="U16" i="26"/>
  <c r="V16" i="26"/>
  <c r="Q17" i="26"/>
  <c r="U17" i="26"/>
  <c r="V17" i="26"/>
  <c r="Q18" i="26"/>
  <c r="U18" i="26"/>
  <c r="V18" i="26"/>
  <c r="Q19" i="26"/>
  <c r="U19" i="26"/>
  <c r="V19" i="26"/>
  <c r="Q20" i="26"/>
  <c r="U20" i="26"/>
  <c r="V20" i="26"/>
  <c r="Q21" i="26"/>
  <c r="U21" i="26"/>
  <c r="V21" i="26"/>
  <c r="Q22" i="26"/>
  <c r="U22" i="26"/>
  <c r="V22" i="26"/>
  <c r="Q23" i="26"/>
  <c r="U23" i="26"/>
  <c r="V23" i="26"/>
  <c r="Q24" i="26"/>
  <c r="U24" i="26"/>
  <c r="V24" i="26"/>
  <c r="Q25" i="26"/>
  <c r="U25" i="26"/>
  <c r="V25" i="26"/>
  <c r="Q26" i="26"/>
  <c r="U26" i="26"/>
  <c r="V26" i="26"/>
  <c r="Q27" i="26"/>
  <c r="U27" i="26"/>
  <c r="V27" i="26"/>
  <c r="Q28" i="26"/>
  <c r="U28" i="26"/>
  <c r="V28" i="26"/>
  <c r="Q29" i="26"/>
  <c r="U29" i="26"/>
  <c r="V29" i="26"/>
  <c r="Q30" i="26"/>
  <c r="U30" i="26"/>
  <c r="V30" i="26"/>
  <c r="Q31" i="26"/>
  <c r="U31" i="26"/>
  <c r="V31" i="26"/>
  <c r="Q32" i="26"/>
  <c r="U32" i="26"/>
  <c r="V32" i="26"/>
  <c r="Q33" i="26"/>
  <c r="U33" i="26"/>
  <c r="V33" i="26"/>
  <c r="Q34" i="26"/>
  <c r="U34" i="26"/>
  <c r="V34" i="26"/>
  <c r="Q35" i="26"/>
  <c r="U35" i="26"/>
  <c r="V35" i="26"/>
  <c r="Q36" i="26"/>
  <c r="U36" i="26"/>
  <c r="V36" i="26"/>
  <c r="Q37" i="26"/>
  <c r="U37" i="26"/>
  <c r="V37" i="26"/>
  <c r="Q38" i="26"/>
  <c r="U38" i="26"/>
  <c r="V38" i="26"/>
  <c r="Q39" i="26"/>
  <c r="U39" i="26"/>
  <c r="V39" i="26"/>
  <c r="Q40" i="26"/>
  <c r="U40" i="26"/>
  <c r="V40" i="26"/>
  <c r="Q41" i="26"/>
  <c r="U41" i="26"/>
  <c r="V41" i="26"/>
  <c r="Q42" i="26"/>
  <c r="U42" i="26"/>
  <c r="V42" i="26"/>
  <c r="Q43" i="26"/>
  <c r="U43" i="26"/>
  <c r="V43" i="26"/>
  <c r="Q44" i="26"/>
  <c r="U44" i="26"/>
  <c r="V44" i="26"/>
  <c r="Q45" i="26"/>
  <c r="U45" i="26"/>
  <c r="V45" i="26"/>
  <c r="Q46" i="26"/>
  <c r="U46" i="26"/>
  <c r="V46" i="26"/>
  <c r="Q47" i="26"/>
  <c r="U47" i="26"/>
  <c r="V47" i="26"/>
  <c r="Q48" i="26"/>
  <c r="U48" i="26"/>
  <c r="V48" i="26"/>
  <c r="Q49" i="26"/>
  <c r="U49" i="26"/>
  <c r="V49" i="26"/>
  <c r="Q50" i="26"/>
  <c r="U50" i="26"/>
  <c r="V50" i="26"/>
  <c r="Q51" i="26"/>
  <c r="U51" i="26"/>
  <c r="V51" i="26"/>
  <c r="Q52" i="26"/>
  <c r="U52" i="26"/>
  <c r="V52" i="26"/>
  <c r="Q53" i="26"/>
  <c r="U53" i="26"/>
  <c r="V53" i="26"/>
  <c r="Q54" i="26"/>
  <c r="U54" i="26"/>
  <c r="V54" i="26"/>
  <c r="Q55" i="26"/>
  <c r="U55" i="26"/>
  <c r="V55" i="26"/>
  <c r="Q56" i="26"/>
  <c r="U56" i="26"/>
  <c r="V56" i="26"/>
  <c r="Q57" i="26"/>
  <c r="U57" i="26"/>
  <c r="V57" i="26"/>
  <c r="Q58" i="26"/>
  <c r="U58" i="26"/>
  <c r="V58" i="26"/>
  <c r="Q59" i="26"/>
  <c r="U59" i="26"/>
  <c r="V59" i="26"/>
  <c r="Q60" i="26"/>
  <c r="U60" i="26"/>
  <c r="V60" i="26"/>
  <c r="Q61" i="26"/>
  <c r="U61" i="26"/>
  <c r="V61" i="26"/>
  <c r="Q62" i="26"/>
  <c r="U62" i="26"/>
  <c r="V62" i="26"/>
  <c r="Q63" i="26"/>
  <c r="U63" i="26"/>
  <c r="V63" i="26"/>
  <c r="Q64" i="26"/>
  <c r="U64" i="26"/>
  <c r="V64" i="26"/>
  <c r="Q65" i="26"/>
  <c r="U65" i="26"/>
  <c r="V65" i="26"/>
  <c r="Q66" i="26"/>
  <c r="U66" i="26"/>
  <c r="V66" i="26"/>
  <c r="Q67" i="26"/>
  <c r="U67" i="26"/>
  <c r="V67" i="26"/>
  <c r="Q68" i="26"/>
  <c r="U68" i="26"/>
  <c r="V68" i="26"/>
  <c r="Q69" i="26"/>
  <c r="U69" i="26"/>
  <c r="V69" i="26"/>
  <c r="Q70" i="26"/>
  <c r="U70" i="26"/>
  <c r="V70" i="26"/>
  <c r="Q71" i="26"/>
  <c r="U71" i="26"/>
  <c r="V71" i="26"/>
  <c r="Q72" i="26"/>
  <c r="U72" i="26"/>
  <c r="V72" i="26"/>
  <c r="Q73" i="26"/>
  <c r="U73" i="26"/>
  <c r="V73" i="26"/>
  <c r="Q74" i="26"/>
  <c r="U74" i="26"/>
  <c r="V74" i="26"/>
  <c r="Q75" i="26"/>
  <c r="U75" i="26"/>
  <c r="V75" i="26"/>
  <c r="Q76" i="26"/>
  <c r="U76" i="26"/>
  <c r="V76" i="26"/>
  <c r="Q77" i="26"/>
  <c r="U77" i="26"/>
  <c r="V77" i="26"/>
  <c r="Q78" i="26"/>
  <c r="U78" i="26"/>
  <c r="V78" i="26"/>
  <c r="Q79" i="26"/>
  <c r="U79" i="26"/>
  <c r="V79" i="26"/>
  <c r="Q80" i="26"/>
  <c r="U80" i="26"/>
  <c r="V80" i="26"/>
  <c r="Q81" i="26"/>
  <c r="U81" i="26"/>
  <c r="V81" i="26"/>
  <c r="Q82" i="26"/>
  <c r="U82" i="26"/>
  <c r="V82" i="26"/>
  <c r="Q83" i="26"/>
  <c r="U83" i="26"/>
  <c r="V83" i="26"/>
  <c r="Q84" i="26"/>
  <c r="U84" i="26"/>
  <c r="V84" i="26"/>
  <c r="Q85" i="26"/>
  <c r="U85" i="26"/>
  <c r="V85" i="26"/>
  <c r="Q86" i="26"/>
  <c r="U86" i="26"/>
  <c r="V86" i="26"/>
  <c r="Q87" i="26"/>
  <c r="U87" i="26"/>
  <c r="V87" i="26"/>
  <c r="Q88" i="26"/>
  <c r="U88" i="26"/>
  <c r="V88" i="26"/>
  <c r="Q89" i="26"/>
  <c r="U89" i="26"/>
  <c r="V89" i="26"/>
  <c r="Q90" i="26"/>
  <c r="U90" i="26"/>
  <c r="V90" i="26"/>
  <c r="Q91" i="26"/>
  <c r="U91" i="26"/>
  <c r="V91" i="26"/>
  <c r="Q92" i="26"/>
  <c r="U92" i="26"/>
  <c r="V92" i="26"/>
  <c r="Q93" i="26"/>
  <c r="U93" i="26"/>
  <c r="V93" i="26"/>
  <c r="Q94" i="26"/>
  <c r="U94" i="26"/>
  <c r="V94" i="26"/>
  <c r="Q95" i="26"/>
  <c r="U95" i="26"/>
  <c r="V95" i="26"/>
  <c r="Q96" i="26"/>
  <c r="U96" i="26"/>
  <c r="V96" i="26"/>
  <c r="Q97" i="26"/>
  <c r="U97" i="26"/>
  <c r="V97" i="26"/>
  <c r="Q98" i="26"/>
  <c r="U98" i="26"/>
  <c r="V98" i="26"/>
  <c r="Q99" i="26"/>
  <c r="U99" i="26"/>
  <c r="V99" i="26"/>
  <c r="Q100" i="26"/>
  <c r="U100" i="26"/>
  <c r="V100" i="26"/>
  <c r="Q101" i="26"/>
  <c r="U101" i="26"/>
  <c r="V101" i="26"/>
  <c r="Q102" i="26"/>
  <c r="U102" i="26"/>
  <c r="V102" i="26"/>
  <c r="Q103" i="26"/>
  <c r="U103" i="26"/>
  <c r="V103" i="26"/>
  <c r="Q104" i="26"/>
  <c r="U104" i="26"/>
  <c r="V104" i="26"/>
  <c r="Q105" i="26"/>
  <c r="U105" i="26"/>
  <c r="V105" i="26"/>
  <c r="Q106" i="26"/>
  <c r="U106" i="26"/>
  <c r="V106" i="26"/>
  <c r="Q107" i="26"/>
  <c r="U107" i="26"/>
  <c r="V107" i="26"/>
  <c r="Q108" i="26"/>
  <c r="U108" i="26"/>
  <c r="V108" i="26"/>
  <c r="Q109" i="26"/>
  <c r="U109" i="26"/>
  <c r="V109" i="26"/>
  <c r="Q110" i="26"/>
  <c r="U110" i="26"/>
  <c r="V110" i="26"/>
  <c r="Q111" i="26"/>
  <c r="U111" i="26"/>
  <c r="V111" i="26"/>
  <c r="Q112" i="26"/>
  <c r="U112" i="26"/>
  <c r="V112" i="26"/>
  <c r="Q113" i="26"/>
  <c r="U113" i="26"/>
  <c r="V113" i="26"/>
  <c r="Q114" i="26"/>
  <c r="U114" i="26"/>
  <c r="V114" i="26"/>
  <c r="Q115" i="26"/>
  <c r="U115" i="26"/>
  <c r="V115" i="26"/>
  <c r="Q116" i="26"/>
  <c r="U116" i="26"/>
  <c r="V116" i="26"/>
  <c r="Q117" i="26"/>
  <c r="U117" i="26"/>
  <c r="V117" i="26"/>
  <c r="Q118" i="26"/>
  <c r="U118" i="26"/>
  <c r="V118" i="26"/>
  <c r="Q119" i="26"/>
  <c r="U119" i="26"/>
  <c r="V119" i="26"/>
  <c r="Q120" i="26"/>
  <c r="U120" i="26"/>
  <c r="V120" i="26"/>
  <c r="Q121" i="26"/>
  <c r="U121" i="26"/>
  <c r="V121" i="26"/>
  <c r="Q122" i="26"/>
  <c r="U122" i="26"/>
  <c r="V122" i="26"/>
  <c r="Q123" i="26"/>
  <c r="U123" i="26"/>
  <c r="V123" i="26"/>
  <c r="Q124" i="26"/>
  <c r="U124" i="26"/>
  <c r="V124" i="26"/>
  <c r="Q125" i="26"/>
  <c r="U125" i="26"/>
  <c r="V125" i="26"/>
  <c r="Q126" i="26"/>
  <c r="U126" i="26"/>
  <c r="V126" i="26"/>
  <c r="Q127" i="26"/>
  <c r="U127" i="26"/>
  <c r="V127" i="26"/>
  <c r="Q128" i="26"/>
  <c r="U128" i="26"/>
  <c r="V128" i="26"/>
  <c r="Q129" i="26"/>
  <c r="U129" i="26"/>
  <c r="V129" i="26"/>
  <c r="Q130" i="26"/>
  <c r="U130" i="26"/>
  <c r="V130" i="26"/>
  <c r="Q131" i="26"/>
  <c r="U131" i="26"/>
  <c r="V131" i="26"/>
  <c r="Q132" i="26"/>
  <c r="U132" i="26"/>
  <c r="V132" i="26"/>
  <c r="Q133" i="26"/>
  <c r="U133" i="26"/>
  <c r="V133" i="26"/>
  <c r="Q134" i="26"/>
  <c r="U134" i="26"/>
  <c r="V134" i="26"/>
  <c r="Q135" i="26"/>
  <c r="U135" i="26"/>
  <c r="V135" i="26"/>
  <c r="Q136" i="26"/>
  <c r="U136" i="26"/>
  <c r="V136" i="26"/>
  <c r="Q137" i="26"/>
  <c r="U137" i="26"/>
  <c r="V137" i="26"/>
  <c r="Q138" i="26"/>
  <c r="U138" i="26"/>
  <c r="V138" i="26"/>
  <c r="Q139" i="26"/>
  <c r="U139" i="26"/>
  <c r="V139" i="26"/>
  <c r="Q140" i="26"/>
  <c r="U140" i="26"/>
  <c r="V140" i="26"/>
  <c r="Q141" i="26"/>
  <c r="U141" i="26"/>
  <c r="V141" i="26"/>
  <c r="Q142" i="26"/>
  <c r="U142" i="26"/>
  <c r="V142" i="26"/>
  <c r="Q143" i="26"/>
  <c r="U143" i="26"/>
  <c r="V143" i="26"/>
  <c r="Q144" i="26"/>
  <c r="U144" i="26"/>
  <c r="V144" i="26"/>
  <c r="Q145" i="26"/>
  <c r="U145" i="26"/>
  <c r="V145" i="26"/>
  <c r="Q146" i="26"/>
  <c r="U146" i="26"/>
  <c r="V146" i="26"/>
  <c r="Q147" i="26"/>
  <c r="U147" i="26"/>
  <c r="V147" i="26"/>
  <c r="Q148" i="26"/>
  <c r="U148" i="26"/>
  <c r="V148" i="26"/>
  <c r="Q149" i="26"/>
  <c r="U149" i="26"/>
  <c r="V149" i="26"/>
  <c r="Q150" i="26"/>
  <c r="U150" i="26"/>
  <c r="V150" i="26"/>
  <c r="Q151" i="26"/>
  <c r="U151" i="26"/>
  <c r="V151" i="26"/>
  <c r="Q152" i="26"/>
  <c r="U152" i="26"/>
  <c r="V152" i="26"/>
  <c r="Q153" i="26"/>
  <c r="U153" i="26"/>
  <c r="V153" i="26"/>
  <c r="Q154" i="26"/>
  <c r="U154" i="26"/>
  <c r="V154" i="26"/>
  <c r="Q155" i="26"/>
  <c r="U155" i="26"/>
  <c r="V155" i="26"/>
  <c r="R156" i="26"/>
  <c r="S156" i="26" s="1"/>
  <c r="U156" i="26"/>
  <c r="V156" i="26"/>
  <c r="R157" i="26"/>
  <c r="S157" i="26" s="1"/>
  <c r="U157" i="26"/>
  <c r="V157" i="26"/>
  <c r="R158" i="26"/>
  <c r="S158" i="26" s="1"/>
  <c r="U158" i="26"/>
  <c r="V158" i="26"/>
  <c r="R159" i="26"/>
  <c r="S159" i="26" s="1"/>
  <c r="U159" i="26"/>
  <c r="V159" i="26"/>
  <c r="R160" i="26"/>
  <c r="S160" i="26" s="1"/>
  <c r="U160" i="26"/>
  <c r="V160" i="26"/>
  <c r="R161" i="26"/>
  <c r="S161" i="26" s="1"/>
  <c r="U161" i="26"/>
  <c r="V161" i="26"/>
  <c r="R162" i="26"/>
  <c r="S162" i="26" s="1"/>
  <c r="U162" i="26"/>
  <c r="V162" i="26"/>
  <c r="R163" i="26"/>
  <c r="S163" i="26" s="1"/>
  <c r="T163" i="26" s="1"/>
  <c r="U163" i="26"/>
  <c r="V163" i="26"/>
  <c r="R164" i="26"/>
  <c r="S164" i="26" s="1"/>
  <c r="T164" i="26" s="1"/>
  <c r="U164" i="26"/>
  <c r="V164" i="26"/>
  <c r="R165" i="26"/>
  <c r="S165" i="26" s="1"/>
  <c r="U165" i="26"/>
  <c r="V165" i="26"/>
  <c r="R166" i="26"/>
  <c r="S166" i="26" s="1"/>
  <c r="T166" i="26" s="1"/>
  <c r="U166" i="26"/>
  <c r="V166" i="26"/>
  <c r="R167" i="26"/>
  <c r="S167" i="26" s="1"/>
  <c r="U167" i="26"/>
  <c r="V167" i="26"/>
  <c r="R168" i="26"/>
  <c r="S168" i="26" s="1"/>
  <c r="U168" i="26"/>
  <c r="V168" i="26"/>
  <c r="R169" i="26"/>
  <c r="S169" i="26" s="1"/>
  <c r="T169" i="26" s="1"/>
  <c r="U169" i="26"/>
  <c r="V169" i="26"/>
  <c r="R170" i="26"/>
  <c r="S170" i="26" s="1"/>
  <c r="U170" i="26"/>
  <c r="V170" i="26"/>
  <c r="R171" i="26"/>
  <c r="S171" i="26" s="1"/>
  <c r="T171" i="26" s="1"/>
  <c r="U171" i="26"/>
  <c r="V171" i="26"/>
  <c r="R172" i="26"/>
  <c r="S172" i="26" s="1"/>
  <c r="U172" i="26"/>
  <c r="V172" i="26"/>
  <c r="R173" i="26"/>
  <c r="S173" i="26" s="1"/>
  <c r="U173" i="26"/>
  <c r="V173" i="26"/>
  <c r="R174" i="26"/>
  <c r="S174" i="26" s="1"/>
  <c r="U174" i="26"/>
  <c r="V174" i="26"/>
  <c r="R175" i="26"/>
  <c r="S175" i="26" s="1"/>
  <c r="U175" i="26"/>
  <c r="V175" i="26"/>
  <c r="R176" i="26"/>
  <c r="S176" i="26" s="1"/>
  <c r="U176" i="26"/>
  <c r="V176" i="26"/>
  <c r="R177" i="26"/>
  <c r="S177" i="26" s="1"/>
  <c r="U177" i="26"/>
  <c r="V177" i="26"/>
  <c r="R178" i="26"/>
  <c r="S178" i="26" s="1"/>
  <c r="U178" i="26"/>
  <c r="V178" i="26"/>
  <c r="R179" i="26"/>
  <c r="S179" i="26" s="1"/>
  <c r="T179" i="26" s="1"/>
  <c r="U179" i="26"/>
  <c r="V179" i="26"/>
  <c r="R180" i="26"/>
  <c r="S180" i="26" s="1"/>
  <c r="U180" i="26"/>
  <c r="V180" i="26"/>
  <c r="R181" i="26"/>
  <c r="S181" i="26" s="1"/>
  <c r="T181" i="26" s="1"/>
  <c r="U181" i="26"/>
  <c r="V181" i="26"/>
  <c r="R182" i="26"/>
  <c r="S182" i="26" s="1"/>
  <c r="T182" i="26" s="1"/>
  <c r="U182" i="26"/>
  <c r="V182" i="26"/>
  <c r="R183" i="26"/>
  <c r="S183" i="26" s="1"/>
  <c r="T183" i="26" s="1"/>
  <c r="U183" i="26"/>
  <c r="V183" i="26"/>
  <c r="R184" i="26"/>
  <c r="S184" i="26" s="1"/>
  <c r="U184" i="26"/>
  <c r="V184" i="26"/>
  <c r="R185" i="26"/>
  <c r="S185" i="26" s="1"/>
  <c r="T185" i="26" s="1"/>
  <c r="U185" i="26"/>
  <c r="V185" i="26"/>
  <c r="R186" i="26"/>
  <c r="S186" i="26" s="1"/>
  <c r="U186" i="26"/>
  <c r="V186" i="26"/>
  <c r="R187" i="26"/>
  <c r="S187" i="26" s="1"/>
  <c r="T187" i="26" s="1"/>
  <c r="U187" i="26"/>
  <c r="V187" i="26"/>
  <c r="R188" i="26"/>
  <c r="S188" i="26" s="1"/>
  <c r="U188" i="26"/>
  <c r="V188" i="26"/>
  <c r="R189" i="26"/>
  <c r="S189" i="26" s="1"/>
  <c r="U189" i="26"/>
  <c r="V189" i="26"/>
  <c r="R190" i="26"/>
  <c r="S190" i="26" s="1"/>
  <c r="T190" i="26" s="1"/>
  <c r="U190" i="26"/>
  <c r="V190" i="26"/>
  <c r="R191" i="26"/>
  <c r="S191" i="26" s="1"/>
  <c r="T191" i="26" s="1"/>
  <c r="U191" i="26"/>
  <c r="V191" i="26"/>
  <c r="R192" i="26"/>
  <c r="S192" i="26" s="1"/>
  <c r="U192" i="26"/>
  <c r="V192" i="26"/>
  <c r="R193" i="26"/>
  <c r="S193" i="26" s="1"/>
  <c r="U193" i="26"/>
  <c r="V193" i="26"/>
  <c r="R194" i="26"/>
  <c r="S194" i="26" s="1"/>
  <c r="U194" i="26"/>
  <c r="V194" i="26"/>
  <c r="R195" i="26"/>
  <c r="S195" i="26" s="1"/>
  <c r="T195" i="26" s="1"/>
  <c r="U195" i="26"/>
  <c r="V195" i="26"/>
  <c r="R196" i="26"/>
  <c r="S196" i="26" s="1"/>
  <c r="U196" i="26"/>
  <c r="V196" i="26"/>
  <c r="R197" i="26"/>
  <c r="S197" i="26" s="1"/>
  <c r="U197" i="26"/>
  <c r="V197" i="26"/>
  <c r="R198" i="26"/>
  <c r="S198" i="26" s="1"/>
  <c r="U198" i="26"/>
  <c r="V198" i="26"/>
  <c r="R199" i="26"/>
  <c r="S199" i="26" s="1"/>
  <c r="U199" i="26"/>
  <c r="V199" i="26"/>
  <c r="R200" i="26"/>
  <c r="S200" i="26" s="1"/>
  <c r="T200" i="26" s="1"/>
  <c r="U200" i="26"/>
  <c r="V200" i="26"/>
  <c r="R201" i="26"/>
  <c r="S201" i="26" s="1"/>
  <c r="U201" i="26"/>
  <c r="V201" i="26"/>
  <c r="R202" i="26"/>
  <c r="S202" i="26" s="1"/>
  <c r="T202" i="26" s="1"/>
  <c r="U202" i="26"/>
  <c r="V202" i="26"/>
  <c r="R203" i="26"/>
  <c r="S203" i="26" s="1"/>
  <c r="U203" i="26"/>
  <c r="V203" i="26"/>
  <c r="R204" i="26"/>
  <c r="S204" i="26" s="1"/>
  <c r="T204" i="26" s="1"/>
  <c r="U204" i="26"/>
  <c r="V204" i="26"/>
  <c r="R205" i="26"/>
  <c r="S205" i="26" s="1"/>
  <c r="T205" i="26" s="1"/>
  <c r="U205" i="26"/>
  <c r="V205" i="26"/>
  <c r="L6" i="26"/>
  <c r="N6" i="26"/>
  <c r="N7" i="26"/>
  <c r="M8" i="26"/>
  <c r="N8" i="26"/>
  <c r="N9" i="26"/>
  <c r="N10" i="26"/>
  <c r="L11" i="26"/>
  <c r="N11" i="26"/>
  <c r="N12" i="26"/>
  <c r="N13" i="26"/>
  <c r="N14" i="26"/>
  <c r="N15" i="26"/>
  <c r="M16" i="26"/>
  <c r="N16" i="26"/>
  <c r="N17" i="26"/>
  <c r="N18" i="26"/>
  <c r="L19" i="26"/>
  <c r="N19" i="26"/>
  <c r="N20" i="26"/>
  <c r="N21" i="26"/>
  <c r="N22" i="26"/>
  <c r="N23" i="26"/>
  <c r="M24" i="26"/>
  <c r="N24" i="26"/>
  <c r="N25" i="26"/>
  <c r="N26" i="26"/>
  <c r="L27" i="26"/>
  <c r="N27" i="26"/>
  <c r="N28" i="26"/>
  <c r="N29" i="26"/>
  <c r="N30" i="26"/>
  <c r="N31" i="26"/>
  <c r="M32" i="26"/>
  <c r="N32" i="26"/>
  <c r="N33" i="26"/>
  <c r="N34" i="26"/>
  <c r="L35" i="26"/>
  <c r="N35" i="26"/>
  <c r="N36" i="26"/>
  <c r="N37" i="26"/>
  <c r="N38" i="26"/>
  <c r="N39" i="26"/>
  <c r="M40" i="26"/>
  <c r="N40" i="26"/>
  <c r="N41" i="26"/>
  <c r="N42" i="26"/>
  <c r="L43" i="26"/>
  <c r="N43" i="26"/>
  <c r="N44" i="26"/>
  <c r="N45" i="26"/>
  <c r="N46" i="26"/>
  <c r="N47" i="26"/>
  <c r="M48" i="26"/>
  <c r="N48" i="26"/>
  <c r="N49" i="26"/>
  <c r="N50" i="26"/>
  <c r="L51" i="26"/>
  <c r="N51" i="26"/>
  <c r="N52" i="26"/>
  <c r="N53" i="26"/>
  <c r="N54" i="26"/>
  <c r="N55" i="26"/>
  <c r="M56" i="26"/>
  <c r="N56" i="26"/>
  <c r="N57" i="26"/>
  <c r="N58" i="26"/>
  <c r="L59" i="26"/>
  <c r="N59" i="26"/>
  <c r="N60" i="26"/>
  <c r="N61" i="26"/>
  <c r="N62" i="26"/>
  <c r="N63" i="26"/>
  <c r="M64" i="26"/>
  <c r="N64" i="26"/>
  <c r="N65" i="26"/>
  <c r="N66" i="26"/>
  <c r="N67" i="26"/>
  <c r="N68" i="26"/>
  <c r="N69" i="26"/>
  <c r="N70" i="26"/>
  <c r="N71" i="26"/>
  <c r="N72" i="26"/>
  <c r="N73" i="26"/>
  <c r="N74" i="26"/>
  <c r="N75" i="26"/>
  <c r="N76" i="26"/>
  <c r="N77" i="26"/>
  <c r="N78" i="26"/>
  <c r="N79" i="26"/>
  <c r="N80" i="26"/>
  <c r="N81" i="26"/>
  <c r="N82" i="26"/>
  <c r="N83" i="26"/>
  <c r="N84" i="26"/>
  <c r="N85" i="26"/>
  <c r="N86" i="26"/>
  <c r="N87" i="26"/>
  <c r="N88" i="26"/>
  <c r="N89" i="26"/>
  <c r="N90" i="26"/>
  <c r="N91" i="26"/>
  <c r="N92" i="26"/>
  <c r="N93" i="26"/>
  <c r="N94" i="26"/>
  <c r="N95" i="26"/>
  <c r="N96" i="26"/>
  <c r="N97" i="26"/>
  <c r="N98" i="26"/>
  <c r="N99" i="26"/>
  <c r="N100" i="26"/>
  <c r="N101" i="26"/>
  <c r="M102" i="26"/>
  <c r="N102" i="26"/>
  <c r="N103" i="26"/>
  <c r="M104" i="26"/>
  <c r="N104" i="26"/>
  <c r="N105" i="26"/>
  <c r="M106" i="26"/>
  <c r="N106" i="26"/>
  <c r="N107" i="26"/>
  <c r="M108" i="26"/>
  <c r="N108" i="26"/>
  <c r="N109" i="26"/>
  <c r="M110" i="26"/>
  <c r="N110" i="26"/>
  <c r="N111" i="26"/>
  <c r="M112" i="26"/>
  <c r="N112" i="26"/>
  <c r="N113" i="26"/>
  <c r="M114" i="26"/>
  <c r="N114" i="26"/>
  <c r="N115" i="26"/>
  <c r="M116" i="26"/>
  <c r="N116" i="26"/>
  <c r="N117" i="26"/>
  <c r="M118" i="26"/>
  <c r="N118" i="26"/>
  <c r="N119" i="26"/>
  <c r="M120" i="26"/>
  <c r="N120" i="26"/>
  <c r="N121" i="26"/>
  <c r="M122" i="26"/>
  <c r="N122" i="26"/>
  <c r="N123" i="26"/>
  <c r="M124" i="26"/>
  <c r="N124" i="26"/>
  <c r="N125" i="26"/>
  <c r="M126" i="26"/>
  <c r="N126" i="26"/>
  <c r="N127" i="26"/>
  <c r="M128" i="26"/>
  <c r="N128" i="26"/>
  <c r="N129" i="26"/>
  <c r="M130" i="26"/>
  <c r="N130" i="26"/>
  <c r="N131" i="26"/>
  <c r="L132" i="26"/>
  <c r="N132" i="26"/>
  <c r="N133" i="26"/>
  <c r="L134" i="26"/>
  <c r="N134" i="26"/>
  <c r="N135" i="26"/>
  <c r="L136" i="26"/>
  <c r="N136" i="26"/>
  <c r="N137" i="26"/>
  <c r="L138" i="26"/>
  <c r="N138" i="26"/>
  <c r="N139" i="26"/>
  <c r="L140" i="26"/>
  <c r="N140" i="26"/>
  <c r="N141" i="26"/>
  <c r="L142" i="26"/>
  <c r="N142" i="26"/>
  <c r="N143" i="26"/>
  <c r="L144" i="26"/>
  <c r="N144" i="26"/>
  <c r="N145" i="26"/>
  <c r="L146" i="26"/>
  <c r="N146" i="26"/>
  <c r="N147" i="26"/>
  <c r="L148" i="26"/>
  <c r="N148" i="26"/>
  <c r="N149" i="26"/>
  <c r="L150" i="26"/>
  <c r="N150" i="26"/>
  <c r="N151" i="26"/>
  <c r="N152" i="26"/>
  <c r="N153" i="26"/>
  <c r="N154" i="26"/>
  <c r="N155" i="26"/>
  <c r="J156" i="26"/>
  <c r="K156" i="26" s="1"/>
  <c r="N156" i="26"/>
  <c r="N157" i="26"/>
  <c r="J158" i="26"/>
  <c r="N158" i="26"/>
  <c r="N159" i="26"/>
  <c r="J160" i="26"/>
  <c r="K160" i="26" s="1"/>
  <c r="N160" i="26"/>
  <c r="N161" i="26"/>
  <c r="J162" i="26"/>
  <c r="N162" i="26"/>
  <c r="N163" i="26"/>
  <c r="J164" i="26"/>
  <c r="K164" i="26" s="1"/>
  <c r="N164" i="26"/>
  <c r="N165" i="26"/>
  <c r="J166" i="26"/>
  <c r="N166" i="26"/>
  <c r="N167" i="26"/>
  <c r="J168" i="26"/>
  <c r="K168" i="26" s="1"/>
  <c r="N168" i="26"/>
  <c r="N169" i="26"/>
  <c r="J170" i="26"/>
  <c r="N170" i="26"/>
  <c r="N171" i="26"/>
  <c r="J172" i="26"/>
  <c r="K172" i="26" s="1"/>
  <c r="N172" i="26"/>
  <c r="N173" i="26"/>
  <c r="J174" i="26"/>
  <c r="N174" i="26"/>
  <c r="N175" i="26"/>
  <c r="N176" i="26"/>
  <c r="N177" i="26"/>
  <c r="N178" i="26"/>
  <c r="N179" i="26"/>
  <c r="N180" i="26"/>
  <c r="N181" i="26"/>
  <c r="N182" i="26"/>
  <c r="M183" i="26"/>
  <c r="N183" i="26"/>
  <c r="N184" i="26"/>
  <c r="M185" i="26"/>
  <c r="N185" i="26"/>
  <c r="N186" i="26"/>
  <c r="M187" i="26"/>
  <c r="N187" i="26"/>
  <c r="N188" i="26"/>
  <c r="M189" i="26"/>
  <c r="N189" i="26"/>
  <c r="N190" i="26"/>
  <c r="M191" i="26"/>
  <c r="N191" i="26"/>
  <c r="N192" i="26"/>
  <c r="M193" i="26"/>
  <c r="N193" i="26"/>
  <c r="N194" i="26"/>
  <c r="M195" i="26"/>
  <c r="N195" i="26"/>
  <c r="N196" i="26"/>
  <c r="M197" i="26"/>
  <c r="N197" i="26"/>
  <c r="N198" i="26"/>
  <c r="M199" i="26"/>
  <c r="N199" i="26"/>
  <c r="N200" i="26"/>
  <c r="M201" i="26"/>
  <c r="N201" i="26"/>
  <c r="N202" i="26"/>
  <c r="M203" i="26"/>
  <c r="N203" i="26"/>
  <c r="N204" i="26"/>
  <c r="M205" i="26"/>
  <c r="N205" i="26"/>
  <c r="E25" i="20"/>
  <c r="F25" i="20" s="1"/>
  <c r="G25" i="20" s="1"/>
  <c r="Q6" i="20" s="1"/>
  <c r="R6" i="20" s="1"/>
  <c r="F5" i="20"/>
  <c r="U9" i="20" s="1"/>
  <c r="F15" i="20"/>
  <c r="F6" i="20"/>
  <c r="V6" i="20" s="1"/>
  <c r="Q12" i="20"/>
  <c r="Q14" i="20"/>
  <c r="Q18" i="20"/>
  <c r="E26" i="20"/>
  <c r="F26" i="20" s="1"/>
  <c r="V61" i="20"/>
  <c r="V63" i="20"/>
  <c r="V69" i="20"/>
  <c r="V71" i="20"/>
  <c r="V77" i="20"/>
  <c r="V79" i="20"/>
  <c r="V85" i="20"/>
  <c r="V87" i="20"/>
  <c r="V93" i="20"/>
  <c r="V95" i="20"/>
  <c r="R96" i="20"/>
  <c r="S96" i="20" s="1"/>
  <c r="U96" i="20"/>
  <c r="V96" i="20"/>
  <c r="R97" i="20"/>
  <c r="U97" i="20"/>
  <c r="V97" i="20"/>
  <c r="R98" i="20"/>
  <c r="U98" i="20"/>
  <c r="V98" i="20"/>
  <c r="R99" i="20"/>
  <c r="U99" i="20"/>
  <c r="V99" i="20"/>
  <c r="R100" i="20"/>
  <c r="U100" i="20"/>
  <c r="V100" i="20"/>
  <c r="R101" i="20"/>
  <c r="U101" i="20"/>
  <c r="V101" i="20"/>
  <c r="R102" i="20"/>
  <c r="U102" i="20"/>
  <c r="V102" i="20"/>
  <c r="R103" i="20"/>
  <c r="U103" i="20"/>
  <c r="V103" i="20"/>
  <c r="R104" i="20"/>
  <c r="S104" i="20" s="1"/>
  <c r="U104" i="20"/>
  <c r="V104" i="20"/>
  <c r="R105" i="20"/>
  <c r="U105" i="20"/>
  <c r="V105" i="20"/>
  <c r="R106" i="20"/>
  <c r="U106" i="20"/>
  <c r="V106" i="20"/>
  <c r="R107" i="20"/>
  <c r="U107" i="20"/>
  <c r="V107" i="20"/>
  <c r="R108" i="20"/>
  <c r="U108" i="20"/>
  <c r="V108" i="20"/>
  <c r="R109" i="20"/>
  <c r="U109" i="20"/>
  <c r="V109" i="20"/>
  <c r="R110" i="20"/>
  <c r="U110" i="20"/>
  <c r="V110" i="20"/>
  <c r="R111" i="20"/>
  <c r="U111" i="20"/>
  <c r="V111" i="20"/>
  <c r="R112" i="20"/>
  <c r="U112" i="20"/>
  <c r="V112" i="20"/>
  <c r="R113" i="20"/>
  <c r="U113" i="20"/>
  <c r="V113" i="20"/>
  <c r="R114" i="20"/>
  <c r="U114" i="20"/>
  <c r="V114" i="20"/>
  <c r="R115" i="20"/>
  <c r="U115" i="20"/>
  <c r="V115" i="20"/>
  <c r="R116" i="20"/>
  <c r="U116" i="20"/>
  <c r="V116" i="20"/>
  <c r="R117" i="20"/>
  <c r="S117" i="20" s="1"/>
  <c r="U117" i="20"/>
  <c r="V117" i="20"/>
  <c r="R118" i="20"/>
  <c r="U118" i="20"/>
  <c r="V118" i="20"/>
  <c r="R119" i="20"/>
  <c r="U119" i="20"/>
  <c r="V119" i="20"/>
  <c r="R120" i="20"/>
  <c r="U120" i="20"/>
  <c r="V120" i="20"/>
  <c r="R121" i="20"/>
  <c r="U121" i="20"/>
  <c r="V121" i="20"/>
  <c r="R122" i="20"/>
  <c r="U122" i="20"/>
  <c r="V122" i="20"/>
  <c r="R123" i="20"/>
  <c r="U123" i="20"/>
  <c r="V123" i="20"/>
  <c r="R124" i="20"/>
  <c r="U124" i="20"/>
  <c r="V124" i="20"/>
  <c r="R125" i="20"/>
  <c r="S125" i="20" s="1"/>
  <c r="U125" i="20"/>
  <c r="V125" i="20"/>
  <c r="R126" i="20"/>
  <c r="U126" i="20"/>
  <c r="V126" i="20"/>
  <c r="R127" i="20"/>
  <c r="U127" i="20"/>
  <c r="V127" i="20"/>
  <c r="R128" i="20"/>
  <c r="U128" i="20"/>
  <c r="V128" i="20"/>
  <c r="R129" i="20"/>
  <c r="U129" i="20"/>
  <c r="V129" i="20"/>
  <c r="R130" i="20"/>
  <c r="U130" i="20"/>
  <c r="V130" i="20"/>
  <c r="R131" i="20"/>
  <c r="U131" i="20"/>
  <c r="V131" i="20"/>
  <c r="R132" i="20"/>
  <c r="U132" i="20"/>
  <c r="V132" i="20"/>
  <c r="R133" i="20"/>
  <c r="S133" i="20" s="1"/>
  <c r="U133" i="20"/>
  <c r="V133" i="20"/>
  <c r="R134" i="20"/>
  <c r="U134" i="20"/>
  <c r="V134" i="20"/>
  <c r="R135" i="20"/>
  <c r="U135" i="20"/>
  <c r="V135" i="20"/>
  <c r="R136" i="20"/>
  <c r="U136" i="20"/>
  <c r="V136" i="20"/>
  <c r="R137" i="20"/>
  <c r="U137" i="20"/>
  <c r="V137" i="20"/>
  <c r="R138" i="20"/>
  <c r="U138" i="20"/>
  <c r="V138" i="20"/>
  <c r="R139" i="20"/>
  <c r="U139" i="20"/>
  <c r="V139" i="20"/>
  <c r="R140" i="20"/>
  <c r="U140" i="20"/>
  <c r="V140" i="20"/>
  <c r="R141" i="20"/>
  <c r="S141" i="20" s="1"/>
  <c r="U141" i="20"/>
  <c r="V141" i="20"/>
  <c r="R142" i="20"/>
  <c r="U142" i="20"/>
  <c r="V142" i="20"/>
  <c r="R143" i="20"/>
  <c r="U143" i="20"/>
  <c r="V143" i="20"/>
  <c r="R144" i="20"/>
  <c r="U144" i="20"/>
  <c r="V144" i="20"/>
  <c r="R145" i="20"/>
  <c r="U145" i="20"/>
  <c r="V145" i="20"/>
  <c r="R146" i="20"/>
  <c r="U146" i="20"/>
  <c r="V146" i="20"/>
  <c r="R147" i="20"/>
  <c r="U147" i="20"/>
  <c r="V147" i="20"/>
  <c r="R148" i="20"/>
  <c r="U148" i="20"/>
  <c r="V148" i="20"/>
  <c r="R149" i="20"/>
  <c r="S149" i="20" s="1"/>
  <c r="U149" i="20"/>
  <c r="V149" i="20"/>
  <c r="R150" i="20"/>
  <c r="U150" i="20"/>
  <c r="V150" i="20"/>
  <c r="R151" i="20"/>
  <c r="U151" i="20"/>
  <c r="V151" i="20"/>
  <c r="R152" i="20"/>
  <c r="U152" i="20"/>
  <c r="V152" i="20"/>
  <c r="R153" i="20"/>
  <c r="U153" i="20"/>
  <c r="V153" i="20"/>
  <c r="R154" i="20"/>
  <c r="U154" i="20"/>
  <c r="V154" i="20"/>
  <c r="R155" i="20"/>
  <c r="U155" i="20"/>
  <c r="V155" i="20"/>
  <c r="R156" i="20"/>
  <c r="U156" i="20"/>
  <c r="V156" i="20"/>
  <c r="R157" i="20"/>
  <c r="S157" i="20" s="1"/>
  <c r="U157" i="20"/>
  <c r="V157" i="20"/>
  <c r="R158" i="20"/>
  <c r="U158" i="20"/>
  <c r="V158" i="20"/>
  <c r="R159" i="20"/>
  <c r="U159" i="20"/>
  <c r="V159" i="20"/>
  <c r="R160" i="20"/>
  <c r="U160" i="20"/>
  <c r="V160" i="20"/>
  <c r="R161" i="20"/>
  <c r="U161" i="20"/>
  <c r="V161" i="20"/>
  <c r="R162" i="20"/>
  <c r="U162" i="20"/>
  <c r="V162" i="20"/>
  <c r="R163" i="20"/>
  <c r="U163" i="20"/>
  <c r="V163" i="20"/>
  <c r="R164" i="20"/>
  <c r="U164" i="20"/>
  <c r="V164" i="20"/>
  <c r="R165" i="20"/>
  <c r="S165" i="20" s="1"/>
  <c r="U165" i="20"/>
  <c r="V165" i="20"/>
  <c r="R166" i="20"/>
  <c r="U166" i="20"/>
  <c r="V166" i="20"/>
  <c r="R167" i="20"/>
  <c r="U167" i="20"/>
  <c r="V167" i="20"/>
  <c r="R168" i="20"/>
  <c r="U168" i="20"/>
  <c r="V168" i="20"/>
  <c r="R169" i="20"/>
  <c r="U169" i="20"/>
  <c r="V169" i="20"/>
  <c r="R170" i="20"/>
  <c r="U170" i="20"/>
  <c r="V170" i="20"/>
  <c r="R171" i="20"/>
  <c r="U171" i="20"/>
  <c r="V171" i="20"/>
  <c r="R172" i="20"/>
  <c r="U172" i="20"/>
  <c r="V172" i="20"/>
  <c r="R173" i="20"/>
  <c r="S173" i="20" s="1"/>
  <c r="U173" i="20"/>
  <c r="V173" i="20"/>
  <c r="R174" i="20"/>
  <c r="U174" i="20"/>
  <c r="V174" i="20"/>
  <c r="R175" i="20"/>
  <c r="U175" i="20"/>
  <c r="V175" i="20"/>
  <c r="R176" i="20"/>
  <c r="U176" i="20"/>
  <c r="V176" i="20"/>
  <c r="R177" i="20"/>
  <c r="U177" i="20"/>
  <c r="V177" i="20"/>
  <c r="R178" i="20"/>
  <c r="U178" i="20"/>
  <c r="V178" i="20"/>
  <c r="R179" i="20"/>
  <c r="U179" i="20"/>
  <c r="V179" i="20"/>
  <c r="R180" i="20"/>
  <c r="U180" i="20"/>
  <c r="V180" i="20"/>
  <c r="R181" i="20"/>
  <c r="S181" i="20" s="1"/>
  <c r="U181" i="20"/>
  <c r="V181" i="20"/>
  <c r="R182" i="20"/>
  <c r="U182" i="20"/>
  <c r="V182" i="20"/>
  <c r="R183" i="20"/>
  <c r="U183" i="20"/>
  <c r="V183" i="20"/>
  <c r="R184" i="20"/>
  <c r="U184" i="20"/>
  <c r="V184" i="20"/>
  <c r="R185" i="20"/>
  <c r="U185" i="20"/>
  <c r="V185" i="20"/>
  <c r="R186" i="20"/>
  <c r="U186" i="20"/>
  <c r="V186" i="20"/>
  <c r="R187" i="20"/>
  <c r="U187" i="20"/>
  <c r="V187" i="20"/>
  <c r="R188" i="20"/>
  <c r="U188" i="20"/>
  <c r="V188" i="20"/>
  <c r="R189" i="20"/>
  <c r="S189" i="20" s="1"/>
  <c r="U189" i="20"/>
  <c r="V189" i="20"/>
  <c r="R190" i="20"/>
  <c r="U190" i="20"/>
  <c r="V190" i="20"/>
  <c r="R191" i="20"/>
  <c r="U191" i="20"/>
  <c r="V191" i="20"/>
  <c r="R192" i="20"/>
  <c r="U192" i="20"/>
  <c r="V192" i="20"/>
  <c r="R193" i="20"/>
  <c r="U193" i="20"/>
  <c r="V193" i="20"/>
  <c r="R194" i="20"/>
  <c r="S194" i="20" s="1"/>
  <c r="U194" i="20"/>
  <c r="V194" i="20"/>
  <c r="R195" i="20"/>
  <c r="U195" i="20"/>
  <c r="V195" i="20"/>
  <c r="R196" i="20"/>
  <c r="U196" i="20"/>
  <c r="V196" i="20"/>
  <c r="R197" i="20"/>
  <c r="U197" i="20"/>
  <c r="V197" i="20"/>
  <c r="R198" i="20"/>
  <c r="U198" i="20"/>
  <c r="V198" i="20"/>
  <c r="R199" i="20"/>
  <c r="U199" i="20"/>
  <c r="V199" i="20"/>
  <c r="R200" i="20"/>
  <c r="U200" i="20"/>
  <c r="V200" i="20"/>
  <c r="R201" i="20"/>
  <c r="U201" i="20"/>
  <c r="V201" i="20"/>
  <c r="R202" i="20"/>
  <c r="S202" i="20" s="1"/>
  <c r="U202" i="20"/>
  <c r="V202" i="20"/>
  <c r="R203" i="20"/>
  <c r="U203" i="20"/>
  <c r="V203" i="20"/>
  <c r="R204" i="20"/>
  <c r="U204" i="20"/>
  <c r="V204" i="20"/>
  <c r="R205" i="20"/>
  <c r="U205" i="20"/>
  <c r="V205" i="20"/>
  <c r="F11" i="20"/>
  <c r="F13" i="20"/>
  <c r="F8" i="20"/>
  <c r="L62" i="20" s="1"/>
  <c r="F9" i="20"/>
  <c r="N6" i="20"/>
  <c r="N7" i="20"/>
  <c r="N8" i="20"/>
  <c r="N9" i="20"/>
  <c r="N10" i="20"/>
  <c r="N11" i="20"/>
  <c r="N12" i="20"/>
  <c r="N13" i="20"/>
  <c r="N14" i="20"/>
  <c r="N15" i="20"/>
  <c r="N16" i="20"/>
  <c r="N17" i="20"/>
  <c r="N18" i="20"/>
  <c r="N19" i="20"/>
  <c r="N20" i="20"/>
  <c r="N21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N34" i="20"/>
  <c r="N35" i="20"/>
  <c r="N36" i="20"/>
  <c r="N37" i="20"/>
  <c r="N38" i="20"/>
  <c r="N39" i="20"/>
  <c r="N40" i="20"/>
  <c r="N41" i="20"/>
  <c r="N42" i="20"/>
  <c r="N43" i="20"/>
  <c r="N44" i="20"/>
  <c r="N45" i="20"/>
  <c r="N46" i="20"/>
  <c r="N47" i="20"/>
  <c r="N48" i="20"/>
  <c r="N49" i="20"/>
  <c r="N50" i="20"/>
  <c r="N51" i="20"/>
  <c r="N52" i="20"/>
  <c r="N53" i="20"/>
  <c r="N54" i="20"/>
  <c r="N55" i="20"/>
  <c r="N56" i="20"/>
  <c r="M57" i="20"/>
  <c r="N57" i="20"/>
  <c r="N58" i="20"/>
  <c r="M59" i="20"/>
  <c r="N59" i="20"/>
  <c r="N60" i="20"/>
  <c r="M61" i="20"/>
  <c r="N61" i="20"/>
  <c r="M62" i="20"/>
  <c r="N62" i="20"/>
  <c r="N63" i="20"/>
  <c r="N64" i="20"/>
  <c r="M65" i="20"/>
  <c r="N65" i="20"/>
  <c r="M66" i="20"/>
  <c r="N66" i="20"/>
  <c r="N67" i="20"/>
  <c r="N68" i="20"/>
  <c r="M69" i="20"/>
  <c r="N69" i="20"/>
  <c r="M70" i="20"/>
  <c r="N70" i="20"/>
  <c r="M71" i="20"/>
  <c r="N71" i="20"/>
  <c r="M72" i="20"/>
  <c r="N72" i="20"/>
  <c r="M73" i="20"/>
  <c r="N73" i="20"/>
  <c r="M74" i="20"/>
  <c r="N74" i="20"/>
  <c r="M75" i="20"/>
  <c r="N75" i="20"/>
  <c r="M76" i="20"/>
  <c r="N76" i="20"/>
  <c r="M77" i="20"/>
  <c r="N77" i="20"/>
  <c r="M78" i="20"/>
  <c r="N78" i="20"/>
  <c r="M79" i="20"/>
  <c r="N79" i="20"/>
  <c r="M80" i="20"/>
  <c r="N80" i="20"/>
  <c r="M81" i="20"/>
  <c r="N81" i="20"/>
  <c r="M82" i="20"/>
  <c r="N82" i="20"/>
  <c r="M83" i="20"/>
  <c r="N83" i="20"/>
  <c r="M84" i="20"/>
  <c r="N84" i="20"/>
  <c r="M85" i="20"/>
  <c r="N85" i="20"/>
  <c r="M86" i="20"/>
  <c r="N86" i="20"/>
  <c r="M87" i="20"/>
  <c r="N87" i="20"/>
  <c r="M88" i="20"/>
  <c r="N88" i="20"/>
  <c r="M89" i="20"/>
  <c r="N89" i="20"/>
  <c r="M90" i="20"/>
  <c r="N90" i="20"/>
  <c r="M91" i="20"/>
  <c r="N91" i="20"/>
  <c r="M92" i="20"/>
  <c r="N92" i="20"/>
  <c r="M93" i="20"/>
  <c r="N93" i="20"/>
  <c r="M94" i="20"/>
  <c r="N94" i="20"/>
  <c r="M95" i="20"/>
  <c r="N95" i="20"/>
  <c r="J96" i="20"/>
  <c r="K96" i="20" s="1"/>
  <c r="L96" i="20"/>
  <c r="M96" i="20"/>
  <c r="N96" i="20"/>
  <c r="J97" i="20"/>
  <c r="L97" i="20"/>
  <c r="M97" i="20"/>
  <c r="N97" i="20"/>
  <c r="J98" i="20"/>
  <c r="K98" i="20" s="1"/>
  <c r="L98" i="20"/>
  <c r="M98" i="20"/>
  <c r="N98" i="20"/>
  <c r="J99" i="20"/>
  <c r="L99" i="20"/>
  <c r="M99" i="20"/>
  <c r="N99" i="20"/>
  <c r="J100" i="20"/>
  <c r="K100" i="20" s="1"/>
  <c r="L100" i="20"/>
  <c r="M100" i="20"/>
  <c r="N100" i="20"/>
  <c r="J101" i="20"/>
  <c r="L101" i="20"/>
  <c r="M101" i="20"/>
  <c r="N101" i="20"/>
  <c r="J102" i="20"/>
  <c r="L102" i="20"/>
  <c r="M102" i="20"/>
  <c r="N102" i="20"/>
  <c r="J103" i="20"/>
  <c r="L103" i="20"/>
  <c r="M103" i="20"/>
  <c r="N103" i="20"/>
  <c r="J104" i="20"/>
  <c r="K104" i="20" s="1"/>
  <c r="L104" i="20"/>
  <c r="M104" i="20"/>
  <c r="N104" i="20"/>
  <c r="J105" i="20"/>
  <c r="L105" i="20"/>
  <c r="M105" i="20"/>
  <c r="N105" i="20"/>
  <c r="J106" i="20"/>
  <c r="K106" i="20" s="1"/>
  <c r="L106" i="20"/>
  <c r="M106" i="20"/>
  <c r="N106" i="20"/>
  <c r="J107" i="20"/>
  <c r="L107" i="20"/>
  <c r="M107" i="20"/>
  <c r="N107" i="20"/>
  <c r="J108" i="20"/>
  <c r="K108" i="20" s="1"/>
  <c r="L108" i="20"/>
  <c r="M108" i="20"/>
  <c r="N108" i="20"/>
  <c r="J109" i="20"/>
  <c r="L109" i="20"/>
  <c r="M109" i="20"/>
  <c r="N109" i="20"/>
  <c r="J110" i="20"/>
  <c r="L110" i="20"/>
  <c r="M110" i="20"/>
  <c r="N110" i="20"/>
  <c r="J111" i="20"/>
  <c r="L111" i="20"/>
  <c r="M111" i="20"/>
  <c r="N111" i="20"/>
  <c r="J112" i="20"/>
  <c r="K112" i="20" s="1"/>
  <c r="L112" i="20"/>
  <c r="M112" i="20"/>
  <c r="N112" i="20"/>
  <c r="J113" i="20"/>
  <c r="L113" i="20"/>
  <c r="M113" i="20"/>
  <c r="N113" i="20"/>
  <c r="J114" i="20"/>
  <c r="K114" i="20" s="1"/>
  <c r="L114" i="20"/>
  <c r="M114" i="20"/>
  <c r="N114" i="20"/>
  <c r="J115" i="20"/>
  <c r="L115" i="20"/>
  <c r="M115" i="20"/>
  <c r="N115" i="20"/>
  <c r="J116" i="20"/>
  <c r="K116" i="20" s="1"/>
  <c r="L116" i="20"/>
  <c r="M116" i="20"/>
  <c r="N116" i="20"/>
  <c r="J117" i="20"/>
  <c r="K117" i="20" s="1"/>
  <c r="L117" i="20"/>
  <c r="M117" i="20"/>
  <c r="N117" i="20"/>
  <c r="J118" i="20"/>
  <c r="K118" i="20" s="1"/>
  <c r="L118" i="20"/>
  <c r="M118" i="20"/>
  <c r="N118" i="20"/>
  <c r="J119" i="20"/>
  <c r="L119" i="20"/>
  <c r="M119" i="20"/>
  <c r="N119" i="20"/>
  <c r="J120" i="20"/>
  <c r="K120" i="20" s="1"/>
  <c r="L120" i="20"/>
  <c r="M120" i="20"/>
  <c r="N120" i="20"/>
  <c r="J121" i="20"/>
  <c r="K121" i="20" s="1"/>
  <c r="L121" i="20"/>
  <c r="M121" i="20"/>
  <c r="N121" i="20"/>
  <c r="J122" i="20"/>
  <c r="K122" i="20" s="1"/>
  <c r="L122" i="20"/>
  <c r="M122" i="20"/>
  <c r="N122" i="20"/>
  <c r="J123" i="20"/>
  <c r="L123" i="20"/>
  <c r="M123" i="20"/>
  <c r="N123" i="20"/>
  <c r="J124" i="20"/>
  <c r="K124" i="20" s="1"/>
  <c r="L124" i="20"/>
  <c r="M124" i="20"/>
  <c r="N124" i="20"/>
  <c r="J125" i="20"/>
  <c r="K125" i="20" s="1"/>
  <c r="L125" i="20"/>
  <c r="M125" i="20"/>
  <c r="N125" i="20"/>
  <c r="J126" i="20"/>
  <c r="K126" i="20" s="1"/>
  <c r="L126" i="20"/>
  <c r="M126" i="20"/>
  <c r="N126" i="20"/>
  <c r="J127" i="20"/>
  <c r="L127" i="20"/>
  <c r="M127" i="20"/>
  <c r="N127" i="20"/>
  <c r="J128" i="20"/>
  <c r="K128" i="20" s="1"/>
  <c r="L128" i="20"/>
  <c r="M128" i="20"/>
  <c r="N128" i="20"/>
  <c r="J129" i="20"/>
  <c r="K129" i="20" s="1"/>
  <c r="L129" i="20"/>
  <c r="M129" i="20"/>
  <c r="N129" i="20"/>
  <c r="J130" i="20"/>
  <c r="K130" i="20" s="1"/>
  <c r="L130" i="20"/>
  <c r="M130" i="20"/>
  <c r="N130" i="20"/>
  <c r="J131" i="20"/>
  <c r="L131" i="20"/>
  <c r="M131" i="20"/>
  <c r="N131" i="20"/>
  <c r="J132" i="20"/>
  <c r="K132" i="20" s="1"/>
  <c r="L132" i="20"/>
  <c r="M132" i="20"/>
  <c r="N132" i="20"/>
  <c r="J133" i="20"/>
  <c r="K133" i="20" s="1"/>
  <c r="L133" i="20"/>
  <c r="M133" i="20"/>
  <c r="N133" i="20"/>
  <c r="J134" i="20"/>
  <c r="K134" i="20" s="1"/>
  <c r="L134" i="20"/>
  <c r="M134" i="20"/>
  <c r="N134" i="20"/>
  <c r="J135" i="20"/>
  <c r="L135" i="20"/>
  <c r="M135" i="20"/>
  <c r="N135" i="20"/>
  <c r="J136" i="20"/>
  <c r="K136" i="20" s="1"/>
  <c r="L136" i="20"/>
  <c r="M136" i="20"/>
  <c r="N136" i="20"/>
  <c r="J137" i="20"/>
  <c r="K137" i="20" s="1"/>
  <c r="L137" i="20"/>
  <c r="M137" i="20"/>
  <c r="N137" i="20"/>
  <c r="J138" i="20"/>
  <c r="K138" i="20" s="1"/>
  <c r="L138" i="20"/>
  <c r="M138" i="20"/>
  <c r="N138" i="20"/>
  <c r="J139" i="20"/>
  <c r="L139" i="20"/>
  <c r="M139" i="20"/>
  <c r="N139" i="20"/>
  <c r="J140" i="20"/>
  <c r="K140" i="20" s="1"/>
  <c r="L140" i="20"/>
  <c r="M140" i="20"/>
  <c r="N140" i="20"/>
  <c r="J141" i="20"/>
  <c r="K141" i="20" s="1"/>
  <c r="L141" i="20"/>
  <c r="M141" i="20"/>
  <c r="N141" i="20"/>
  <c r="J142" i="20"/>
  <c r="K142" i="20" s="1"/>
  <c r="L142" i="20"/>
  <c r="M142" i="20"/>
  <c r="N142" i="20"/>
  <c r="J143" i="20"/>
  <c r="L143" i="20"/>
  <c r="M143" i="20"/>
  <c r="N143" i="20"/>
  <c r="J144" i="20"/>
  <c r="K144" i="20" s="1"/>
  <c r="L144" i="20"/>
  <c r="M144" i="20"/>
  <c r="N144" i="20"/>
  <c r="J145" i="20"/>
  <c r="K145" i="20" s="1"/>
  <c r="L145" i="20"/>
  <c r="M145" i="20"/>
  <c r="N145" i="20"/>
  <c r="J146" i="20"/>
  <c r="K146" i="20" s="1"/>
  <c r="L146" i="20"/>
  <c r="M146" i="20"/>
  <c r="N146" i="20"/>
  <c r="J147" i="20"/>
  <c r="L147" i="20"/>
  <c r="M147" i="20"/>
  <c r="N147" i="20"/>
  <c r="J148" i="20"/>
  <c r="K148" i="20" s="1"/>
  <c r="L148" i="20"/>
  <c r="M148" i="20"/>
  <c r="N148" i="20"/>
  <c r="J149" i="20"/>
  <c r="K149" i="20" s="1"/>
  <c r="L149" i="20"/>
  <c r="M149" i="20"/>
  <c r="N149" i="20"/>
  <c r="J150" i="20"/>
  <c r="K150" i="20" s="1"/>
  <c r="L150" i="20"/>
  <c r="M150" i="20"/>
  <c r="N150" i="20"/>
  <c r="J151" i="20"/>
  <c r="L151" i="20"/>
  <c r="M151" i="20"/>
  <c r="N151" i="20"/>
  <c r="J152" i="20"/>
  <c r="K152" i="20" s="1"/>
  <c r="L152" i="20"/>
  <c r="M152" i="20"/>
  <c r="N152" i="20"/>
  <c r="J153" i="20"/>
  <c r="K153" i="20" s="1"/>
  <c r="L153" i="20"/>
  <c r="M153" i="20"/>
  <c r="N153" i="20"/>
  <c r="J154" i="20"/>
  <c r="K154" i="20" s="1"/>
  <c r="L154" i="20"/>
  <c r="M154" i="20"/>
  <c r="N154" i="20"/>
  <c r="J155" i="20"/>
  <c r="L155" i="20"/>
  <c r="M155" i="20"/>
  <c r="N155" i="20"/>
  <c r="J156" i="20"/>
  <c r="K156" i="20" s="1"/>
  <c r="L156" i="20"/>
  <c r="M156" i="20"/>
  <c r="N156" i="20"/>
  <c r="J157" i="20"/>
  <c r="K157" i="20" s="1"/>
  <c r="L157" i="20"/>
  <c r="M157" i="20"/>
  <c r="N157" i="20"/>
  <c r="J158" i="20"/>
  <c r="K158" i="20" s="1"/>
  <c r="L158" i="20"/>
  <c r="M158" i="20"/>
  <c r="N158" i="20"/>
  <c r="J159" i="20"/>
  <c r="L159" i="20"/>
  <c r="M159" i="20"/>
  <c r="N159" i="20"/>
  <c r="J160" i="20"/>
  <c r="K160" i="20" s="1"/>
  <c r="L160" i="20"/>
  <c r="M160" i="20"/>
  <c r="N160" i="20"/>
  <c r="J161" i="20"/>
  <c r="K161" i="20" s="1"/>
  <c r="L161" i="20"/>
  <c r="M161" i="20"/>
  <c r="N161" i="20"/>
  <c r="J162" i="20"/>
  <c r="K162" i="20" s="1"/>
  <c r="L162" i="20"/>
  <c r="M162" i="20"/>
  <c r="N162" i="20"/>
  <c r="J163" i="20"/>
  <c r="L163" i="20"/>
  <c r="M163" i="20"/>
  <c r="N163" i="20"/>
  <c r="J164" i="20"/>
  <c r="K164" i="20" s="1"/>
  <c r="L164" i="20"/>
  <c r="M164" i="20"/>
  <c r="N164" i="20"/>
  <c r="J165" i="20"/>
  <c r="K165" i="20" s="1"/>
  <c r="L165" i="20"/>
  <c r="M165" i="20"/>
  <c r="N165" i="20"/>
  <c r="J166" i="20"/>
  <c r="K166" i="20" s="1"/>
  <c r="L166" i="20"/>
  <c r="M166" i="20"/>
  <c r="N166" i="20"/>
  <c r="J167" i="20"/>
  <c r="L167" i="20"/>
  <c r="M167" i="20"/>
  <c r="N167" i="20"/>
  <c r="J168" i="20"/>
  <c r="K168" i="20" s="1"/>
  <c r="L168" i="20"/>
  <c r="M168" i="20"/>
  <c r="N168" i="20"/>
  <c r="J169" i="20"/>
  <c r="K169" i="20" s="1"/>
  <c r="L169" i="20"/>
  <c r="M169" i="20"/>
  <c r="N169" i="20"/>
  <c r="J170" i="20"/>
  <c r="K170" i="20" s="1"/>
  <c r="L170" i="20"/>
  <c r="M170" i="20"/>
  <c r="N170" i="20"/>
  <c r="J171" i="20"/>
  <c r="L171" i="20"/>
  <c r="M171" i="20"/>
  <c r="N171" i="20"/>
  <c r="J172" i="20"/>
  <c r="K172" i="20" s="1"/>
  <c r="L172" i="20"/>
  <c r="M172" i="20"/>
  <c r="N172" i="20"/>
  <c r="J173" i="20"/>
  <c r="K173" i="20" s="1"/>
  <c r="L173" i="20"/>
  <c r="M173" i="20"/>
  <c r="N173" i="20"/>
  <c r="J174" i="20"/>
  <c r="K174" i="20" s="1"/>
  <c r="L174" i="20"/>
  <c r="M174" i="20"/>
  <c r="N174" i="20"/>
  <c r="J175" i="20"/>
  <c r="L175" i="20"/>
  <c r="M175" i="20"/>
  <c r="N175" i="20"/>
  <c r="J176" i="20"/>
  <c r="K176" i="20" s="1"/>
  <c r="L176" i="20"/>
  <c r="M176" i="20"/>
  <c r="N176" i="20"/>
  <c r="J177" i="20"/>
  <c r="K177" i="20" s="1"/>
  <c r="L177" i="20"/>
  <c r="M177" i="20"/>
  <c r="N177" i="20"/>
  <c r="J178" i="20"/>
  <c r="K178" i="20" s="1"/>
  <c r="L178" i="20"/>
  <c r="M178" i="20"/>
  <c r="N178" i="20"/>
  <c r="J179" i="20"/>
  <c r="L179" i="20"/>
  <c r="M179" i="20"/>
  <c r="N179" i="20"/>
  <c r="J180" i="20"/>
  <c r="K180" i="20" s="1"/>
  <c r="L180" i="20"/>
  <c r="M180" i="20"/>
  <c r="N180" i="20"/>
  <c r="J181" i="20"/>
  <c r="K181" i="20" s="1"/>
  <c r="L181" i="20"/>
  <c r="M181" i="20"/>
  <c r="N181" i="20"/>
  <c r="J182" i="20"/>
  <c r="K182" i="20" s="1"/>
  <c r="L182" i="20"/>
  <c r="M182" i="20"/>
  <c r="N182" i="20"/>
  <c r="J183" i="20"/>
  <c r="L183" i="20"/>
  <c r="M183" i="20"/>
  <c r="N183" i="20"/>
  <c r="J184" i="20"/>
  <c r="K184" i="20" s="1"/>
  <c r="L184" i="20"/>
  <c r="M184" i="20"/>
  <c r="N184" i="20"/>
  <c r="J185" i="20"/>
  <c r="K185" i="20" s="1"/>
  <c r="L185" i="20"/>
  <c r="M185" i="20"/>
  <c r="N185" i="20"/>
  <c r="J186" i="20"/>
  <c r="K186" i="20" s="1"/>
  <c r="L186" i="20"/>
  <c r="M186" i="20"/>
  <c r="N186" i="20"/>
  <c r="J187" i="20"/>
  <c r="L187" i="20"/>
  <c r="M187" i="20"/>
  <c r="N187" i="20"/>
  <c r="J188" i="20"/>
  <c r="K188" i="20" s="1"/>
  <c r="L188" i="20"/>
  <c r="M188" i="20"/>
  <c r="N188" i="20"/>
  <c r="J189" i="20"/>
  <c r="K189" i="20" s="1"/>
  <c r="L189" i="20"/>
  <c r="M189" i="20"/>
  <c r="N189" i="20"/>
  <c r="J190" i="20"/>
  <c r="K190" i="20" s="1"/>
  <c r="L190" i="20"/>
  <c r="M190" i="20"/>
  <c r="N190" i="20"/>
  <c r="J191" i="20"/>
  <c r="L191" i="20"/>
  <c r="M191" i="20"/>
  <c r="N191" i="20"/>
  <c r="J192" i="20"/>
  <c r="K192" i="20" s="1"/>
  <c r="L192" i="20"/>
  <c r="M192" i="20"/>
  <c r="N192" i="20"/>
  <c r="J193" i="20"/>
  <c r="K193" i="20" s="1"/>
  <c r="L193" i="20"/>
  <c r="M193" i="20"/>
  <c r="N193" i="20"/>
  <c r="J194" i="20"/>
  <c r="K194" i="20" s="1"/>
  <c r="L194" i="20"/>
  <c r="M194" i="20"/>
  <c r="N194" i="20"/>
  <c r="J195" i="20"/>
  <c r="L195" i="20"/>
  <c r="M195" i="20"/>
  <c r="N195" i="20"/>
  <c r="J196" i="20"/>
  <c r="K196" i="20" s="1"/>
  <c r="L196" i="20"/>
  <c r="M196" i="20"/>
  <c r="N196" i="20"/>
  <c r="J197" i="20"/>
  <c r="K197" i="20" s="1"/>
  <c r="L197" i="20"/>
  <c r="M197" i="20"/>
  <c r="N197" i="20"/>
  <c r="J198" i="20"/>
  <c r="K198" i="20" s="1"/>
  <c r="L198" i="20"/>
  <c r="M198" i="20"/>
  <c r="N198" i="20"/>
  <c r="J199" i="20"/>
  <c r="L199" i="20"/>
  <c r="M199" i="20"/>
  <c r="N199" i="20"/>
  <c r="J200" i="20"/>
  <c r="K200" i="20" s="1"/>
  <c r="L200" i="20"/>
  <c r="M200" i="20"/>
  <c r="N200" i="20"/>
  <c r="J201" i="20"/>
  <c r="K201" i="20" s="1"/>
  <c r="L201" i="20"/>
  <c r="M201" i="20"/>
  <c r="N201" i="20"/>
  <c r="J202" i="20"/>
  <c r="K202" i="20" s="1"/>
  <c r="L202" i="20"/>
  <c r="M202" i="20"/>
  <c r="N202" i="20"/>
  <c r="J203" i="20"/>
  <c r="L203" i="20"/>
  <c r="M203" i="20"/>
  <c r="N203" i="20"/>
  <c r="J204" i="20"/>
  <c r="K204" i="20" s="1"/>
  <c r="L204" i="20"/>
  <c r="M204" i="20"/>
  <c r="N204" i="20"/>
  <c r="J205" i="20"/>
  <c r="K205" i="20" s="1"/>
  <c r="L205" i="20"/>
  <c r="M205" i="20"/>
  <c r="N205" i="20"/>
  <c r="F5" i="19"/>
  <c r="U7" i="19" s="1"/>
  <c r="F15" i="19"/>
  <c r="F6" i="19"/>
  <c r="V6" i="19" s="1"/>
  <c r="V91" i="19"/>
  <c r="U100" i="19"/>
  <c r="U108" i="19"/>
  <c r="V111" i="19"/>
  <c r="U112" i="19"/>
  <c r="V119" i="19"/>
  <c r="V122" i="19"/>
  <c r="V123" i="19"/>
  <c r="R126" i="19"/>
  <c r="S126" i="19" s="1"/>
  <c r="T126" i="19" s="1"/>
  <c r="U126" i="19"/>
  <c r="V126" i="19"/>
  <c r="R127" i="19"/>
  <c r="S127" i="19" s="1"/>
  <c r="T127" i="19" s="1"/>
  <c r="U127" i="19"/>
  <c r="V127" i="19"/>
  <c r="R128" i="19"/>
  <c r="S128" i="19" s="1"/>
  <c r="T128" i="19" s="1"/>
  <c r="U128" i="19"/>
  <c r="V128" i="19"/>
  <c r="R129" i="19"/>
  <c r="S129" i="19" s="1"/>
  <c r="T129" i="19" s="1"/>
  <c r="U129" i="19"/>
  <c r="V129" i="19"/>
  <c r="R130" i="19"/>
  <c r="S130" i="19" s="1"/>
  <c r="T130" i="19" s="1"/>
  <c r="U130" i="19"/>
  <c r="V130" i="19"/>
  <c r="R131" i="19"/>
  <c r="S131" i="19" s="1"/>
  <c r="T131" i="19" s="1"/>
  <c r="U131" i="19"/>
  <c r="V131" i="19"/>
  <c r="R132" i="19"/>
  <c r="S132" i="19" s="1"/>
  <c r="U132" i="19"/>
  <c r="V132" i="19"/>
  <c r="R133" i="19"/>
  <c r="S133" i="19" s="1"/>
  <c r="T133" i="19" s="1"/>
  <c r="U133" i="19"/>
  <c r="V133" i="19"/>
  <c r="R134" i="19"/>
  <c r="S134" i="19" s="1"/>
  <c r="T134" i="19" s="1"/>
  <c r="U134" i="19"/>
  <c r="V134" i="19"/>
  <c r="R135" i="19"/>
  <c r="S135" i="19" s="1"/>
  <c r="T135" i="19" s="1"/>
  <c r="U135" i="19"/>
  <c r="V135" i="19"/>
  <c r="R136" i="19"/>
  <c r="S136" i="19" s="1"/>
  <c r="T136" i="19" s="1"/>
  <c r="U136" i="19"/>
  <c r="V136" i="19"/>
  <c r="R137" i="19"/>
  <c r="S137" i="19" s="1"/>
  <c r="T137" i="19" s="1"/>
  <c r="U137" i="19"/>
  <c r="V137" i="19"/>
  <c r="R138" i="19"/>
  <c r="S138" i="19" s="1"/>
  <c r="T138" i="19" s="1"/>
  <c r="U138" i="19"/>
  <c r="V138" i="19"/>
  <c r="R139" i="19"/>
  <c r="S139" i="19" s="1"/>
  <c r="T139" i="19" s="1"/>
  <c r="U139" i="19"/>
  <c r="V139" i="19"/>
  <c r="R140" i="19"/>
  <c r="S140" i="19" s="1"/>
  <c r="T140" i="19" s="1"/>
  <c r="U140" i="19"/>
  <c r="V140" i="19"/>
  <c r="R141" i="19"/>
  <c r="S141" i="19" s="1"/>
  <c r="T141" i="19" s="1"/>
  <c r="U141" i="19"/>
  <c r="V141" i="19"/>
  <c r="R142" i="19"/>
  <c r="S142" i="19" s="1"/>
  <c r="T142" i="19" s="1"/>
  <c r="U142" i="19"/>
  <c r="V142" i="19"/>
  <c r="R143" i="19"/>
  <c r="S143" i="19" s="1"/>
  <c r="T143" i="19" s="1"/>
  <c r="U143" i="19"/>
  <c r="V143" i="19"/>
  <c r="R144" i="19"/>
  <c r="S144" i="19" s="1"/>
  <c r="T144" i="19" s="1"/>
  <c r="U144" i="19"/>
  <c r="V144" i="19"/>
  <c r="R145" i="19"/>
  <c r="S145" i="19" s="1"/>
  <c r="T145" i="19" s="1"/>
  <c r="U145" i="19"/>
  <c r="V145" i="19"/>
  <c r="R146" i="19"/>
  <c r="S146" i="19" s="1"/>
  <c r="T146" i="19" s="1"/>
  <c r="U146" i="19"/>
  <c r="V146" i="19"/>
  <c r="R147" i="19"/>
  <c r="S147" i="19" s="1"/>
  <c r="T147" i="19" s="1"/>
  <c r="U147" i="19"/>
  <c r="V147" i="19"/>
  <c r="R148" i="19"/>
  <c r="S148" i="19" s="1"/>
  <c r="T148" i="19" s="1"/>
  <c r="U148" i="19"/>
  <c r="V148" i="19"/>
  <c r="R149" i="19"/>
  <c r="S149" i="19" s="1"/>
  <c r="T149" i="19" s="1"/>
  <c r="U149" i="19"/>
  <c r="V149" i="19"/>
  <c r="R150" i="19"/>
  <c r="S150" i="19" s="1"/>
  <c r="T150" i="19" s="1"/>
  <c r="U150" i="19"/>
  <c r="V150" i="19"/>
  <c r="R151" i="19"/>
  <c r="S151" i="19" s="1"/>
  <c r="T151" i="19" s="1"/>
  <c r="U151" i="19"/>
  <c r="V151" i="19"/>
  <c r="R152" i="19"/>
  <c r="S152" i="19" s="1"/>
  <c r="T152" i="19" s="1"/>
  <c r="U152" i="19"/>
  <c r="V152" i="19"/>
  <c r="R153" i="19"/>
  <c r="S153" i="19" s="1"/>
  <c r="T153" i="19" s="1"/>
  <c r="U153" i="19"/>
  <c r="V153" i="19"/>
  <c r="R154" i="19"/>
  <c r="S154" i="19" s="1"/>
  <c r="T154" i="19" s="1"/>
  <c r="U154" i="19"/>
  <c r="V154" i="19"/>
  <c r="R155" i="19"/>
  <c r="S155" i="19" s="1"/>
  <c r="T155" i="19" s="1"/>
  <c r="U155" i="19"/>
  <c r="V155" i="19"/>
  <c r="R156" i="19"/>
  <c r="S156" i="19" s="1"/>
  <c r="T156" i="19" s="1"/>
  <c r="U156" i="19"/>
  <c r="V156" i="19"/>
  <c r="R157" i="19"/>
  <c r="S157" i="19" s="1"/>
  <c r="T157" i="19" s="1"/>
  <c r="U157" i="19"/>
  <c r="V157" i="19"/>
  <c r="R158" i="19"/>
  <c r="S158" i="19" s="1"/>
  <c r="T158" i="19" s="1"/>
  <c r="U158" i="19"/>
  <c r="V158" i="19"/>
  <c r="R159" i="19"/>
  <c r="S159" i="19" s="1"/>
  <c r="T159" i="19" s="1"/>
  <c r="U159" i="19"/>
  <c r="V159" i="19"/>
  <c r="R160" i="19"/>
  <c r="S160" i="19" s="1"/>
  <c r="T160" i="19" s="1"/>
  <c r="U160" i="19"/>
  <c r="V160" i="19"/>
  <c r="R161" i="19"/>
  <c r="S161" i="19" s="1"/>
  <c r="T161" i="19" s="1"/>
  <c r="U161" i="19"/>
  <c r="V161" i="19"/>
  <c r="R162" i="19"/>
  <c r="S162" i="19" s="1"/>
  <c r="T162" i="19" s="1"/>
  <c r="U162" i="19"/>
  <c r="V162" i="19"/>
  <c r="R163" i="19"/>
  <c r="S163" i="19" s="1"/>
  <c r="T163" i="19" s="1"/>
  <c r="U163" i="19"/>
  <c r="V163" i="19"/>
  <c r="R164" i="19"/>
  <c r="S164" i="19" s="1"/>
  <c r="T164" i="19" s="1"/>
  <c r="U164" i="19"/>
  <c r="V164" i="19"/>
  <c r="R165" i="19"/>
  <c r="S165" i="19" s="1"/>
  <c r="T165" i="19" s="1"/>
  <c r="U165" i="19"/>
  <c r="V165" i="19"/>
  <c r="R166" i="19"/>
  <c r="S166" i="19" s="1"/>
  <c r="T166" i="19" s="1"/>
  <c r="U166" i="19"/>
  <c r="V166" i="19"/>
  <c r="R167" i="19"/>
  <c r="S167" i="19" s="1"/>
  <c r="T167" i="19" s="1"/>
  <c r="U167" i="19"/>
  <c r="V167" i="19"/>
  <c r="R168" i="19"/>
  <c r="S168" i="19" s="1"/>
  <c r="T168" i="19" s="1"/>
  <c r="U168" i="19"/>
  <c r="V168" i="19"/>
  <c r="R169" i="19"/>
  <c r="S169" i="19" s="1"/>
  <c r="T169" i="19" s="1"/>
  <c r="U169" i="19"/>
  <c r="V169" i="19"/>
  <c r="R170" i="19"/>
  <c r="S170" i="19" s="1"/>
  <c r="T170" i="19" s="1"/>
  <c r="U170" i="19"/>
  <c r="V170" i="19"/>
  <c r="R171" i="19"/>
  <c r="S171" i="19" s="1"/>
  <c r="T171" i="19" s="1"/>
  <c r="U171" i="19"/>
  <c r="V171" i="19"/>
  <c r="R172" i="19"/>
  <c r="S172" i="19" s="1"/>
  <c r="T172" i="19" s="1"/>
  <c r="U172" i="19"/>
  <c r="V172" i="19"/>
  <c r="R173" i="19"/>
  <c r="S173" i="19" s="1"/>
  <c r="T173" i="19" s="1"/>
  <c r="U173" i="19"/>
  <c r="V173" i="19"/>
  <c r="R174" i="19"/>
  <c r="S174" i="19" s="1"/>
  <c r="T174" i="19" s="1"/>
  <c r="U174" i="19"/>
  <c r="V174" i="19"/>
  <c r="R175" i="19"/>
  <c r="S175" i="19" s="1"/>
  <c r="T175" i="19" s="1"/>
  <c r="U175" i="19"/>
  <c r="V175" i="19"/>
  <c r="R176" i="19"/>
  <c r="S176" i="19" s="1"/>
  <c r="T176" i="19" s="1"/>
  <c r="U176" i="19"/>
  <c r="V176" i="19"/>
  <c r="R177" i="19"/>
  <c r="S177" i="19" s="1"/>
  <c r="T177" i="19" s="1"/>
  <c r="U177" i="19"/>
  <c r="V177" i="19"/>
  <c r="R178" i="19"/>
  <c r="S178" i="19" s="1"/>
  <c r="T178" i="19" s="1"/>
  <c r="U178" i="19"/>
  <c r="V178" i="19"/>
  <c r="R179" i="19"/>
  <c r="S179" i="19" s="1"/>
  <c r="T179" i="19" s="1"/>
  <c r="U179" i="19"/>
  <c r="V179" i="19"/>
  <c r="R180" i="19"/>
  <c r="S180" i="19" s="1"/>
  <c r="U180" i="19"/>
  <c r="V180" i="19"/>
  <c r="R181" i="19"/>
  <c r="S181" i="19" s="1"/>
  <c r="T181" i="19" s="1"/>
  <c r="U181" i="19"/>
  <c r="V181" i="19"/>
  <c r="R182" i="19"/>
  <c r="S182" i="19" s="1"/>
  <c r="T182" i="19" s="1"/>
  <c r="U182" i="19"/>
  <c r="V182" i="19"/>
  <c r="R183" i="19"/>
  <c r="S183" i="19" s="1"/>
  <c r="T183" i="19" s="1"/>
  <c r="U183" i="19"/>
  <c r="V183" i="19"/>
  <c r="R184" i="19"/>
  <c r="S184" i="19" s="1"/>
  <c r="T184" i="19" s="1"/>
  <c r="U184" i="19"/>
  <c r="V184" i="19"/>
  <c r="R185" i="19"/>
  <c r="S185" i="19" s="1"/>
  <c r="T185" i="19" s="1"/>
  <c r="U185" i="19"/>
  <c r="V185" i="19"/>
  <c r="R186" i="19"/>
  <c r="S186" i="19" s="1"/>
  <c r="T186" i="19" s="1"/>
  <c r="U186" i="19"/>
  <c r="V186" i="19"/>
  <c r="R187" i="19"/>
  <c r="S187" i="19" s="1"/>
  <c r="T187" i="19" s="1"/>
  <c r="U187" i="19"/>
  <c r="V187" i="19"/>
  <c r="R188" i="19"/>
  <c r="S188" i="19" s="1"/>
  <c r="T188" i="19" s="1"/>
  <c r="U188" i="19"/>
  <c r="V188" i="19"/>
  <c r="R189" i="19"/>
  <c r="S189" i="19" s="1"/>
  <c r="T189" i="19" s="1"/>
  <c r="U189" i="19"/>
  <c r="V189" i="19"/>
  <c r="R190" i="19"/>
  <c r="S190" i="19" s="1"/>
  <c r="T190" i="19" s="1"/>
  <c r="U190" i="19"/>
  <c r="V190" i="19"/>
  <c r="R191" i="19"/>
  <c r="S191" i="19" s="1"/>
  <c r="T191" i="19" s="1"/>
  <c r="U191" i="19"/>
  <c r="V191" i="19"/>
  <c r="R192" i="19"/>
  <c r="S192" i="19" s="1"/>
  <c r="U192" i="19"/>
  <c r="V192" i="19"/>
  <c r="R193" i="19"/>
  <c r="S193" i="19" s="1"/>
  <c r="T193" i="19" s="1"/>
  <c r="U193" i="19"/>
  <c r="V193" i="19"/>
  <c r="R194" i="19"/>
  <c r="S194" i="19" s="1"/>
  <c r="T194" i="19" s="1"/>
  <c r="U194" i="19"/>
  <c r="V194" i="19"/>
  <c r="R195" i="19"/>
  <c r="S195" i="19" s="1"/>
  <c r="T195" i="19" s="1"/>
  <c r="U195" i="19"/>
  <c r="V195" i="19"/>
  <c r="R196" i="19"/>
  <c r="S196" i="19" s="1"/>
  <c r="T196" i="19" s="1"/>
  <c r="U196" i="19"/>
  <c r="V196" i="19"/>
  <c r="R197" i="19"/>
  <c r="S197" i="19" s="1"/>
  <c r="T197" i="19" s="1"/>
  <c r="U197" i="19"/>
  <c r="V197" i="19"/>
  <c r="R198" i="19"/>
  <c r="S198" i="19" s="1"/>
  <c r="T198" i="19" s="1"/>
  <c r="U198" i="19"/>
  <c r="V198" i="19"/>
  <c r="R199" i="19"/>
  <c r="S199" i="19" s="1"/>
  <c r="T199" i="19" s="1"/>
  <c r="U199" i="19"/>
  <c r="V199" i="19"/>
  <c r="R200" i="19"/>
  <c r="S200" i="19" s="1"/>
  <c r="T200" i="19" s="1"/>
  <c r="U200" i="19"/>
  <c r="V200" i="19"/>
  <c r="R201" i="19"/>
  <c r="S201" i="19" s="1"/>
  <c r="T201" i="19" s="1"/>
  <c r="U201" i="19"/>
  <c r="V201" i="19"/>
  <c r="R202" i="19"/>
  <c r="S202" i="19" s="1"/>
  <c r="T202" i="19" s="1"/>
  <c r="U202" i="19"/>
  <c r="V202" i="19"/>
  <c r="R203" i="19"/>
  <c r="S203" i="19" s="1"/>
  <c r="T203" i="19" s="1"/>
  <c r="U203" i="19"/>
  <c r="V203" i="19"/>
  <c r="R204" i="19"/>
  <c r="S204" i="19" s="1"/>
  <c r="T204" i="19" s="1"/>
  <c r="U204" i="19"/>
  <c r="V204" i="19"/>
  <c r="R205" i="19"/>
  <c r="S205" i="19" s="1"/>
  <c r="T205" i="19" s="1"/>
  <c r="U205" i="19"/>
  <c r="V205" i="19"/>
  <c r="F8" i="19"/>
  <c r="F9" i="19"/>
  <c r="N6" i="19"/>
  <c r="N7" i="19"/>
  <c r="N8" i="19"/>
  <c r="N9" i="19"/>
  <c r="N10" i="19"/>
  <c r="N11" i="19"/>
  <c r="N12" i="19"/>
  <c r="N13" i="19"/>
  <c r="N14" i="19"/>
  <c r="N15" i="19"/>
  <c r="N16" i="19"/>
  <c r="N17" i="19"/>
  <c r="N18" i="19"/>
  <c r="N19" i="19"/>
  <c r="N20" i="19"/>
  <c r="N21" i="19"/>
  <c r="N22" i="19"/>
  <c r="N23" i="19"/>
  <c r="N24" i="19"/>
  <c r="N25" i="19"/>
  <c r="N26" i="19"/>
  <c r="N27" i="19"/>
  <c r="N28" i="19"/>
  <c r="N29" i="19"/>
  <c r="N30" i="19"/>
  <c r="N31" i="19"/>
  <c r="N32" i="19"/>
  <c r="N33" i="19"/>
  <c r="N34" i="19"/>
  <c r="N35" i="19"/>
  <c r="N36" i="19"/>
  <c r="N37" i="19"/>
  <c r="N38" i="19"/>
  <c r="N39" i="19"/>
  <c r="N40" i="19"/>
  <c r="N41" i="19"/>
  <c r="N42" i="19"/>
  <c r="N43" i="19"/>
  <c r="N44" i="19"/>
  <c r="N45" i="19"/>
  <c r="N46" i="19"/>
  <c r="N47" i="19"/>
  <c r="N48" i="19"/>
  <c r="N49" i="19"/>
  <c r="N50" i="19"/>
  <c r="N51" i="19"/>
  <c r="N52" i="19"/>
  <c r="N53" i="19"/>
  <c r="N54" i="19"/>
  <c r="N55" i="19"/>
  <c r="N56" i="19"/>
  <c r="N57" i="19"/>
  <c r="N58" i="19"/>
  <c r="N59" i="19"/>
  <c r="N60" i="19"/>
  <c r="N61" i="19"/>
  <c r="N62" i="19"/>
  <c r="N63" i="19"/>
  <c r="N64" i="19"/>
  <c r="N65" i="19"/>
  <c r="N66" i="19"/>
  <c r="N67" i="19"/>
  <c r="N68" i="19"/>
  <c r="N69" i="19"/>
  <c r="N70" i="19"/>
  <c r="N71" i="19"/>
  <c r="N72" i="19"/>
  <c r="N73" i="19"/>
  <c r="N74" i="19"/>
  <c r="N75" i="19"/>
  <c r="N76" i="19"/>
  <c r="N77" i="19"/>
  <c r="N78" i="19"/>
  <c r="N79" i="19"/>
  <c r="N80" i="19"/>
  <c r="N81" i="19"/>
  <c r="N82" i="19"/>
  <c r="N83" i="19"/>
  <c r="N84" i="19"/>
  <c r="N85" i="19"/>
  <c r="N86" i="19"/>
  <c r="N87" i="19"/>
  <c r="N88" i="19"/>
  <c r="N89" i="19"/>
  <c r="N90" i="19"/>
  <c r="N91" i="19"/>
  <c r="N92" i="19"/>
  <c r="N93" i="19"/>
  <c r="N94" i="19"/>
  <c r="N95" i="19"/>
  <c r="N96" i="19"/>
  <c r="N97" i="19"/>
  <c r="N98" i="19"/>
  <c r="N99" i="19"/>
  <c r="N100" i="19"/>
  <c r="N101" i="19"/>
  <c r="M102" i="19"/>
  <c r="N102" i="19"/>
  <c r="N103" i="19"/>
  <c r="N104" i="19"/>
  <c r="N105" i="19"/>
  <c r="N106" i="19"/>
  <c r="N107" i="19"/>
  <c r="M108" i="19"/>
  <c r="N108" i="19"/>
  <c r="N109" i="19"/>
  <c r="N110" i="19"/>
  <c r="N111" i="19"/>
  <c r="N112" i="19"/>
  <c r="N113" i="19"/>
  <c r="N114" i="19"/>
  <c r="N115" i="19"/>
  <c r="N116" i="19"/>
  <c r="N117" i="19"/>
  <c r="N118" i="19"/>
  <c r="N119" i="19"/>
  <c r="N120" i="19"/>
  <c r="N121" i="19"/>
  <c r="N122" i="19"/>
  <c r="N123" i="19"/>
  <c r="N124" i="19"/>
  <c r="N125" i="19"/>
  <c r="N126" i="19"/>
  <c r="N127" i="19"/>
  <c r="N128" i="19"/>
  <c r="N129" i="19"/>
  <c r="N130" i="19"/>
  <c r="N131" i="19"/>
  <c r="M132" i="19"/>
  <c r="N132" i="19"/>
  <c r="N133" i="19"/>
  <c r="N134" i="19"/>
  <c r="N135" i="19"/>
  <c r="M136" i="19"/>
  <c r="N136" i="19"/>
  <c r="N137" i="19"/>
  <c r="N138" i="19"/>
  <c r="N139" i="19"/>
  <c r="N140" i="19"/>
  <c r="N141" i="19"/>
  <c r="N142" i="19"/>
  <c r="N143" i="19"/>
  <c r="N144" i="19"/>
  <c r="N145" i="19"/>
  <c r="N146" i="19"/>
  <c r="N147" i="19"/>
  <c r="M148" i="19"/>
  <c r="N148" i="19"/>
  <c r="N149" i="19"/>
  <c r="N150" i="19"/>
  <c r="N151" i="19"/>
  <c r="M152" i="19"/>
  <c r="N152" i="19"/>
  <c r="N153" i="19"/>
  <c r="N154" i="19"/>
  <c r="N155" i="19"/>
  <c r="N156" i="19"/>
  <c r="N157" i="19"/>
  <c r="N158" i="19"/>
  <c r="N159" i="19"/>
  <c r="N160" i="19"/>
  <c r="N161" i="19"/>
  <c r="N162" i="19"/>
  <c r="N163" i="19"/>
  <c r="M164" i="19"/>
  <c r="N164" i="19"/>
  <c r="N165" i="19"/>
  <c r="N166" i="19"/>
  <c r="N167" i="19"/>
  <c r="M168" i="19"/>
  <c r="N168" i="19"/>
  <c r="N169" i="19"/>
  <c r="N170" i="19"/>
  <c r="N171" i="19"/>
  <c r="N172" i="19"/>
  <c r="N173" i="19"/>
  <c r="N174" i="19"/>
  <c r="N175" i="19"/>
  <c r="N176" i="19"/>
  <c r="N177" i="19"/>
  <c r="N178" i="19"/>
  <c r="N179" i="19"/>
  <c r="M180" i="19"/>
  <c r="N180" i="19"/>
  <c r="N181" i="19"/>
  <c r="N182" i="19"/>
  <c r="N183" i="19"/>
  <c r="M184" i="19"/>
  <c r="N184" i="19"/>
  <c r="N185" i="19"/>
  <c r="N186" i="19"/>
  <c r="N187" i="19"/>
  <c r="N188" i="19"/>
  <c r="N189" i="19"/>
  <c r="N190" i="19"/>
  <c r="N191" i="19"/>
  <c r="N192" i="19"/>
  <c r="N193" i="19"/>
  <c r="N194" i="19"/>
  <c r="N195" i="19"/>
  <c r="M196" i="19"/>
  <c r="N196" i="19"/>
  <c r="N197" i="19"/>
  <c r="N198" i="19"/>
  <c r="N199" i="19"/>
  <c r="M200" i="19"/>
  <c r="N200" i="19"/>
  <c r="N201" i="19"/>
  <c r="N202" i="19"/>
  <c r="N203" i="19"/>
  <c r="N204" i="19"/>
  <c r="N205" i="19"/>
  <c r="F19" i="18"/>
  <c r="S5" i="18" s="1"/>
  <c r="T5" i="18" s="1"/>
  <c r="E25" i="18"/>
  <c r="F25" i="18" s="1"/>
  <c r="G25" i="18" s="1"/>
  <c r="E26" i="18"/>
  <c r="F26" i="18" s="1"/>
  <c r="E27" i="18"/>
  <c r="F27" i="18" s="1"/>
  <c r="E28" i="18"/>
  <c r="F28" i="18" s="1"/>
  <c r="E29" i="18"/>
  <c r="F29" i="18" s="1"/>
  <c r="E30" i="18"/>
  <c r="F30" i="18" s="1"/>
  <c r="E31" i="18"/>
  <c r="F31" i="18" s="1"/>
  <c r="E32" i="18"/>
  <c r="F32" i="18" s="1"/>
  <c r="E33" i="18"/>
  <c r="F33" i="18" s="1"/>
  <c r="E34" i="18"/>
  <c r="F34" i="18"/>
  <c r="E35" i="18"/>
  <c r="F35" i="18" s="1"/>
  <c r="E36" i="18"/>
  <c r="F36" i="18" s="1"/>
  <c r="E37" i="18"/>
  <c r="F37" i="18" s="1"/>
  <c r="E38" i="18"/>
  <c r="F38" i="18" s="1"/>
  <c r="E39" i="18"/>
  <c r="F39" i="18" s="1"/>
  <c r="E40" i="18"/>
  <c r="F40" i="18" s="1"/>
  <c r="E41" i="18"/>
  <c r="F41" i="18" s="1"/>
  <c r="E42" i="18"/>
  <c r="F42" i="18" s="1"/>
  <c r="G43" i="18" s="1"/>
  <c r="F5" i="18"/>
  <c r="U72" i="18" s="1"/>
  <c r="F15" i="18"/>
  <c r="U66" i="18" s="1"/>
  <c r="F6" i="18"/>
  <c r="V7" i="18" s="1"/>
  <c r="U50" i="18"/>
  <c r="V56" i="18"/>
  <c r="U59" i="18"/>
  <c r="V62" i="18"/>
  <c r="V63" i="18"/>
  <c r="U64" i="18"/>
  <c r="U67" i="18"/>
  <c r="V69" i="18"/>
  <c r="V71" i="18"/>
  <c r="V72" i="18"/>
  <c r="U74" i="18"/>
  <c r="U75" i="18"/>
  <c r="U76" i="18"/>
  <c r="V76" i="18"/>
  <c r="U77" i="18"/>
  <c r="V77" i="18"/>
  <c r="V78" i="18"/>
  <c r="U79" i="18"/>
  <c r="V79" i="18"/>
  <c r="U80" i="18"/>
  <c r="V80" i="18"/>
  <c r="U81" i="18"/>
  <c r="V81" i="18"/>
  <c r="V82" i="18"/>
  <c r="U83" i="18"/>
  <c r="V83" i="18"/>
  <c r="U84" i="18"/>
  <c r="V84" i="18"/>
  <c r="U85" i="18"/>
  <c r="V85" i="18"/>
  <c r="V86" i="18"/>
  <c r="U87" i="18"/>
  <c r="V87" i="18"/>
  <c r="U88" i="18"/>
  <c r="V88" i="18"/>
  <c r="U89" i="18"/>
  <c r="V89" i="18"/>
  <c r="U90" i="18"/>
  <c r="V90" i="18"/>
  <c r="U91" i="18"/>
  <c r="V91" i="18"/>
  <c r="U92" i="18"/>
  <c r="V92" i="18"/>
  <c r="U93" i="18"/>
  <c r="V93" i="18"/>
  <c r="U94" i="18"/>
  <c r="V94" i="18"/>
  <c r="U95" i="18"/>
  <c r="V95" i="18"/>
  <c r="U96" i="18"/>
  <c r="V96" i="18"/>
  <c r="U97" i="18"/>
  <c r="V97" i="18"/>
  <c r="U98" i="18"/>
  <c r="V98" i="18"/>
  <c r="U99" i="18"/>
  <c r="V99" i="18"/>
  <c r="U100" i="18"/>
  <c r="V100" i="18"/>
  <c r="U101" i="18"/>
  <c r="V101" i="18"/>
  <c r="U102" i="18"/>
  <c r="V102" i="18"/>
  <c r="U103" i="18"/>
  <c r="V103" i="18"/>
  <c r="U104" i="18"/>
  <c r="V104" i="18"/>
  <c r="U105" i="18"/>
  <c r="V105" i="18"/>
  <c r="U106" i="18"/>
  <c r="V106" i="18"/>
  <c r="U107" i="18"/>
  <c r="V107" i="18"/>
  <c r="U108" i="18"/>
  <c r="V108" i="18"/>
  <c r="U109" i="18"/>
  <c r="V109" i="18"/>
  <c r="U110" i="18"/>
  <c r="V110" i="18"/>
  <c r="U111" i="18"/>
  <c r="V111" i="18"/>
  <c r="U112" i="18"/>
  <c r="V112" i="18"/>
  <c r="U113" i="18"/>
  <c r="V113" i="18"/>
  <c r="U114" i="18"/>
  <c r="V114" i="18"/>
  <c r="U115" i="18"/>
  <c r="V115" i="18"/>
  <c r="U116" i="18"/>
  <c r="V116" i="18"/>
  <c r="U117" i="18"/>
  <c r="V117" i="18"/>
  <c r="U118" i="18"/>
  <c r="V118" i="18"/>
  <c r="U119" i="18"/>
  <c r="V119" i="18"/>
  <c r="U120" i="18"/>
  <c r="V120" i="18"/>
  <c r="U121" i="18"/>
  <c r="V121" i="18"/>
  <c r="U122" i="18"/>
  <c r="V122" i="18"/>
  <c r="U123" i="18"/>
  <c r="V123" i="18"/>
  <c r="U124" i="18"/>
  <c r="V124" i="18"/>
  <c r="U125" i="18"/>
  <c r="V125" i="18"/>
  <c r="U126" i="18"/>
  <c r="V126" i="18"/>
  <c r="U127" i="18"/>
  <c r="V127" i="18"/>
  <c r="U128" i="18"/>
  <c r="V128" i="18"/>
  <c r="U129" i="18"/>
  <c r="V129" i="18"/>
  <c r="U130" i="18"/>
  <c r="V130" i="18"/>
  <c r="U131" i="18"/>
  <c r="V131" i="18"/>
  <c r="U132" i="18"/>
  <c r="V132" i="18"/>
  <c r="U133" i="18"/>
  <c r="V133" i="18"/>
  <c r="U134" i="18"/>
  <c r="V134" i="18"/>
  <c r="U135" i="18"/>
  <c r="V135" i="18"/>
  <c r="U136" i="18"/>
  <c r="V136" i="18"/>
  <c r="U137" i="18"/>
  <c r="V137" i="18"/>
  <c r="U138" i="18"/>
  <c r="V138" i="18"/>
  <c r="U139" i="18"/>
  <c r="V139" i="18"/>
  <c r="U140" i="18"/>
  <c r="V140" i="18"/>
  <c r="U141" i="18"/>
  <c r="V141" i="18"/>
  <c r="U142" i="18"/>
  <c r="V142" i="18"/>
  <c r="U143" i="18"/>
  <c r="V143" i="18"/>
  <c r="U144" i="18"/>
  <c r="V144" i="18"/>
  <c r="U145" i="18"/>
  <c r="V145" i="18"/>
  <c r="U146" i="18"/>
  <c r="V146" i="18"/>
  <c r="U147" i="18"/>
  <c r="V147" i="18"/>
  <c r="U148" i="18"/>
  <c r="V148" i="18"/>
  <c r="U149" i="18"/>
  <c r="V149" i="18"/>
  <c r="U150" i="18"/>
  <c r="V150" i="18"/>
  <c r="U151" i="18"/>
  <c r="V151" i="18"/>
  <c r="U152" i="18"/>
  <c r="V152" i="18"/>
  <c r="U153" i="18"/>
  <c r="V153" i="18"/>
  <c r="U154" i="18"/>
  <c r="V154" i="18"/>
  <c r="U155" i="18"/>
  <c r="V155" i="18"/>
  <c r="U156" i="18"/>
  <c r="V156" i="18"/>
  <c r="U157" i="18"/>
  <c r="V157" i="18"/>
  <c r="U158" i="18"/>
  <c r="V158" i="18"/>
  <c r="U159" i="18"/>
  <c r="V159" i="18"/>
  <c r="U160" i="18"/>
  <c r="V160" i="18"/>
  <c r="U161" i="18"/>
  <c r="V161" i="18"/>
  <c r="U162" i="18"/>
  <c r="V162" i="18"/>
  <c r="U163" i="18"/>
  <c r="V163" i="18"/>
  <c r="U164" i="18"/>
  <c r="V164" i="18"/>
  <c r="U165" i="18"/>
  <c r="V165" i="18"/>
  <c r="U166" i="18"/>
  <c r="V166" i="18"/>
  <c r="U167" i="18"/>
  <c r="V167" i="18"/>
  <c r="U168" i="18"/>
  <c r="V168" i="18"/>
  <c r="U169" i="18"/>
  <c r="V169" i="18"/>
  <c r="U170" i="18"/>
  <c r="V170" i="18"/>
  <c r="U171" i="18"/>
  <c r="V171" i="18"/>
  <c r="U172" i="18"/>
  <c r="V172" i="18"/>
  <c r="U173" i="18"/>
  <c r="V173" i="18"/>
  <c r="U174" i="18"/>
  <c r="V174" i="18"/>
  <c r="U175" i="18"/>
  <c r="V175" i="18"/>
  <c r="U176" i="18"/>
  <c r="V176" i="18"/>
  <c r="U177" i="18"/>
  <c r="V177" i="18"/>
  <c r="U178" i="18"/>
  <c r="V178" i="18"/>
  <c r="U179" i="18"/>
  <c r="V179" i="18"/>
  <c r="U180" i="18"/>
  <c r="V180" i="18"/>
  <c r="U181" i="18"/>
  <c r="V181" i="18"/>
  <c r="U182" i="18"/>
  <c r="V182" i="18"/>
  <c r="U183" i="18"/>
  <c r="V183" i="18"/>
  <c r="U184" i="18"/>
  <c r="V184" i="18"/>
  <c r="U185" i="18"/>
  <c r="V185" i="18"/>
  <c r="U186" i="18"/>
  <c r="V186" i="18"/>
  <c r="U187" i="18"/>
  <c r="V187" i="18"/>
  <c r="U188" i="18"/>
  <c r="V188" i="18"/>
  <c r="U189" i="18"/>
  <c r="V189" i="18"/>
  <c r="U190" i="18"/>
  <c r="V190" i="18"/>
  <c r="U191" i="18"/>
  <c r="V191" i="18"/>
  <c r="U192" i="18"/>
  <c r="V192" i="18"/>
  <c r="U193" i="18"/>
  <c r="V193" i="18"/>
  <c r="U194" i="18"/>
  <c r="V194" i="18"/>
  <c r="U195" i="18"/>
  <c r="V195" i="18"/>
  <c r="U196" i="18"/>
  <c r="V196" i="18"/>
  <c r="U197" i="18"/>
  <c r="V197" i="18"/>
  <c r="U198" i="18"/>
  <c r="V198" i="18"/>
  <c r="U199" i="18"/>
  <c r="V199" i="18"/>
  <c r="U200" i="18"/>
  <c r="V200" i="18"/>
  <c r="U201" i="18"/>
  <c r="V201" i="18"/>
  <c r="U202" i="18"/>
  <c r="V202" i="18"/>
  <c r="U203" i="18"/>
  <c r="V203" i="18"/>
  <c r="U204" i="18"/>
  <c r="V204" i="18"/>
  <c r="U205" i="18"/>
  <c r="V205" i="18"/>
  <c r="F10" i="18"/>
  <c r="F11" i="18"/>
  <c r="F13" i="18"/>
  <c r="F8" i="18"/>
  <c r="F9" i="18"/>
  <c r="N6" i="18"/>
  <c r="N7" i="18"/>
  <c r="N8" i="18"/>
  <c r="N9" i="18"/>
  <c r="N10" i="18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1" i="18"/>
  <c r="N32" i="18"/>
  <c r="N33" i="18"/>
  <c r="N34" i="18"/>
  <c r="N35" i="18"/>
  <c r="N36" i="18"/>
  <c r="N37" i="18"/>
  <c r="N38" i="18"/>
  <c r="N39" i="18"/>
  <c r="N40" i="18"/>
  <c r="N41" i="18"/>
  <c r="N42" i="18"/>
  <c r="N43" i="18"/>
  <c r="N44" i="18"/>
  <c r="N45" i="18"/>
  <c r="N46" i="18"/>
  <c r="N47" i="18"/>
  <c r="N48" i="18"/>
  <c r="N49" i="18"/>
  <c r="N50" i="18"/>
  <c r="N51" i="18"/>
  <c r="N52" i="18"/>
  <c r="N53" i="18"/>
  <c r="N54" i="18"/>
  <c r="N55" i="18"/>
  <c r="N56" i="18"/>
  <c r="N57" i="18"/>
  <c r="N58" i="18"/>
  <c r="N59" i="18"/>
  <c r="N60" i="18"/>
  <c r="N61" i="18"/>
  <c r="N62" i="18"/>
  <c r="N63" i="18"/>
  <c r="N64" i="18"/>
  <c r="N65" i="18"/>
  <c r="N66" i="18"/>
  <c r="N67" i="18"/>
  <c r="N68" i="18"/>
  <c r="N69" i="18"/>
  <c r="N70" i="18"/>
  <c r="N71" i="18"/>
  <c r="N72" i="18"/>
  <c r="N73" i="18"/>
  <c r="N74" i="18"/>
  <c r="N75" i="18"/>
  <c r="N76" i="18"/>
  <c r="N77" i="18"/>
  <c r="N78" i="18"/>
  <c r="N79" i="18"/>
  <c r="N80" i="18"/>
  <c r="N81" i="18"/>
  <c r="N82" i="18"/>
  <c r="N83" i="18"/>
  <c r="N84" i="18"/>
  <c r="N85" i="18"/>
  <c r="N86" i="18"/>
  <c r="N87" i="18"/>
  <c r="N88" i="18"/>
  <c r="N89" i="18"/>
  <c r="N90" i="18"/>
  <c r="N91" i="18"/>
  <c r="N92" i="18"/>
  <c r="N93" i="18"/>
  <c r="N94" i="18"/>
  <c r="N95" i="18"/>
  <c r="N96" i="18"/>
  <c r="N97" i="18"/>
  <c r="N98" i="18"/>
  <c r="N99" i="18"/>
  <c r="N100" i="18"/>
  <c r="N101" i="18"/>
  <c r="N102" i="18"/>
  <c r="N103" i="18"/>
  <c r="N104" i="18"/>
  <c r="N105" i="18"/>
  <c r="N106" i="18"/>
  <c r="N107" i="18"/>
  <c r="N108" i="18"/>
  <c r="N109" i="18"/>
  <c r="N110" i="18"/>
  <c r="N111" i="18"/>
  <c r="N112" i="18"/>
  <c r="N113" i="18"/>
  <c r="N114" i="18"/>
  <c r="N115" i="18"/>
  <c r="N116" i="18"/>
  <c r="N117" i="18"/>
  <c r="N118" i="18"/>
  <c r="N119" i="18"/>
  <c r="N120" i="18"/>
  <c r="N121" i="18"/>
  <c r="N122" i="18"/>
  <c r="N123" i="18"/>
  <c r="N124" i="18"/>
  <c r="N125" i="18"/>
  <c r="N126" i="18"/>
  <c r="N127" i="18"/>
  <c r="N128" i="18"/>
  <c r="N129" i="18"/>
  <c r="N130" i="18"/>
  <c r="N131" i="18"/>
  <c r="N132" i="18"/>
  <c r="N133" i="18"/>
  <c r="N134" i="18"/>
  <c r="N135" i="18"/>
  <c r="N136" i="18"/>
  <c r="N137" i="18"/>
  <c r="N138" i="18"/>
  <c r="N139" i="18"/>
  <c r="N140" i="18"/>
  <c r="N141" i="18"/>
  <c r="N142" i="18"/>
  <c r="N143" i="18"/>
  <c r="N144" i="18"/>
  <c r="N145" i="18"/>
  <c r="N146" i="18"/>
  <c r="N147" i="18"/>
  <c r="N148" i="18"/>
  <c r="N149" i="18"/>
  <c r="N150" i="18"/>
  <c r="N151" i="18"/>
  <c r="N152" i="18"/>
  <c r="N153" i="18"/>
  <c r="N154" i="18"/>
  <c r="N155" i="18"/>
  <c r="N156" i="18"/>
  <c r="N157" i="18"/>
  <c r="N158" i="18"/>
  <c r="N159" i="18"/>
  <c r="N160" i="18"/>
  <c r="N161" i="18"/>
  <c r="N162" i="18"/>
  <c r="N163" i="18"/>
  <c r="N164" i="18"/>
  <c r="N165" i="18"/>
  <c r="N166" i="18"/>
  <c r="N167" i="18"/>
  <c r="N168" i="18"/>
  <c r="N169" i="18"/>
  <c r="N170" i="18"/>
  <c r="N171" i="18"/>
  <c r="N172" i="18"/>
  <c r="N173" i="18"/>
  <c r="N174" i="18"/>
  <c r="N175" i="18"/>
  <c r="N176" i="18"/>
  <c r="N177" i="18"/>
  <c r="N178" i="18"/>
  <c r="N179" i="18"/>
  <c r="N180" i="18"/>
  <c r="N181" i="18"/>
  <c r="N182" i="18"/>
  <c r="N183" i="18"/>
  <c r="N184" i="18"/>
  <c r="N185" i="18"/>
  <c r="N186" i="18"/>
  <c r="N187" i="18"/>
  <c r="N188" i="18"/>
  <c r="N189" i="18"/>
  <c r="N190" i="18"/>
  <c r="N191" i="18"/>
  <c r="N192" i="18"/>
  <c r="N193" i="18"/>
  <c r="N194" i="18"/>
  <c r="N195" i="18"/>
  <c r="N196" i="18"/>
  <c r="N197" i="18"/>
  <c r="N198" i="18"/>
  <c r="N199" i="18"/>
  <c r="N200" i="18"/>
  <c r="N201" i="18"/>
  <c r="N202" i="18"/>
  <c r="N203" i="18"/>
  <c r="N204" i="18"/>
  <c r="N205" i="18"/>
  <c r="F19" i="13"/>
  <c r="S5" i="13" s="1"/>
  <c r="T5" i="13" s="1"/>
  <c r="E25" i="13"/>
  <c r="F25" i="13" s="1"/>
  <c r="G25" i="13" s="1"/>
  <c r="E26" i="13"/>
  <c r="F26" i="13" s="1"/>
  <c r="E27" i="13"/>
  <c r="F27" i="13" s="1"/>
  <c r="E28" i="13"/>
  <c r="F28" i="13" s="1"/>
  <c r="E29" i="13"/>
  <c r="F29" i="13" s="1"/>
  <c r="E30" i="13"/>
  <c r="F30" i="13" s="1"/>
  <c r="E31" i="13"/>
  <c r="F31" i="13" s="1"/>
  <c r="E32" i="13"/>
  <c r="F32" i="13" s="1"/>
  <c r="E33" i="13"/>
  <c r="F33" i="13" s="1"/>
  <c r="E34" i="13"/>
  <c r="F34" i="13" s="1"/>
  <c r="E35" i="13"/>
  <c r="F35" i="13" s="1"/>
  <c r="E36" i="13"/>
  <c r="F36" i="13" s="1"/>
  <c r="E37" i="13"/>
  <c r="F37" i="13" s="1"/>
  <c r="E38" i="13"/>
  <c r="F38" i="13" s="1"/>
  <c r="E39" i="13"/>
  <c r="F39" i="13" s="1"/>
  <c r="E40" i="13"/>
  <c r="F40" i="13" s="1"/>
  <c r="E41" i="13"/>
  <c r="F41" i="13" s="1"/>
  <c r="E42" i="13"/>
  <c r="F42" i="13" s="1"/>
  <c r="E43" i="13"/>
  <c r="F43" i="13" s="1"/>
  <c r="E44" i="13"/>
  <c r="F44" i="13" s="1"/>
  <c r="E45" i="13"/>
  <c r="F45" i="13" s="1"/>
  <c r="E46" i="13"/>
  <c r="F46" i="13" s="1"/>
  <c r="E47" i="13"/>
  <c r="F47" i="13" s="1"/>
  <c r="G48" i="13" s="1"/>
  <c r="F5" i="13"/>
  <c r="U8" i="13" s="1"/>
  <c r="F15" i="13"/>
  <c r="F6" i="13"/>
  <c r="V9" i="13" s="1"/>
  <c r="U107" i="13"/>
  <c r="U110" i="13"/>
  <c r="U119" i="13"/>
  <c r="U123" i="13"/>
  <c r="U126" i="13"/>
  <c r="U135" i="13"/>
  <c r="V138" i="13"/>
  <c r="U139" i="13"/>
  <c r="V142" i="13"/>
  <c r="V143" i="13"/>
  <c r="V144" i="13"/>
  <c r="V147" i="13"/>
  <c r="U149" i="13"/>
  <c r="V149" i="13"/>
  <c r="U152" i="13"/>
  <c r="U153" i="13"/>
  <c r="V153" i="13"/>
  <c r="U156" i="13"/>
  <c r="V156" i="13"/>
  <c r="U157" i="13"/>
  <c r="V157" i="13"/>
  <c r="U158" i="13"/>
  <c r="V158" i="13"/>
  <c r="U159" i="13"/>
  <c r="V159" i="13"/>
  <c r="U160" i="13"/>
  <c r="V160" i="13"/>
  <c r="U161" i="13"/>
  <c r="V161" i="13"/>
  <c r="U162" i="13"/>
  <c r="V162" i="13"/>
  <c r="U163" i="13"/>
  <c r="V163" i="13"/>
  <c r="U164" i="13"/>
  <c r="V164" i="13"/>
  <c r="U165" i="13"/>
  <c r="V165" i="13"/>
  <c r="R166" i="13"/>
  <c r="U166" i="13"/>
  <c r="V166" i="13"/>
  <c r="R167" i="13"/>
  <c r="U167" i="13"/>
  <c r="V167" i="13"/>
  <c r="R168" i="13"/>
  <c r="U168" i="13"/>
  <c r="V168" i="13"/>
  <c r="R169" i="13"/>
  <c r="U169" i="13"/>
  <c r="V169" i="13"/>
  <c r="R170" i="13"/>
  <c r="U170" i="13"/>
  <c r="V170" i="13"/>
  <c r="R171" i="13"/>
  <c r="U171" i="13"/>
  <c r="V171" i="13"/>
  <c r="R172" i="13"/>
  <c r="U172" i="13"/>
  <c r="V172" i="13"/>
  <c r="R173" i="13"/>
  <c r="U173" i="13"/>
  <c r="V173" i="13"/>
  <c r="R174" i="13"/>
  <c r="U174" i="13"/>
  <c r="V174" i="13"/>
  <c r="R175" i="13"/>
  <c r="U175" i="13"/>
  <c r="V175" i="13"/>
  <c r="R176" i="13"/>
  <c r="U176" i="13"/>
  <c r="V176" i="13"/>
  <c r="R177" i="13"/>
  <c r="U177" i="13"/>
  <c r="V177" i="13"/>
  <c r="R178" i="13"/>
  <c r="U178" i="13"/>
  <c r="V178" i="13"/>
  <c r="R179" i="13"/>
  <c r="U179" i="13"/>
  <c r="V179" i="13"/>
  <c r="R180" i="13"/>
  <c r="U180" i="13"/>
  <c r="V180" i="13"/>
  <c r="R181" i="13"/>
  <c r="U181" i="13"/>
  <c r="V181" i="13"/>
  <c r="R182" i="13"/>
  <c r="U182" i="13"/>
  <c r="V182" i="13"/>
  <c r="R183" i="13"/>
  <c r="U183" i="13"/>
  <c r="V183" i="13"/>
  <c r="R184" i="13"/>
  <c r="U184" i="13"/>
  <c r="V184" i="13"/>
  <c r="R185" i="13"/>
  <c r="U185" i="13"/>
  <c r="V185" i="13"/>
  <c r="R186" i="13"/>
  <c r="U186" i="13"/>
  <c r="V186" i="13"/>
  <c r="R187" i="13"/>
  <c r="U187" i="13"/>
  <c r="V187" i="13"/>
  <c r="R188" i="13"/>
  <c r="U188" i="13"/>
  <c r="V188" i="13"/>
  <c r="R189" i="13"/>
  <c r="U189" i="13"/>
  <c r="V189" i="13"/>
  <c r="R190" i="13"/>
  <c r="U190" i="13"/>
  <c r="V190" i="13"/>
  <c r="R191" i="13"/>
  <c r="U191" i="13"/>
  <c r="V191" i="13"/>
  <c r="R192" i="13"/>
  <c r="U192" i="13"/>
  <c r="V192" i="13"/>
  <c r="R193" i="13"/>
  <c r="U193" i="13"/>
  <c r="V193" i="13"/>
  <c r="R194" i="13"/>
  <c r="U194" i="13"/>
  <c r="V194" i="13"/>
  <c r="R195" i="13"/>
  <c r="U195" i="13"/>
  <c r="V195" i="13"/>
  <c r="R196" i="13"/>
  <c r="U196" i="13"/>
  <c r="V196" i="13"/>
  <c r="R197" i="13"/>
  <c r="U197" i="13"/>
  <c r="V197" i="13"/>
  <c r="R198" i="13"/>
  <c r="U198" i="13"/>
  <c r="V198" i="13"/>
  <c r="R199" i="13"/>
  <c r="U199" i="13"/>
  <c r="V199" i="13"/>
  <c r="R200" i="13"/>
  <c r="U200" i="13"/>
  <c r="V200" i="13"/>
  <c r="R201" i="13"/>
  <c r="U201" i="13"/>
  <c r="V201" i="13"/>
  <c r="R202" i="13"/>
  <c r="U202" i="13"/>
  <c r="V202" i="13"/>
  <c r="R203" i="13"/>
  <c r="U203" i="13"/>
  <c r="V203" i="13"/>
  <c r="R204" i="13"/>
  <c r="U204" i="13"/>
  <c r="V204" i="13"/>
  <c r="R205" i="13"/>
  <c r="U205" i="13"/>
  <c r="V205" i="13"/>
  <c r="F13" i="13"/>
  <c r="F8" i="13"/>
  <c r="F9" i="13"/>
  <c r="N6" i="13"/>
  <c r="N7" i="13"/>
  <c r="N8" i="13"/>
  <c r="N9" i="13"/>
  <c r="N10" i="13"/>
  <c r="N11" i="13"/>
  <c r="N12" i="13"/>
  <c r="N13" i="13"/>
  <c r="N14" i="13"/>
  <c r="N15" i="13"/>
  <c r="N16" i="13"/>
  <c r="N17" i="13"/>
  <c r="N18" i="13"/>
  <c r="N19" i="13"/>
  <c r="N20" i="13"/>
  <c r="N21" i="13"/>
  <c r="N22" i="13"/>
  <c r="N23" i="13"/>
  <c r="N24" i="13"/>
  <c r="N25" i="13"/>
  <c r="N26" i="13"/>
  <c r="N27" i="13"/>
  <c r="N28" i="13"/>
  <c r="N29" i="13"/>
  <c r="N30" i="13"/>
  <c r="N31" i="13"/>
  <c r="N32" i="13"/>
  <c r="N33" i="13"/>
  <c r="N34" i="13"/>
  <c r="N35" i="13"/>
  <c r="N36" i="13"/>
  <c r="N37" i="13"/>
  <c r="N38" i="13"/>
  <c r="N39" i="13"/>
  <c r="N40" i="13"/>
  <c r="N41" i="13"/>
  <c r="N42" i="13"/>
  <c r="N43" i="13"/>
  <c r="N44" i="13"/>
  <c r="N45" i="13"/>
  <c r="N46" i="13"/>
  <c r="N47" i="13"/>
  <c r="N48" i="13"/>
  <c r="N49" i="13"/>
  <c r="N50" i="13"/>
  <c r="N51" i="13"/>
  <c r="N52" i="13"/>
  <c r="N53" i="13"/>
  <c r="N54" i="13"/>
  <c r="N55" i="13"/>
  <c r="N56" i="13"/>
  <c r="N57" i="13"/>
  <c r="N58" i="13"/>
  <c r="N59" i="13"/>
  <c r="N60" i="13"/>
  <c r="N61" i="13"/>
  <c r="N62" i="13"/>
  <c r="N63" i="13"/>
  <c r="N64" i="13"/>
  <c r="N65" i="13"/>
  <c r="N66" i="13"/>
  <c r="N67" i="13"/>
  <c r="N68" i="13"/>
  <c r="N69" i="13"/>
  <c r="N70" i="13"/>
  <c r="N71" i="13"/>
  <c r="N72" i="13"/>
  <c r="N73" i="13"/>
  <c r="N74" i="13"/>
  <c r="N75" i="13"/>
  <c r="N76" i="13"/>
  <c r="N77" i="13"/>
  <c r="N78" i="13"/>
  <c r="N79" i="13"/>
  <c r="N80" i="13"/>
  <c r="N81" i="13"/>
  <c r="N82" i="13"/>
  <c r="N83" i="13"/>
  <c r="N84" i="13"/>
  <c r="N85" i="13"/>
  <c r="N86" i="13"/>
  <c r="N87" i="13"/>
  <c r="N88" i="13"/>
  <c r="N89" i="13"/>
  <c r="N90" i="13"/>
  <c r="N91" i="13"/>
  <c r="N92" i="13"/>
  <c r="N93" i="13"/>
  <c r="N94" i="13"/>
  <c r="N95" i="13"/>
  <c r="N96" i="13"/>
  <c r="N97" i="13"/>
  <c r="N98" i="13"/>
  <c r="N99" i="13"/>
  <c r="N100" i="13"/>
  <c r="N101" i="13"/>
  <c r="N102" i="13"/>
  <c r="N103" i="13"/>
  <c r="N104" i="13"/>
  <c r="N105" i="13"/>
  <c r="N106" i="13"/>
  <c r="N107" i="13"/>
  <c r="N108" i="13"/>
  <c r="N109" i="13"/>
  <c r="L110" i="13"/>
  <c r="N110" i="13"/>
  <c r="N111" i="13"/>
  <c r="N112" i="13"/>
  <c r="N113" i="13"/>
  <c r="N114" i="13"/>
  <c r="N115" i="13"/>
  <c r="N116" i="13"/>
  <c r="N117" i="13"/>
  <c r="N118" i="13"/>
  <c r="N119" i="13"/>
  <c r="L120" i="13"/>
  <c r="N120" i="13"/>
  <c r="N121" i="13"/>
  <c r="N122" i="13"/>
  <c r="N123" i="13"/>
  <c r="L124" i="13"/>
  <c r="N124" i="13"/>
  <c r="L125" i="13"/>
  <c r="N125" i="13"/>
  <c r="N126" i="13"/>
  <c r="N127" i="13"/>
  <c r="L128" i="13"/>
  <c r="N128" i="13"/>
  <c r="L129" i="13"/>
  <c r="N129" i="13"/>
  <c r="N130" i="13"/>
  <c r="N131" i="13"/>
  <c r="N132" i="13"/>
  <c r="N133" i="13"/>
  <c r="L134" i="13"/>
  <c r="N134" i="13"/>
  <c r="L135" i="13"/>
  <c r="N135" i="13"/>
  <c r="L136" i="13"/>
  <c r="N136" i="13"/>
  <c r="N137" i="13"/>
  <c r="L138" i="13"/>
  <c r="N138" i="13"/>
  <c r="L139" i="13"/>
  <c r="M139" i="13"/>
  <c r="N139" i="13"/>
  <c r="L140" i="13"/>
  <c r="N140" i="13"/>
  <c r="N141" i="13"/>
  <c r="N142" i="13"/>
  <c r="L143" i="13"/>
  <c r="N143" i="13"/>
  <c r="L144" i="13"/>
  <c r="N144" i="13"/>
  <c r="N145" i="13"/>
  <c r="N146" i="13"/>
  <c r="L147" i="13"/>
  <c r="N147" i="13"/>
  <c r="N148" i="13"/>
  <c r="L149" i="13"/>
  <c r="N149" i="13"/>
  <c r="L150" i="13"/>
  <c r="N150" i="13"/>
  <c r="L151" i="13"/>
  <c r="N151" i="13"/>
  <c r="N152" i="13"/>
  <c r="L153" i="13"/>
  <c r="N153" i="13"/>
  <c r="L154" i="13"/>
  <c r="N154" i="13"/>
  <c r="L155" i="13"/>
  <c r="N155" i="13"/>
  <c r="L156" i="13"/>
  <c r="M156" i="13"/>
  <c r="N156" i="13"/>
  <c r="L157" i="13"/>
  <c r="M157" i="13"/>
  <c r="N157" i="13"/>
  <c r="L158" i="13"/>
  <c r="M158" i="13"/>
  <c r="N158" i="13"/>
  <c r="L159" i="13"/>
  <c r="M159" i="13"/>
  <c r="N159" i="13"/>
  <c r="L160" i="13"/>
  <c r="M160" i="13"/>
  <c r="N160" i="13"/>
  <c r="L161" i="13"/>
  <c r="M161" i="13"/>
  <c r="N161" i="13"/>
  <c r="L162" i="13"/>
  <c r="M162" i="13"/>
  <c r="N162" i="13"/>
  <c r="L163" i="13"/>
  <c r="M163" i="13"/>
  <c r="N163" i="13"/>
  <c r="L164" i="13"/>
  <c r="M164" i="13"/>
  <c r="N164" i="13"/>
  <c r="L165" i="13"/>
  <c r="M165" i="13"/>
  <c r="N165" i="13"/>
  <c r="J166" i="13"/>
  <c r="L166" i="13"/>
  <c r="M166" i="13"/>
  <c r="N166" i="13"/>
  <c r="J167" i="13"/>
  <c r="L167" i="13"/>
  <c r="M167" i="13"/>
  <c r="N167" i="13"/>
  <c r="J168" i="13"/>
  <c r="L168" i="13"/>
  <c r="M168" i="13"/>
  <c r="N168" i="13"/>
  <c r="J169" i="13"/>
  <c r="L169" i="13"/>
  <c r="M169" i="13"/>
  <c r="N169" i="13"/>
  <c r="J170" i="13"/>
  <c r="L170" i="13"/>
  <c r="M170" i="13"/>
  <c r="N170" i="13"/>
  <c r="J171" i="13"/>
  <c r="L171" i="13"/>
  <c r="M171" i="13"/>
  <c r="N171" i="13"/>
  <c r="J172" i="13"/>
  <c r="L172" i="13"/>
  <c r="M172" i="13"/>
  <c r="N172" i="13"/>
  <c r="J173" i="13"/>
  <c r="L173" i="13"/>
  <c r="M173" i="13"/>
  <c r="N173" i="13"/>
  <c r="J174" i="13"/>
  <c r="L174" i="13"/>
  <c r="M174" i="13"/>
  <c r="N174" i="13"/>
  <c r="J175" i="13"/>
  <c r="L175" i="13"/>
  <c r="M175" i="13"/>
  <c r="N175" i="13"/>
  <c r="J176" i="13"/>
  <c r="L176" i="13"/>
  <c r="M176" i="13"/>
  <c r="N176" i="13"/>
  <c r="J177" i="13"/>
  <c r="L177" i="13"/>
  <c r="M177" i="13"/>
  <c r="N177" i="13"/>
  <c r="J178" i="13"/>
  <c r="L178" i="13"/>
  <c r="M178" i="13"/>
  <c r="N178" i="13"/>
  <c r="J179" i="13"/>
  <c r="L179" i="13"/>
  <c r="M179" i="13"/>
  <c r="N179" i="13"/>
  <c r="J180" i="13"/>
  <c r="L180" i="13"/>
  <c r="M180" i="13"/>
  <c r="N180" i="13"/>
  <c r="J181" i="13"/>
  <c r="L181" i="13"/>
  <c r="M181" i="13"/>
  <c r="N181" i="13"/>
  <c r="J182" i="13"/>
  <c r="L182" i="13"/>
  <c r="M182" i="13"/>
  <c r="N182" i="13"/>
  <c r="J183" i="13"/>
  <c r="L183" i="13"/>
  <c r="M183" i="13"/>
  <c r="N183" i="13"/>
  <c r="J184" i="13"/>
  <c r="L184" i="13"/>
  <c r="M184" i="13"/>
  <c r="N184" i="13"/>
  <c r="J185" i="13"/>
  <c r="L185" i="13"/>
  <c r="M185" i="13"/>
  <c r="N185" i="13"/>
  <c r="J186" i="13"/>
  <c r="L186" i="13"/>
  <c r="M186" i="13"/>
  <c r="N186" i="13"/>
  <c r="J187" i="13"/>
  <c r="L187" i="13"/>
  <c r="M187" i="13"/>
  <c r="N187" i="13"/>
  <c r="J188" i="13"/>
  <c r="L188" i="13"/>
  <c r="M188" i="13"/>
  <c r="N188" i="13"/>
  <c r="J189" i="13"/>
  <c r="L189" i="13"/>
  <c r="M189" i="13"/>
  <c r="N189" i="13"/>
  <c r="J190" i="13"/>
  <c r="L190" i="13"/>
  <c r="M190" i="13"/>
  <c r="N190" i="13"/>
  <c r="J191" i="13"/>
  <c r="L191" i="13"/>
  <c r="M191" i="13"/>
  <c r="N191" i="13"/>
  <c r="J192" i="13"/>
  <c r="L192" i="13"/>
  <c r="M192" i="13"/>
  <c r="N192" i="13"/>
  <c r="J193" i="13"/>
  <c r="L193" i="13"/>
  <c r="M193" i="13"/>
  <c r="N193" i="13"/>
  <c r="J194" i="13"/>
  <c r="L194" i="13"/>
  <c r="M194" i="13"/>
  <c r="N194" i="13"/>
  <c r="J195" i="13"/>
  <c r="L195" i="13"/>
  <c r="M195" i="13"/>
  <c r="N195" i="13"/>
  <c r="J196" i="13"/>
  <c r="L196" i="13"/>
  <c r="M196" i="13"/>
  <c r="N196" i="13"/>
  <c r="J197" i="13"/>
  <c r="L197" i="13"/>
  <c r="M197" i="13"/>
  <c r="N197" i="13"/>
  <c r="J198" i="13"/>
  <c r="L198" i="13"/>
  <c r="M198" i="13"/>
  <c r="N198" i="13"/>
  <c r="J199" i="13"/>
  <c r="L199" i="13"/>
  <c r="M199" i="13"/>
  <c r="N199" i="13"/>
  <c r="J200" i="13"/>
  <c r="L200" i="13"/>
  <c r="M200" i="13"/>
  <c r="N200" i="13"/>
  <c r="J201" i="13"/>
  <c r="L201" i="13"/>
  <c r="M201" i="13"/>
  <c r="N201" i="13"/>
  <c r="J202" i="13"/>
  <c r="L202" i="13"/>
  <c r="M202" i="13"/>
  <c r="N202" i="13"/>
  <c r="J203" i="13"/>
  <c r="L203" i="13"/>
  <c r="M203" i="13"/>
  <c r="N203" i="13"/>
  <c r="J204" i="13"/>
  <c r="L204" i="13"/>
  <c r="M204" i="13"/>
  <c r="N204" i="13"/>
  <c r="J205" i="13"/>
  <c r="L205" i="13"/>
  <c r="M205" i="13"/>
  <c r="N205" i="13"/>
  <c r="AL35" i="26"/>
  <c r="AL29" i="26"/>
  <c r="AL26" i="26"/>
  <c r="AL23" i="26"/>
  <c r="AP35" i="26"/>
  <c r="AN35" i="26"/>
  <c r="AM35" i="26"/>
  <c r="AP29" i="26"/>
  <c r="AO29" i="26"/>
  <c r="AN29" i="26"/>
  <c r="AM29" i="26"/>
  <c r="AP26" i="26"/>
  <c r="AO26" i="26"/>
  <c r="AN26" i="26"/>
  <c r="AM26" i="26"/>
  <c r="AP23" i="26"/>
  <c r="AO23" i="26"/>
  <c r="AN23" i="26"/>
  <c r="AM23" i="26"/>
  <c r="D101" i="27"/>
  <c r="E101" i="27"/>
  <c r="F101" i="27"/>
  <c r="G101" i="27"/>
  <c r="D102" i="27"/>
  <c r="E102" i="27"/>
  <c r="F102" i="27"/>
  <c r="G102" i="27"/>
  <c r="D85" i="27"/>
  <c r="E85" i="27"/>
  <c r="F85" i="27"/>
  <c r="G85" i="27"/>
  <c r="D86" i="27"/>
  <c r="E86" i="27"/>
  <c r="F86" i="27"/>
  <c r="G86" i="27"/>
  <c r="D69" i="27"/>
  <c r="E69" i="27"/>
  <c r="F69" i="27"/>
  <c r="G69" i="27"/>
  <c r="D70" i="27"/>
  <c r="E70" i="27"/>
  <c r="F70" i="27"/>
  <c r="G70" i="27"/>
  <c r="D53" i="27"/>
  <c r="E53" i="27"/>
  <c r="F53" i="27"/>
  <c r="G53" i="27"/>
  <c r="D54" i="27"/>
  <c r="E54" i="27"/>
  <c r="F54" i="27"/>
  <c r="G54" i="27"/>
  <c r="D37" i="27"/>
  <c r="E37" i="27"/>
  <c r="F37" i="27"/>
  <c r="G37" i="27"/>
  <c r="D38" i="27"/>
  <c r="E38" i="27"/>
  <c r="F38" i="27"/>
  <c r="G38" i="27"/>
  <c r="B22" i="27"/>
  <c r="C22" i="27"/>
  <c r="W172" i="27"/>
  <c r="X172" i="27"/>
  <c r="Y172" i="27"/>
  <c r="Z172" i="27"/>
  <c r="W173" i="27"/>
  <c r="X173" i="27"/>
  <c r="Y173" i="27"/>
  <c r="Z173" i="27"/>
  <c r="W174" i="27"/>
  <c r="X174" i="27"/>
  <c r="Y174" i="27"/>
  <c r="Z174" i="27"/>
  <c r="W175" i="27"/>
  <c r="X175" i="27"/>
  <c r="Y175" i="27"/>
  <c r="Z175" i="27"/>
  <c r="W176" i="27"/>
  <c r="X176" i="27"/>
  <c r="Y176" i="27"/>
  <c r="Z176" i="27"/>
  <c r="W177" i="27"/>
  <c r="X177" i="27"/>
  <c r="Y177" i="27"/>
  <c r="Z177" i="27"/>
  <c r="W178" i="27"/>
  <c r="X178" i="27"/>
  <c r="Y178" i="27"/>
  <c r="Z178" i="27"/>
  <c r="W179" i="27"/>
  <c r="X179" i="27"/>
  <c r="Y179" i="27"/>
  <c r="Z179" i="27"/>
  <c r="W180" i="27"/>
  <c r="X180" i="27"/>
  <c r="Y180" i="27"/>
  <c r="Z180" i="27"/>
  <c r="W181" i="27"/>
  <c r="X181" i="27"/>
  <c r="Y181" i="27"/>
  <c r="Z181" i="27"/>
  <c r="W182" i="27"/>
  <c r="X182" i="27"/>
  <c r="Y182" i="27"/>
  <c r="Z182" i="27"/>
  <c r="W183" i="27"/>
  <c r="X183" i="27"/>
  <c r="Y183" i="27"/>
  <c r="Z183" i="27"/>
  <c r="W184" i="27"/>
  <c r="X184" i="27"/>
  <c r="Y184" i="27"/>
  <c r="Z184" i="27"/>
  <c r="W185" i="27"/>
  <c r="X185" i="27"/>
  <c r="Y185" i="27"/>
  <c r="Z185" i="27"/>
  <c r="W186" i="27"/>
  <c r="X186" i="27"/>
  <c r="Y186" i="27"/>
  <c r="Z186" i="27"/>
  <c r="W187" i="27"/>
  <c r="X187" i="27"/>
  <c r="Y187" i="27"/>
  <c r="Z187" i="27"/>
  <c r="W188" i="27"/>
  <c r="X188" i="27"/>
  <c r="Y188" i="27"/>
  <c r="Z188" i="27"/>
  <c r="W189" i="27"/>
  <c r="X189" i="27"/>
  <c r="Y189" i="27"/>
  <c r="Z189" i="27"/>
  <c r="W190" i="27"/>
  <c r="X190" i="27"/>
  <c r="Y190" i="27"/>
  <c r="Z190" i="27"/>
  <c r="W191" i="27"/>
  <c r="X191" i="27"/>
  <c r="Y191" i="27"/>
  <c r="Z191" i="27"/>
  <c r="W192" i="27"/>
  <c r="X192" i="27"/>
  <c r="Y192" i="27"/>
  <c r="Z192" i="27"/>
  <c r="W193" i="27"/>
  <c r="X193" i="27"/>
  <c r="Y193" i="27"/>
  <c r="Z193" i="27"/>
  <c r="W194" i="27"/>
  <c r="X194" i="27"/>
  <c r="Y194" i="27"/>
  <c r="Z194" i="27"/>
  <c r="W195" i="27"/>
  <c r="X195" i="27"/>
  <c r="Y195" i="27"/>
  <c r="Z195" i="27"/>
  <c r="W196" i="27"/>
  <c r="X196" i="27"/>
  <c r="Y196" i="27"/>
  <c r="Z196" i="27"/>
  <c r="W197" i="27"/>
  <c r="X197" i="27"/>
  <c r="Y197" i="27"/>
  <c r="Z197" i="27"/>
  <c r="W198" i="27"/>
  <c r="X198" i="27"/>
  <c r="Y198" i="27"/>
  <c r="Z198" i="27"/>
  <c r="W199" i="27"/>
  <c r="X199" i="27"/>
  <c r="Y199" i="27"/>
  <c r="Z199" i="27"/>
  <c r="W200" i="27"/>
  <c r="X200" i="27"/>
  <c r="Y200" i="27"/>
  <c r="Z200" i="27"/>
  <c r="W201" i="27"/>
  <c r="X201" i="27"/>
  <c r="Y201" i="27"/>
  <c r="Z201" i="27"/>
  <c r="W202" i="27"/>
  <c r="X202" i="27"/>
  <c r="Y202" i="27"/>
  <c r="Z202" i="27"/>
  <c r="W203" i="27"/>
  <c r="X203" i="27"/>
  <c r="Y203" i="27"/>
  <c r="Z203" i="27"/>
  <c r="W204" i="27"/>
  <c r="X204" i="27"/>
  <c r="Y204" i="27"/>
  <c r="Z204" i="27"/>
  <c r="W205" i="27"/>
  <c r="X205" i="27"/>
  <c r="Y205" i="27"/>
  <c r="Z205" i="27"/>
  <c r="W206" i="27"/>
  <c r="X206" i="27"/>
  <c r="Y206" i="27"/>
  <c r="Z206" i="27"/>
  <c r="W207" i="27"/>
  <c r="X207" i="27"/>
  <c r="Y207" i="27"/>
  <c r="Z207" i="27"/>
  <c r="W208" i="27"/>
  <c r="X208" i="27"/>
  <c r="Y208" i="27"/>
  <c r="Z208" i="27"/>
  <c r="W209" i="27"/>
  <c r="X209" i="27"/>
  <c r="Y209" i="27"/>
  <c r="Z209" i="27"/>
  <c r="W210" i="27"/>
  <c r="X210" i="27"/>
  <c r="Y210" i="27"/>
  <c r="Z210" i="27"/>
  <c r="W211" i="27"/>
  <c r="X211" i="27"/>
  <c r="Y211" i="27"/>
  <c r="Z211" i="27"/>
  <c r="W212" i="27"/>
  <c r="X212" i="27"/>
  <c r="Y212" i="27"/>
  <c r="Z212" i="27"/>
  <c r="W213" i="27"/>
  <c r="X213" i="27"/>
  <c r="Y213" i="27"/>
  <c r="Z213" i="27"/>
  <c r="W214" i="27"/>
  <c r="X214" i="27"/>
  <c r="Y214" i="27"/>
  <c r="Z214" i="27"/>
  <c r="W215" i="27"/>
  <c r="X215" i="27"/>
  <c r="Y215" i="27"/>
  <c r="Z215" i="27"/>
  <c r="W216" i="27"/>
  <c r="X216" i="27"/>
  <c r="Y216" i="27"/>
  <c r="Z216" i="27"/>
  <c r="W217" i="27"/>
  <c r="X217" i="27"/>
  <c r="Y217" i="27"/>
  <c r="Z217" i="27"/>
  <c r="W218" i="27"/>
  <c r="X218" i="27"/>
  <c r="Y218" i="27"/>
  <c r="Z218" i="27"/>
  <c r="W219" i="27"/>
  <c r="X219" i="27"/>
  <c r="Y219" i="27"/>
  <c r="Z219" i="27"/>
  <c r="W220" i="27"/>
  <c r="X220" i="27"/>
  <c r="Y220" i="27"/>
  <c r="Z220" i="27"/>
  <c r="W221" i="27"/>
  <c r="X221" i="27"/>
  <c r="Y221" i="27"/>
  <c r="Z221" i="27"/>
  <c r="Q106" i="18"/>
  <c r="Q107" i="18"/>
  <c r="Q108" i="18"/>
  <c r="Q109" i="18"/>
  <c r="Q110" i="18"/>
  <c r="Q111" i="18"/>
  <c r="Q112" i="18"/>
  <c r="Q113" i="18"/>
  <c r="Q114" i="18"/>
  <c r="Q115" i="18"/>
  <c r="Q116" i="18"/>
  <c r="Q117" i="18"/>
  <c r="Q118" i="18"/>
  <c r="Q119" i="18"/>
  <c r="Q120" i="18"/>
  <c r="Q121" i="18"/>
  <c r="Q122" i="18"/>
  <c r="Q123" i="18"/>
  <c r="Q124" i="18"/>
  <c r="Q125" i="18"/>
  <c r="Q126" i="18"/>
  <c r="Q127" i="18"/>
  <c r="Q128" i="18"/>
  <c r="Q129" i="18"/>
  <c r="Q130" i="18"/>
  <c r="Q131" i="18"/>
  <c r="Q132" i="18"/>
  <c r="Q133" i="18"/>
  <c r="Q134" i="18"/>
  <c r="Q135" i="18"/>
  <c r="Q66" i="20"/>
  <c r="Q96" i="20"/>
  <c r="Q97" i="20"/>
  <c r="Q98" i="20"/>
  <c r="Q99" i="20"/>
  <c r="Q100" i="20"/>
  <c r="Q101" i="20"/>
  <c r="Q102" i="20"/>
  <c r="Q103" i="20"/>
  <c r="Q104" i="20"/>
  <c r="Q105" i="20"/>
  <c r="Q106" i="20"/>
  <c r="Q107" i="20"/>
  <c r="Q108" i="20"/>
  <c r="Q109" i="20"/>
  <c r="Q110" i="20"/>
  <c r="Q111" i="20"/>
  <c r="Q112" i="20"/>
  <c r="Q113" i="20"/>
  <c r="Q114" i="20"/>
  <c r="Q115" i="20"/>
  <c r="Q116" i="20"/>
  <c r="Q117" i="20"/>
  <c r="Q118" i="20"/>
  <c r="Q119" i="20"/>
  <c r="Q120" i="20"/>
  <c r="Q121" i="20"/>
  <c r="Q122" i="20"/>
  <c r="Q123" i="20"/>
  <c r="Q124" i="20"/>
  <c r="Q125" i="20"/>
  <c r="Q126" i="20"/>
  <c r="Q127" i="20"/>
  <c r="Q128" i="20"/>
  <c r="Q129" i="20"/>
  <c r="Q130" i="20"/>
  <c r="Q131" i="20"/>
  <c r="Q132" i="20"/>
  <c r="Q133" i="20"/>
  <c r="Q134" i="20"/>
  <c r="Q135" i="20"/>
  <c r="Q96" i="19"/>
  <c r="Q97" i="19"/>
  <c r="Q98" i="19"/>
  <c r="Q99" i="19"/>
  <c r="Q100" i="19"/>
  <c r="Q101" i="19"/>
  <c r="Q102" i="19"/>
  <c r="Q103" i="19"/>
  <c r="Q104" i="19"/>
  <c r="Q105" i="19"/>
  <c r="Q106" i="19"/>
  <c r="Q107" i="19"/>
  <c r="Q108" i="19"/>
  <c r="Q109" i="19"/>
  <c r="Q110" i="19"/>
  <c r="Q111" i="19"/>
  <c r="Q112" i="19"/>
  <c r="Q113" i="19"/>
  <c r="Q114" i="19"/>
  <c r="Q115" i="19"/>
  <c r="Q116" i="19"/>
  <c r="Q117" i="19"/>
  <c r="Q118" i="19"/>
  <c r="Q119" i="19"/>
  <c r="Q120" i="19"/>
  <c r="Q121" i="19"/>
  <c r="Q122" i="19"/>
  <c r="Q123" i="19"/>
  <c r="Q124" i="19"/>
  <c r="Q125" i="19"/>
  <c r="Q126" i="19"/>
  <c r="Q127" i="19"/>
  <c r="Q128" i="19"/>
  <c r="Q129" i="19"/>
  <c r="Q130" i="19"/>
  <c r="Q131" i="19"/>
  <c r="Q132" i="19"/>
  <c r="Q133" i="19"/>
  <c r="Q134" i="19"/>
  <c r="Q135" i="19"/>
  <c r="Y205" i="26"/>
  <c r="Q205" i="26"/>
  <c r="Y204" i="26"/>
  <c r="Q204" i="26"/>
  <c r="Y203" i="26"/>
  <c r="Q203" i="26"/>
  <c r="Y202" i="26"/>
  <c r="Q202" i="26"/>
  <c r="Y201" i="26"/>
  <c r="Q201" i="26"/>
  <c r="Y200" i="26"/>
  <c r="Q200" i="26"/>
  <c r="Y199" i="26"/>
  <c r="Q199" i="26"/>
  <c r="Y198" i="26"/>
  <c r="Q198" i="26"/>
  <c r="Y197" i="26"/>
  <c r="Q197" i="26"/>
  <c r="Y196" i="26"/>
  <c r="Q196" i="26"/>
  <c r="Y195" i="26"/>
  <c r="Q195" i="26"/>
  <c r="Y194" i="26"/>
  <c r="Q194" i="26"/>
  <c r="Y193" i="26"/>
  <c r="Q193" i="26"/>
  <c r="Y192" i="26"/>
  <c r="Q192" i="26"/>
  <c r="Y191" i="26"/>
  <c r="Q191" i="26"/>
  <c r="Y190" i="26"/>
  <c r="Q190" i="26"/>
  <c r="Y189" i="26"/>
  <c r="Q189" i="26"/>
  <c r="Y188" i="26"/>
  <c r="Q188" i="26"/>
  <c r="Y187" i="26"/>
  <c r="Q187" i="26"/>
  <c r="Y186" i="26"/>
  <c r="Q186" i="26"/>
  <c r="Y185" i="26"/>
  <c r="Q185" i="26"/>
  <c r="Y184" i="26"/>
  <c r="Q184" i="26"/>
  <c r="Y183" i="26"/>
  <c r="Q183" i="26"/>
  <c r="Y182" i="26"/>
  <c r="Q182" i="26"/>
  <c r="Y181" i="26"/>
  <c r="Q181" i="26"/>
  <c r="Y180" i="26"/>
  <c r="Q180" i="26"/>
  <c r="Y179" i="26"/>
  <c r="Q179" i="26"/>
  <c r="Y178" i="26"/>
  <c r="Q178" i="26"/>
  <c r="Y177" i="26"/>
  <c r="Q177" i="26"/>
  <c r="Y176" i="26"/>
  <c r="Q176" i="26"/>
  <c r="Y175" i="26"/>
  <c r="Q175" i="26"/>
  <c r="Y174" i="26"/>
  <c r="Q174" i="26"/>
  <c r="Y173" i="26"/>
  <c r="Q173" i="26"/>
  <c r="Y172" i="26"/>
  <c r="Q172" i="26"/>
  <c r="Y171" i="26"/>
  <c r="Q171" i="26"/>
  <c r="Y170" i="26"/>
  <c r="Q170" i="26"/>
  <c r="Y169" i="26"/>
  <c r="Q169" i="26"/>
  <c r="Y168" i="26"/>
  <c r="Q168" i="26"/>
  <c r="Y167" i="26"/>
  <c r="Q167" i="26"/>
  <c r="Y166" i="26"/>
  <c r="Q166" i="26"/>
  <c r="Y165" i="26"/>
  <c r="Q165" i="26"/>
  <c r="Y164" i="26"/>
  <c r="Q164" i="26"/>
  <c r="Y163" i="26"/>
  <c r="Q163" i="26"/>
  <c r="Y162" i="26"/>
  <c r="Q162" i="26"/>
  <c r="Y161" i="26"/>
  <c r="Q161" i="26"/>
  <c r="Y160" i="26"/>
  <c r="Q160" i="26"/>
  <c r="Y159" i="26"/>
  <c r="Q159" i="26"/>
  <c r="Y158" i="26"/>
  <c r="Q158" i="26"/>
  <c r="Y157" i="26"/>
  <c r="Q157" i="26"/>
  <c r="Y156" i="26"/>
  <c r="Q156" i="26"/>
  <c r="D107" i="26"/>
  <c r="C107" i="26"/>
  <c r="H93" i="26"/>
  <c r="H92" i="26"/>
  <c r="H91" i="26"/>
  <c r="H90" i="26"/>
  <c r="H89" i="26"/>
  <c r="H88" i="26"/>
  <c r="H87" i="26"/>
  <c r="H86" i="26"/>
  <c r="H84" i="26"/>
  <c r="H83" i="26"/>
  <c r="H82" i="26"/>
  <c r="S5" i="26"/>
  <c r="T5" i="26" s="1"/>
  <c r="V5" i="26"/>
  <c r="N5" i="26"/>
  <c r="D107" i="18"/>
  <c r="C107" i="18"/>
  <c r="D9" i="18"/>
  <c r="D107" i="13"/>
  <c r="C107" i="13"/>
  <c r="D9" i="13"/>
  <c r="Q57" i="20"/>
  <c r="Y205" i="13"/>
  <c r="Q205" i="13"/>
  <c r="Y204" i="13"/>
  <c r="Q204" i="13"/>
  <c r="Y203" i="13"/>
  <c r="Q203" i="13"/>
  <c r="Y202" i="13"/>
  <c r="Q202" i="13"/>
  <c r="Y201" i="13"/>
  <c r="Q201" i="13"/>
  <c r="Y200" i="13"/>
  <c r="Q200" i="13"/>
  <c r="Y199" i="13"/>
  <c r="Q199" i="13"/>
  <c r="Y198" i="13"/>
  <c r="Q198" i="13"/>
  <c r="Y197" i="13"/>
  <c r="Q197" i="13"/>
  <c r="Y196" i="13"/>
  <c r="Q196" i="13"/>
  <c r="Y195" i="13"/>
  <c r="Q195" i="13"/>
  <c r="Y194" i="13"/>
  <c r="Q194" i="13"/>
  <c r="Y193" i="13"/>
  <c r="Q193" i="13"/>
  <c r="Y192" i="13"/>
  <c r="Q192" i="13"/>
  <c r="Y191" i="13"/>
  <c r="Q191" i="13"/>
  <c r="Y190" i="13"/>
  <c r="Q190" i="13"/>
  <c r="Y189" i="13"/>
  <c r="Q189" i="13"/>
  <c r="Y188" i="13"/>
  <c r="Q188" i="13"/>
  <c r="Y187" i="13"/>
  <c r="Q187" i="13"/>
  <c r="Y186" i="13"/>
  <c r="Q186" i="13"/>
  <c r="Y185" i="13"/>
  <c r="Q185" i="13"/>
  <c r="Y184" i="13"/>
  <c r="Q184" i="13"/>
  <c r="Y183" i="13"/>
  <c r="Q183" i="13"/>
  <c r="Y182" i="13"/>
  <c r="Q182" i="13"/>
  <c r="Y181" i="13"/>
  <c r="Q181" i="13"/>
  <c r="Y180" i="13"/>
  <c r="Q180" i="13"/>
  <c r="Y179" i="13"/>
  <c r="Q179" i="13"/>
  <c r="Y178" i="13"/>
  <c r="Q178" i="13"/>
  <c r="Y177" i="13"/>
  <c r="Q177" i="13"/>
  <c r="Y176" i="13"/>
  <c r="Q176" i="13"/>
  <c r="Y175" i="13"/>
  <c r="Q175" i="13"/>
  <c r="Y174" i="13"/>
  <c r="Q174" i="13"/>
  <c r="Y173" i="13"/>
  <c r="Q173" i="13"/>
  <c r="Y172" i="13"/>
  <c r="Q172" i="13"/>
  <c r="Y171" i="13"/>
  <c r="Q171" i="13"/>
  <c r="Y170" i="13"/>
  <c r="Q170" i="13"/>
  <c r="Y169" i="13"/>
  <c r="Q169" i="13"/>
  <c r="Y168" i="13"/>
  <c r="Q168" i="13"/>
  <c r="Y167" i="13"/>
  <c r="Q167" i="13"/>
  <c r="Y166" i="13"/>
  <c r="Q166" i="13"/>
  <c r="H83" i="13"/>
  <c r="N5" i="13"/>
  <c r="Q205" i="18"/>
  <c r="Q204" i="18"/>
  <c r="Q203" i="18"/>
  <c r="Q202" i="18"/>
  <c r="Q201" i="18"/>
  <c r="Q200" i="18"/>
  <c r="Q199" i="18"/>
  <c r="Q198" i="18"/>
  <c r="Q197" i="18"/>
  <c r="Q196" i="18"/>
  <c r="Q195" i="18"/>
  <c r="Q194" i="18"/>
  <c r="Q193" i="18"/>
  <c r="Q192" i="18"/>
  <c r="Q191" i="18"/>
  <c r="Q190" i="18"/>
  <c r="Q189" i="18"/>
  <c r="Q188" i="18"/>
  <c r="Q187" i="18"/>
  <c r="Q186" i="18"/>
  <c r="Q185" i="18"/>
  <c r="Q184" i="18"/>
  <c r="Q183" i="18"/>
  <c r="Q182" i="18"/>
  <c r="Q181" i="18"/>
  <c r="Q180" i="18"/>
  <c r="Q179" i="18"/>
  <c r="Q178" i="18"/>
  <c r="Q177" i="18"/>
  <c r="Q176" i="18"/>
  <c r="Q175" i="18"/>
  <c r="Q174" i="18"/>
  <c r="Q173" i="18"/>
  <c r="Q172" i="18"/>
  <c r="Q171" i="18"/>
  <c r="Q170" i="18"/>
  <c r="Q169" i="18"/>
  <c r="Q168" i="18"/>
  <c r="Q167" i="18"/>
  <c r="Q166" i="18"/>
  <c r="Q165" i="18"/>
  <c r="Q164" i="18"/>
  <c r="Q163" i="18"/>
  <c r="Q162" i="18"/>
  <c r="Q161" i="18"/>
  <c r="Q160" i="18"/>
  <c r="Q159" i="18"/>
  <c r="Q158" i="18"/>
  <c r="Q157" i="18"/>
  <c r="Q156" i="18"/>
  <c r="Q155" i="18"/>
  <c r="Q154" i="18"/>
  <c r="Q153" i="18"/>
  <c r="Q152" i="18"/>
  <c r="Q151" i="18"/>
  <c r="Q150" i="18"/>
  <c r="Q149" i="18"/>
  <c r="Q148" i="18"/>
  <c r="Q147" i="18"/>
  <c r="Q146" i="18"/>
  <c r="Q145" i="18"/>
  <c r="Q144" i="18"/>
  <c r="Q143" i="18"/>
  <c r="Q142" i="18"/>
  <c r="Q141" i="18"/>
  <c r="Q140" i="18"/>
  <c r="Q139" i="18"/>
  <c r="Q138" i="18"/>
  <c r="Q137" i="18"/>
  <c r="Q136" i="18"/>
  <c r="H93" i="18"/>
  <c r="H92" i="18"/>
  <c r="H91" i="18"/>
  <c r="H87" i="18"/>
  <c r="H82" i="18"/>
  <c r="V5" i="18"/>
  <c r="N5" i="18"/>
  <c r="Y205" i="19"/>
  <c r="Q205" i="19"/>
  <c r="Y204" i="19"/>
  <c r="Q204" i="19"/>
  <c r="Y203" i="19"/>
  <c r="Q203" i="19"/>
  <c r="Y202" i="19"/>
  <c r="Q202" i="19"/>
  <c r="Y201" i="19"/>
  <c r="Q201" i="19"/>
  <c r="Y200" i="19"/>
  <c r="Q200" i="19"/>
  <c r="Y199" i="19"/>
  <c r="Q199" i="19"/>
  <c r="Y198" i="19"/>
  <c r="Q198" i="19"/>
  <c r="Y197" i="19"/>
  <c r="Q197" i="19"/>
  <c r="Y196" i="19"/>
  <c r="Q196" i="19"/>
  <c r="Y195" i="19"/>
  <c r="Q195" i="19"/>
  <c r="Y194" i="19"/>
  <c r="Q194" i="19"/>
  <c r="Y193" i="19"/>
  <c r="Q193" i="19"/>
  <c r="Y192" i="19"/>
  <c r="Q192" i="19"/>
  <c r="Y191" i="19"/>
  <c r="Q191" i="19"/>
  <c r="Y190" i="19"/>
  <c r="Q190" i="19"/>
  <c r="Y189" i="19"/>
  <c r="Q189" i="19"/>
  <c r="Y188" i="19"/>
  <c r="Q188" i="19"/>
  <c r="Y187" i="19"/>
  <c r="Q187" i="19"/>
  <c r="Y186" i="19"/>
  <c r="Q186" i="19"/>
  <c r="Y185" i="19"/>
  <c r="Q185" i="19"/>
  <c r="Y184" i="19"/>
  <c r="Q184" i="19"/>
  <c r="Y183" i="19"/>
  <c r="Q183" i="19"/>
  <c r="Y182" i="19"/>
  <c r="Q182" i="19"/>
  <c r="Y181" i="19"/>
  <c r="Q181" i="19"/>
  <c r="Y180" i="19"/>
  <c r="Q180" i="19"/>
  <c r="Y179" i="19"/>
  <c r="Q179" i="19"/>
  <c r="Y178" i="19"/>
  <c r="Q178" i="19"/>
  <c r="Y177" i="19"/>
  <c r="Q177" i="19"/>
  <c r="Y176" i="19"/>
  <c r="Q176" i="19"/>
  <c r="Y175" i="19"/>
  <c r="Q175" i="19"/>
  <c r="Y174" i="19"/>
  <c r="Q174" i="19"/>
  <c r="Y173" i="19"/>
  <c r="Q173" i="19"/>
  <c r="Y172" i="19"/>
  <c r="Q172" i="19"/>
  <c r="Y171" i="19"/>
  <c r="Q171" i="19"/>
  <c r="Y170" i="19"/>
  <c r="Q170" i="19"/>
  <c r="Y169" i="19"/>
  <c r="Q169" i="19"/>
  <c r="Y168" i="19"/>
  <c r="Q168" i="19"/>
  <c r="Y167" i="19"/>
  <c r="Q167" i="19"/>
  <c r="Y166" i="19"/>
  <c r="Q166" i="19"/>
  <c r="Y165" i="19"/>
  <c r="Q165" i="19"/>
  <c r="Y164" i="19"/>
  <c r="Q164" i="19"/>
  <c r="Y163" i="19"/>
  <c r="Q163" i="19"/>
  <c r="Y162" i="19"/>
  <c r="Q162" i="19"/>
  <c r="Y161" i="19"/>
  <c r="Q161" i="19"/>
  <c r="Y160" i="19"/>
  <c r="Q160" i="19"/>
  <c r="Y159" i="19"/>
  <c r="Q159" i="19"/>
  <c r="Y158" i="19"/>
  <c r="Q158" i="19"/>
  <c r="Y157" i="19"/>
  <c r="Q157" i="19"/>
  <c r="Y156" i="19"/>
  <c r="Q156" i="19"/>
  <c r="Y155" i="19"/>
  <c r="Q155" i="19"/>
  <c r="Y154" i="19"/>
  <c r="Q154" i="19"/>
  <c r="Y153" i="19"/>
  <c r="Q153" i="19"/>
  <c r="Y152" i="19"/>
  <c r="Q152" i="19"/>
  <c r="Y151" i="19"/>
  <c r="Q151" i="19"/>
  <c r="Y150" i="19"/>
  <c r="Q150" i="19"/>
  <c r="Y149" i="19"/>
  <c r="Q149" i="19"/>
  <c r="Y148" i="19"/>
  <c r="Q148" i="19"/>
  <c r="Y147" i="19"/>
  <c r="Q147" i="19"/>
  <c r="Y146" i="19"/>
  <c r="Q146" i="19"/>
  <c r="Y145" i="19"/>
  <c r="Q145" i="19"/>
  <c r="Y144" i="19"/>
  <c r="Q144" i="19"/>
  <c r="Y143" i="19"/>
  <c r="Q143" i="19"/>
  <c r="Y142" i="19"/>
  <c r="Q142" i="19"/>
  <c r="Y141" i="19"/>
  <c r="Q141" i="19"/>
  <c r="Y140" i="19"/>
  <c r="Q140" i="19"/>
  <c r="Y139" i="19"/>
  <c r="Q139" i="19"/>
  <c r="Y138" i="19"/>
  <c r="Q138" i="19"/>
  <c r="Y137" i="19"/>
  <c r="Q137" i="19"/>
  <c r="Y136" i="19"/>
  <c r="Q136" i="19"/>
  <c r="Y135" i="19"/>
  <c r="Y134" i="19"/>
  <c r="Y133" i="19"/>
  <c r="Y132" i="19"/>
  <c r="Y131" i="19"/>
  <c r="Y130" i="19"/>
  <c r="Y129" i="19"/>
  <c r="Y128" i="19"/>
  <c r="Y127" i="19"/>
  <c r="Y126" i="19"/>
  <c r="D107" i="19"/>
  <c r="C107" i="19"/>
  <c r="H93" i="19"/>
  <c r="H91" i="19"/>
  <c r="H87" i="19"/>
  <c r="H82" i="19"/>
  <c r="D9" i="19"/>
  <c r="S5" i="19"/>
  <c r="N5" i="19"/>
  <c r="Y205" i="20"/>
  <c r="Q205" i="20"/>
  <c r="Y204" i="20"/>
  <c r="Q204" i="20"/>
  <c r="Y203" i="20"/>
  <c r="Q203" i="20"/>
  <c r="Y202" i="20"/>
  <c r="Q202" i="20"/>
  <c r="Y201" i="20"/>
  <c r="Q201" i="20"/>
  <c r="Y200" i="20"/>
  <c r="Q200" i="20"/>
  <c r="Y199" i="20"/>
  <c r="Q199" i="20"/>
  <c r="Y198" i="20"/>
  <c r="Q198" i="20"/>
  <c r="Y197" i="20"/>
  <c r="Q197" i="20"/>
  <c r="Y196" i="20"/>
  <c r="Q196" i="20"/>
  <c r="Y195" i="20"/>
  <c r="Q195" i="20"/>
  <c r="Y194" i="20"/>
  <c r="Q194" i="20"/>
  <c r="Y193" i="20"/>
  <c r="Q193" i="20"/>
  <c r="Y192" i="20"/>
  <c r="Q192" i="20"/>
  <c r="Y191" i="20"/>
  <c r="Q191" i="20"/>
  <c r="Y190" i="20"/>
  <c r="Q190" i="20"/>
  <c r="Y189" i="20"/>
  <c r="Q189" i="20"/>
  <c r="Y188" i="20"/>
  <c r="Q188" i="20"/>
  <c r="Y187" i="20"/>
  <c r="Q187" i="20"/>
  <c r="Y186" i="20"/>
  <c r="Q186" i="20"/>
  <c r="Y185" i="20"/>
  <c r="Q185" i="20"/>
  <c r="Y184" i="20"/>
  <c r="Q184" i="20"/>
  <c r="Y183" i="20"/>
  <c r="Q183" i="20"/>
  <c r="Y182" i="20"/>
  <c r="Q182" i="20"/>
  <c r="Y181" i="20"/>
  <c r="Q181" i="20"/>
  <c r="Y180" i="20"/>
  <c r="Q180" i="20"/>
  <c r="Y179" i="20"/>
  <c r="Q179" i="20"/>
  <c r="Y178" i="20"/>
  <c r="Q178" i="20"/>
  <c r="Y177" i="20"/>
  <c r="Q177" i="20"/>
  <c r="Y176" i="20"/>
  <c r="Q176" i="20"/>
  <c r="Y175" i="20"/>
  <c r="Q175" i="20"/>
  <c r="Y174" i="20"/>
  <c r="Q174" i="20"/>
  <c r="Y173" i="20"/>
  <c r="Q173" i="20"/>
  <c r="Y172" i="20"/>
  <c r="Q172" i="20"/>
  <c r="Y171" i="20"/>
  <c r="Q171" i="20"/>
  <c r="Y170" i="20"/>
  <c r="Q170" i="20"/>
  <c r="Y169" i="20"/>
  <c r="Q169" i="20"/>
  <c r="Y168" i="20"/>
  <c r="Q168" i="20"/>
  <c r="Y167" i="20"/>
  <c r="Q167" i="20"/>
  <c r="Y166" i="20"/>
  <c r="Q166" i="20"/>
  <c r="Y165" i="20"/>
  <c r="Q165" i="20"/>
  <c r="Y164" i="20"/>
  <c r="Q164" i="20"/>
  <c r="Y163" i="20"/>
  <c r="Q163" i="20"/>
  <c r="Y162" i="20"/>
  <c r="Q162" i="20"/>
  <c r="Y161" i="20"/>
  <c r="Q161" i="20"/>
  <c r="Y160" i="20"/>
  <c r="Q160" i="20"/>
  <c r="Y159" i="20"/>
  <c r="Q159" i="20"/>
  <c r="Y158" i="20"/>
  <c r="Q158" i="20"/>
  <c r="Y157" i="20"/>
  <c r="Q157" i="20"/>
  <c r="Y156" i="20"/>
  <c r="Q156" i="20"/>
  <c r="Y155" i="20"/>
  <c r="Q155" i="20"/>
  <c r="Y154" i="20"/>
  <c r="Q154" i="20"/>
  <c r="Y153" i="20"/>
  <c r="Q153" i="20"/>
  <c r="Y152" i="20"/>
  <c r="Q152" i="20"/>
  <c r="Y151" i="20"/>
  <c r="Q151" i="20"/>
  <c r="Y150" i="20"/>
  <c r="Q150" i="20"/>
  <c r="Y149" i="20"/>
  <c r="Q149" i="20"/>
  <c r="Y148" i="20"/>
  <c r="Q148" i="20"/>
  <c r="Y147" i="20"/>
  <c r="Q147" i="20"/>
  <c r="Y146" i="20"/>
  <c r="Q146" i="20"/>
  <c r="Y145" i="20"/>
  <c r="Q145" i="20"/>
  <c r="Y144" i="20"/>
  <c r="Q144" i="20"/>
  <c r="Y143" i="20"/>
  <c r="Q143" i="20"/>
  <c r="Y142" i="20"/>
  <c r="Q142" i="20"/>
  <c r="Y141" i="20"/>
  <c r="Q141" i="20"/>
  <c r="Y140" i="20"/>
  <c r="Q140" i="20"/>
  <c r="Y139" i="20"/>
  <c r="Q139" i="20"/>
  <c r="Y138" i="20"/>
  <c r="Q138" i="20"/>
  <c r="Y137" i="20"/>
  <c r="Q137" i="20"/>
  <c r="Y136" i="20"/>
  <c r="Q136" i="20"/>
  <c r="Y135" i="20"/>
  <c r="Y134" i="20"/>
  <c r="Y133" i="20"/>
  <c r="Y132" i="20"/>
  <c r="Y131" i="20"/>
  <c r="Y130" i="20"/>
  <c r="Y129" i="20"/>
  <c r="Y128" i="20"/>
  <c r="Y127" i="20"/>
  <c r="Y126" i="20"/>
  <c r="Y125" i="20"/>
  <c r="Y124" i="20"/>
  <c r="Y123" i="20"/>
  <c r="Y122" i="20"/>
  <c r="Y121" i="20"/>
  <c r="Y120" i="20"/>
  <c r="Y119" i="20"/>
  <c r="Y118" i="20"/>
  <c r="Y117" i="20"/>
  <c r="Y116" i="20"/>
  <c r="Y115" i="20"/>
  <c r="Y114" i="20"/>
  <c r="Y113" i="20"/>
  <c r="Y112" i="20"/>
  <c r="Y111" i="20"/>
  <c r="Y110" i="20"/>
  <c r="Y109" i="20"/>
  <c r="Y108" i="20"/>
  <c r="Y107" i="20"/>
  <c r="Y106" i="20"/>
  <c r="Y105" i="20"/>
  <c r="Y104" i="20"/>
  <c r="Y103" i="20"/>
  <c r="Y102" i="20"/>
  <c r="Y101" i="20"/>
  <c r="Y100" i="20"/>
  <c r="Y99" i="20"/>
  <c r="Y98" i="20"/>
  <c r="Y97" i="20"/>
  <c r="Y96" i="20"/>
  <c r="D107" i="20"/>
  <c r="C107" i="20"/>
  <c r="H92" i="20"/>
  <c r="H88" i="20"/>
  <c r="D9" i="20"/>
  <c r="S5" i="20"/>
  <c r="N5" i="20"/>
  <c r="E20" i="24"/>
  <c r="E19" i="24"/>
  <c r="H93" i="13"/>
  <c r="B26" i="27"/>
  <c r="B27" i="27"/>
  <c r="B28" i="27"/>
  <c r="B29" i="27"/>
  <c r="B30" i="27"/>
  <c r="B31" i="27"/>
  <c r="B32" i="27"/>
  <c r="B33" i="27"/>
  <c r="B34" i="27"/>
  <c r="I83" i="27" l="1"/>
  <c r="L97" i="18"/>
  <c r="U86" i="18"/>
  <c r="U82" i="18"/>
  <c r="U78" i="18"/>
  <c r="V59" i="18"/>
  <c r="V102" i="19"/>
  <c r="Q16" i="20"/>
  <c r="H89" i="18"/>
  <c r="Q15" i="20"/>
  <c r="M96" i="19"/>
  <c r="V98" i="19"/>
  <c r="F67" i="27"/>
  <c r="AO105" i="19"/>
  <c r="V90" i="19"/>
  <c r="Q10" i="20"/>
  <c r="E67" i="27"/>
  <c r="AN105" i="19"/>
  <c r="V87" i="19"/>
  <c r="Q8" i="20"/>
  <c r="AD105" i="19"/>
  <c r="U8" i="18"/>
  <c r="U30" i="19"/>
  <c r="Q20" i="20"/>
  <c r="Q7" i="20"/>
  <c r="AE105" i="19"/>
  <c r="K50" i="27"/>
  <c r="M9" i="20"/>
  <c r="V55" i="20"/>
  <c r="M19" i="20"/>
  <c r="M12" i="20"/>
  <c r="V53" i="20"/>
  <c r="V48" i="20"/>
  <c r="V40" i="20"/>
  <c r="M38" i="20"/>
  <c r="V34" i="20"/>
  <c r="M5" i="20"/>
  <c r="O5" i="20" s="1"/>
  <c r="M30" i="20"/>
  <c r="V5" i="20"/>
  <c r="G26" i="20"/>
  <c r="Q21" i="20" s="1"/>
  <c r="G27" i="20"/>
  <c r="H87" i="20"/>
  <c r="L9" i="13"/>
  <c r="U91" i="13"/>
  <c r="L80" i="13"/>
  <c r="U87" i="13"/>
  <c r="L86" i="13"/>
  <c r="V75" i="13"/>
  <c r="V71" i="13"/>
  <c r="L91" i="13"/>
  <c r="U65" i="13"/>
  <c r="U94" i="13"/>
  <c r="L105" i="13"/>
  <c r="L61" i="13"/>
  <c r="L21" i="13"/>
  <c r="U103" i="13"/>
  <c r="M190" i="19"/>
  <c r="M174" i="19"/>
  <c r="M158" i="19"/>
  <c r="M142" i="19"/>
  <c r="M126" i="19"/>
  <c r="M194" i="19"/>
  <c r="M178" i="19"/>
  <c r="M162" i="19"/>
  <c r="M146" i="19"/>
  <c r="M130" i="19"/>
  <c r="M112" i="19"/>
  <c r="M106" i="19"/>
  <c r="M98" i="19"/>
  <c r="M204" i="19"/>
  <c r="M188" i="19"/>
  <c r="M172" i="19"/>
  <c r="M156" i="19"/>
  <c r="M140" i="19"/>
  <c r="M124" i="19"/>
  <c r="M118" i="19"/>
  <c r="L86" i="19"/>
  <c r="M198" i="19"/>
  <c r="M182" i="19"/>
  <c r="M166" i="19"/>
  <c r="M150" i="19"/>
  <c r="M134" i="19"/>
  <c r="M91" i="19"/>
  <c r="M192" i="19"/>
  <c r="M176" i="19"/>
  <c r="M160" i="19"/>
  <c r="M144" i="19"/>
  <c r="M128" i="19"/>
  <c r="M202" i="19"/>
  <c r="M186" i="19"/>
  <c r="M170" i="19"/>
  <c r="M154" i="19"/>
  <c r="M138" i="19"/>
  <c r="M122" i="19"/>
  <c r="F45" i="27"/>
  <c r="AE96" i="18"/>
  <c r="E43" i="27"/>
  <c r="AN78" i="18"/>
  <c r="AR78" i="18" s="1"/>
  <c r="F51" i="27"/>
  <c r="AO105" i="18"/>
  <c r="E44" i="27"/>
  <c r="AN87" i="18"/>
  <c r="AR87" i="18" s="1"/>
  <c r="H89" i="19"/>
  <c r="V27" i="20"/>
  <c r="V26" i="20"/>
  <c r="L59" i="19"/>
  <c r="M116" i="19"/>
  <c r="M100" i="19"/>
  <c r="M110" i="19"/>
  <c r="L94" i="19"/>
  <c r="L10" i="19"/>
  <c r="M120" i="19"/>
  <c r="M104" i="19"/>
  <c r="M114" i="19"/>
  <c r="U120" i="19"/>
  <c r="V110" i="19"/>
  <c r="V99" i="19"/>
  <c r="U88" i="19"/>
  <c r="V118" i="19"/>
  <c r="V107" i="19"/>
  <c r="U96" i="19"/>
  <c r="V86" i="19"/>
  <c r="U116" i="19"/>
  <c r="V106" i="19"/>
  <c r="V95" i="19"/>
  <c r="U74" i="19"/>
  <c r="V115" i="19"/>
  <c r="U104" i="19"/>
  <c r="V94" i="19"/>
  <c r="U73" i="19"/>
  <c r="U124" i="19"/>
  <c r="V114" i="19"/>
  <c r="V103" i="19"/>
  <c r="U92" i="19"/>
  <c r="U66" i="19"/>
  <c r="U123" i="19"/>
  <c r="U119" i="19"/>
  <c r="U115" i="19"/>
  <c r="U111" i="19"/>
  <c r="U107" i="19"/>
  <c r="U103" i="19"/>
  <c r="U99" i="19"/>
  <c r="U95" i="19"/>
  <c r="U91" i="19"/>
  <c r="U87" i="19"/>
  <c r="U72" i="19"/>
  <c r="L39" i="19"/>
  <c r="U122" i="19"/>
  <c r="U118" i="19"/>
  <c r="U114" i="19"/>
  <c r="U110" i="19"/>
  <c r="U106" i="19"/>
  <c r="U102" i="19"/>
  <c r="U98" i="19"/>
  <c r="U94" i="19"/>
  <c r="U90" i="19"/>
  <c r="U86" i="19"/>
  <c r="U65" i="19"/>
  <c r="V125" i="19"/>
  <c r="V121" i="19"/>
  <c r="V117" i="19"/>
  <c r="V113" i="19"/>
  <c r="V109" i="19"/>
  <c r="V105" i="19"/>
  <c r="V101" i="19"/>
  <c r="V97" i="19"/>
  <c r="V93" i="19"/>
  <c r="V89" i="19"/>
  <c r="U82" i="19"/>
  <c r="U62" i="19"/>
  <c r="U125" i="19"/>
  <c r="U121" i="19"/>
  <c r="U117" i="19"/>
  <c r="U113" i="19"/>
  <c r="U109" i="19"/>
  <c r="U105" i="19"/>
  <c r="U101" i="19"/>
  <c r="U97" i="19"/>
  <c r="U93" i="19"/>
  <c r="U89" i="19"/>
  <c r="U81" i="19"/>
  <c r="U38" i="19"/>
  <c r="V124" i="19"/>
  <c r="V120" i="19"/>
  <c r="V116" i="19"/>
  <c r="V112" i="19"/>
  <c r="V108" i="19"/>
  <c r="V104" i="19"/>
  <c r="V100" i="19"/>
  <c r="V96" i="19"/>
  <c r="V92" i="19"/>
  <c r="V88" i="19"/>
  <c r="U80" i="19"/>
  <c r="U34" i="19"/>
  <c r="L42" i="13"/>
  <c r="L41" i="13"/>
  <c r="M6" i="13"/>
  <c r="V5" i="13"/>
  <c r="X5" i="13" s="1"/>
  <c r="V36" i="13"/>
  <c r="U35" i="18"/>
  <c r="V28" i="18"/>
  <c r="U27" i="18"/>
  <c r="V24" i="18"/>
  <c r="V48" i="18"/>
  <c r="U18" i="18"/>
  <c r="U46" i="18"/>
  <c r="V16" i="18"/>
  <c r="U39" i="18"/>
  <c r="U14" i="18"/>
  <c r="U38" i="18"/>
  <c r="U7" i="18"/>
  <c r="K42" i="27"/>
  <c r="J41" i="27"/>
  <c r="K43" i="27"/>
  <c r="H40" i="27"/>
  <c r="J47" i="27"/>
  <c r="I48" i="27"/>
  <c r="I46" i="27"/>
  <c r="J45" i="27"/>
  <c r="H44" i="27"/>
  <c r="L4" i="27"/>
  <c r="H73" i="27"/>
  <c r="J7" i="20"/>
  <c r="K7" i="20" s="1"/>
  <c r="J48" i="27"/>
  <c r="K44" i="27"/>
  <c r="I44" i="27"/>
  <c r="J44" i="27"/>
  <c r="H91" i="13"/>
  <c r="H89" i="13"/>
  <c r="H87" i="13"/>
  <c r="H86" i="19"/>
  <c r="H93" i="20"/>
  <c r="H90" i="20"/>
  <c r="H94" i="20"/>
  <c r="D113" i="21"/>
  <c r="R85" i="21"/>
  <c r="S84" i="21"/>
  <c r="T84" i="21" s="1"/>
  <c r="X84" i="21" s="1"/>
  <c r="Y84" i="21" s="1"/>
  <c r="AI86" i="21"/>
  <c r="AF87" i="21"/>
  <c r="X169" i="26"/>
  <c r="H91" i="27"/>
  <c r="I77" i="27"/>
  <c r="H77" i="27"/>
  <c r="Q59" i="20"/>
  <c r="Q58" i="20"/>
  <c r="Q25" i="20"/>
  <c r="H84" i="20"/>
  <c r="AM21" i="20"/>
  <c r="O160" i="20"/>
  <c r="M55" i="20"/>
  <c r="M49" i="20"/>
  <c r="M42" i="20"/>
  <c r="M23" i="20"/>
  <c r="O120" i="20"/>
  <c r="M68" i="20"/>
  <c r="M64" i="20"/>
  <c r="M34" i="20"/>
  <c r="M15" i="20"/>
  <c r="M67" i="20"/>
  <c r="M63" i="20"/>
  <c r="M53" i="20"/>
  <c r="M27" i="20"/>
  <c r="M8" i="20"/>
  <c r="O192" i="20"/>
  <c r="L54" i="20"/>
  <c r="M50" i="20"/>
  <c r="M46" i="20"/>
  <c r="M35" i="20"/>
  <c r="M31" i="20"/>
  <c r="M20" i="20"/>
  <c r="M16" i="20"/>
  <c r="M6" i="20"/>
  <c r="L46" i="20"/>
  <c r="O152" i="20"/>
  <c r="O144" i="20"/>
  <c r="L94" i="20"/>
  <c r="M60" i="20"/>
  <c r="M56" i="20"/>
  <c r="M45" i="20"/>
  <c r="M41" i="20"/>
  <c r="L30" i="20"/>
  <c r="M26" i="20"/>
  <c r="M22" i="20"/>
  <c r="M11" i="20"/>
  <c r="O128" i="20"/>
  <c r="L86" i="20"/>
  <c r="M52" i="20"/>
  <c r="M48" i="20"/>
  <c r="M37" i="20"/>
  <c r="M33" i="20"/>
  <c r="L22" i="20"/>
  <c r="M18" i="20"/>
  <c r="M14" i="20"/>
  <c r="M7" i="20"/>
  <c r="L38" i="20"/>
  <c r="O108" i="20"/>
  <c r="L78" i="20"/>
  <c r="M44" i="20"/>
  <c r="M40" i="20"/>
  <c r="M29" i="20"/>
  <c r="M25" i="20"/>
  <c r="L14" i="20"/>
  <c r="M10" i="20"/>
  <c r="L70" i="20"/>
  <c r="M51" i="20"/>
  <c r="M47" i="20"/>
  <c r="M36" i="20"/>
  <c r="M32" i="20"/>
  <c r="M21" i="20"/>
  <c r="M17" i="20"/>
  <c r="M58" i="20"/>
  <c r="M54" i="20"/>
  <c r="M43" i="20"/>
  <c r="M39" i="20"/>
  <c r="M28" i="20"/>
  <c r="M24" i="20"/>
  <c r="M13" i="20"/>
  <c r="V94" i="20"/>
  <c r="V86" i="20"/>
  <c r="V78" i="20"/>
  <c r="V70" i="20"/>
  <c r="V62" i="20"/>
  <c r="V54" i="20"/>
  <c r="O124" i="20"/>
  <c r="V92" i="20"/>
  <c r="V84" i="20"/>
  <c r="V76" i="20"/>
  <c r="V68" i="20"/>
  <c r="V60" i="20"/>
  <c r="V52" i="20"/>
  <c r="V47" i="20"/>
  <c r="O188" i="20"/>
  <c r="V91" i="20"/>
  <c r="V83" i="20"/>
  <c r="V75" i="20"/>
  <c r="V67" i="20"/>
  <c r="V59" i="20"/>
  <c r="V51" i="20"/>
  <c r="V46" i="20"/>
  <c r="V90" i="20"/>
  <c r="V82" i="20"/>
  <c r="V74" i="20"/>
  <c r="V66" i="20"/>
  <c r="V58" i="20"/>
  <c r="V50" i="20"/>
  <c r="V89" i="20"/>
  <c r="V81" i="20"/>
  <c r="V73" i="20"/>
  <c r="V65" i="20"/>
  <c r="V57" i="20"/>
  <c r="V49" i="20"/>
  <c r="V44" i="20"/>
  <c r="V35" i="20"/>
  <c r="V21" i="20"/>
  <c r="O184" i="20"/>
  <c r="O176" i="20"/>
  <c r="O156" i="20"/>
  <c r="V88" i="20"/>
  <c r="V80" i="20"/>
  <c r="V72" i="20"/>
  <c r="V64" i="20"/>
  <c r="V56" i="20"/>
  <c r="O200" i="20"/>
  <c r="O136" i="20"/>
  <c r="L92" i="20"/>
  <c r="L84" i="20"/>
  <c r="L76" i="20"/>
  <c r="L68" i="20"/>
  <c r="L60" i="20"/>
  <c r="L52" i="20"/>
  <c r="L44" i="20"/>
  <c r="L36" i="20"/>
  <c r="L28" i="20"/>
  <c r="L20" i="20"/>
  <c r="L12" i="20"/>
  <c r="L7" i="20"/>
  <c r="U94" i="20"/>
  <c r="U90" i="20"/>
  <c r="U86" i="20"/>
  <c r="U82" i="20"/>
  <c r="U78" i="20"/>
  <c r="U74" i="20"/>
  <c r="U70" i="20"/>
  <c r="U66" i="20"/>
  <c r="U62" i="20"/>
  <c r="U58" i="20"/>
  <c r="U54" i="20"/>
  <c r="U50" i="20"/>
  <c r="U44" i="20"/>
  <c r="V41" i="20"/>
  <c r="V37" i="20"/>
  <c r="U35" i="20"/>
  <c r="V32" i="20"/>
  <c r="U27" i="20"/>
  <c r="V24" i="20"/>
  <c r="U21" i="20"/>
  <c r="V8" i="20"/>
  <c r="U6" i="20"/>
  <c r="U81" i="20"/>
  <c r="U61" i="20"/>
  <c r="U49" i="20"/>
  <c r="U14" i="20"/>
  <c r="O196" i="20"/>
  <c r="O172" i="20"/>
  <c r="O132" i="20"/>
  <c r="O100" i="20"/>
  <c r="L89" i="20"/>
  <c r="L81" i="20"/>
  <c r="L73" i="20"/>
  <c r="L65" i="20"/>
  <c r="L57" i="20"/>
  <c r="L49" i="20"/>
  <c r="L41" i="20"/>
  <c r="L33" i="20"/>
  <c r="L25" i="20"/>
  <c r="L17" i="20"/>
  <c r="L9" i="20"/>
  <c r="U47" i="20"/>
  <c r="V43" i="20"/>
  <c r="U41" i="20"/>
  <c r="U37" i="20"/>
  <c r="U32" i="20"/>
  <c r="V29" i="20"/>
  <c r="U24" i="20"/>
  <c r="V20" i="20"/>
  <c r="V17" i="20"/>
  <c r="V14" i="20"/>
  <c r="V11" i="20"/>
  <c r="U8" i="20"/>
  <c r="O180" i="20"/>
  <c r="O116" i="20"/>
  <c r="L91" i="20"/>
  <c r="L83" i="20"/>
  <c r="L75" i="20"/>
  <c r="L67" i="20"/>
  <c r="L59" i="20"/>
  <c r="L51" i="20"/>
  <c r="L43" i="20"/>
  <c r="L35" i="20"/>
  <c r="L27" i="20"/>
  <c r="L19" i="20"/>
  <c r="L11" i="20"/>
  <c r="U46" i="20"/>
  <c r="U40" i="20"/>
  <c r="V36" i="20"/>
  <c r="U34" i="20"/>
  <c r="V31" i="20"/>
  <c r="V28" i="20"/>
  <c r="U26" i="20"/>
  <c r="V23" i="20"/>
  <c r="V16" i="20"/>
  <c r="V10" i="20"/>
  <c r="V7" i="20"/>
  <c r="U65" i="20"/>
  <c r="U20" i="20"/>
  <c r="O168" i="20"/>
  <c r="L88" i="20"/>
  <c r="L80" i="20"/>
  <c r="L72" i="20"/>
  <c r="L64" i="20"/>
  <c r="L56" i="20"/>
  <c r="L48" i="20"/>
  <c r="L40" i="20"/>
  <c r="L32" i="20"/>
  <c r="L24" i="20"/>
  <c r="L16" i="20"/>
  <c r="L8" i="20"/>
  <c r="U92" i="20"/>
  <c r="U88" i="20"/>
  <c r="U84" i="20"/>
  <c r="U80" i="20"/>
  <c r="U76" i="20"/>
  <c r="U72" i="20"/>
  <c r="U68" i="20"/>
  <c r="U64" i="20"/>
  <c r="U60" i="20"/>
  <c r="U56" i="20"/>
  <c r="U52" i="20"/>
  <c r="V45" i="20"/>
  <c r="V42" i="20"/>
  <c r="V39" i="20"/>
  <c r="U36" i="20"/>
  <c r="U31" i="20"/>
  <c r="U28" i="20"/>
  <c r="V25" i="20"/>
  <c r="U23" i="20"/>
  <c r="V19" i="20"/>
  <c r="U16" i="20"/>
  <c r="V13" i="20"/>
  <c r="U10" i="20"/>
  <c r="U7" i="20"/>
  <c r="U85" i="20"/>
  <c r="U69" i="20"/>
  <c r="U29" i="20"/>
  <c r="U17" i="20"/>
  <c r="O204" i="20"/>
  <c r="O164" i="20"/>
  <c r="O140" i="20"/>
  <c r="L93" i="20"/>
  <c r="L85" i="20"/>
  <c r="L77" i="20"/>
  <c r="L69" i="20"/>
  <c r="L61" i="20"/>
  <c r="L53" i="20"/>
  <c r="L45" i="20"/>
  <c r="L37" i="20"/>
  <c r="L29" i="20"/>
  <c r="L21" i="20"/>
  <c r="L13" i="20"/>
  <c r="U48" i="20"/>
  <c r="U45" i="20"/>
  <c r="U42" i="20"/>
  <c r="U39" i="20"/>
  <c r="V33" i="20"/>
  <c r="U25" i="20"/>
  <c r="V22" i="20"/>
  <c r="U19" i="20"/>
  <c r="U13" i="20"/>
  <c r="U89" i="20"/>
  <c r="U73" i="20"/>
  <c r="U53" i="20"/>
  <c r="U43" i="20"/>
  <c r="L90" i="20"/>
  <c r="L82" i="20"/>
  <c r="L74" i="20"/>
  <c r="L66" i="20"/>
  <c r="L58" i="20"/>
  <c r="L50" i="20"/>
  <c r="L42" i="20"/>
  <c r="L34" i="20"/>
  <c r="L26" i="20"/>
  <c r="L18" i="20"/>
  <c r="L10" i="20"/>
  <c r="L6" i="20"/>
  <c r="O6" i="20" s="1"/>
  <c r="U95" i="20"/>
  <c r="U91" i="20"/>
  <c r="U87" i="20"/>
  <c r="U83" i="20"/>
  <c r="U79" i="20"/>
  <c r="U75" i="20"/>
  <c r="U71" i="20"/>
  <c r="U67" i="20"/>
  <c r="U63" i="20"/>
  <c r="U59" i="20"/>
  <c r="U55" i="20"/>
  <c r="U51" i="20"/>
  <c r="V38" i="20"/>
  <c r="U33" i="20"/>
  <c r="V30" i="20"/>
  <c r="U22" i="20"/>
  <c r="V18" i="20"/>
  <c r="V15" i="20"/>
  <c r="V12" i="20"/>
  <c r="V9" i="20"/>
  <c r="U93" i="20"/>
  <c r="U77" i="20"/>
  <c r="U57" i="20"/>
  <c r="U11" i="20"/>
  <c r="O148" i="20"/>
  <c r="L95" i="20"/>
  <c r="L87" i="20"/>
  <c r="L79" i="20"/>
  <c r="L71" i="20"/>
  <c r="L63" i="20"/>
  <c r="L55" i="20"/>
  <c r="L47" i="20"/>
  <c r="L39" i="20"/>
  <c r="L31" i="20"/>
  <c r="L23" i="20"/>
  <c r="L15" i="20"/>
  <c r="U38" i="20"/>
  <c r="U30" i="20"/>
  <c r="U18" i="20"/>
  <c r="U15" i="20"/>
  <c r="U12" i="20"/>
  <c r="S110" i="20"/>
  <c r="T110" i="20" s="1"/>
  <c r="Q23" i="20"/>
  <c r="Q17" i="20"/>
  <c r="Q9" i="20"/>
  <c r="K77" i="27"/>
  <c r="Q19" i="20"/>
  <c r="Q11" i="20"/>
  <c r="AO30" i="20"/>
  <c r="AP35" i="20"/>
  <c r="J77" i="27"/>
  <c r="H85" i="20"/>
  <c r="AP20" i="20"/>
  <c r="Q13" i="20"/>
  <c r="AP7" i="20"/>
  <c r="H86" i="20"/>
  <c r="AO9" i="20"/>
  <c r="S199" i="20"/>
  <c r="T199" i="20" s="1"/>
  <c r="X199" i="20" s="1"/>
  <c r="S186" i="20"/>
  <c r="T186" i="20" s="1"/>
  <c r="X186" i="20" s="1"/>
  <c r="S178" i="20"/>
  <c r="T178" i="20" s="1"/>
  <c r="X178" i="20" s="1"/>
  <c r="S170" i="20"/>
  <c r="T170" i="20" s="1"/>
  <c r="S162" i="20"/>
  <c r="T162" i="20" s="1"/>
  <c r="S154" i="20"/>
  <c r="T154" i="20" s="1"/>
  <c r="S146" i="20"/>
  <c r="T146" i="20" s="1"/>
  <c r="S138" i="20"/>
  <c r="T138" i="20" s="1"/>
  <c r="S130" i="20"/>
  <c r="T130" i="20" s="1"/>
  <c r="S122" i="20"/>
  <c r="T122" i="20" s="1"/>
  <c r="X122" i="20" s="1"/>
  <c r="S114" i="20"/>
  <c r="T114" i="20" s="1"/>
  <c r="S109" i="20"/>
  <c r="T109" i="20" s="1"/>
  <c r="X109" i="20" s="1"/>
  <c r="S101" i="20"/>
  <c r="S204" i="20"/>
  <c r="T204" i="20" s="1"/>
  <c r="S196" i="20"/>
  <c r="T196" i="20" s="1"/>
  <c r="S191" i="20"/>
  <c r="T191" i="20" s="1"/>
  <c r="X191" i="20" s="1"/>
  <c r="S183" i="20"/>
  <c r="T183" i="20" s="1"/>
  <c r="X183" i="20" s="1"/>
  <c r="S175" i="20"/>
  <c r="T175" i="20" s="1"/>
  <c r="S167" i="20"/>
  <c r="T167" i="20" s="1"/>
  <c r="X167" i="20" s="1"/>
  <c r="S159" i="20"/>
  <c r="T159" i="20" s="1"/>
  <c r="X159" i="20" s="1"/>
  <c r="S151" i="20"/>
  <c r="S143" i="20"/>
  <c r="T143" i="20" s="1"/>
  <c r="X143" i="20" s="1"/>
  <c r="S135" i="20"/>
  <c r="T135" i="20" s="1"/>
  <c r="X135" i="20" s="1"/>
  <c r="S127" i="20"/>
  <c r="T127" i="20" s="1"/>
  <c r="X127" i="20" s="1"/>
  <c r="S119" i="20"/>
  <c r="T119" i="20" s="1"/>
  <c r="X119" i="20" s="1"/>
  <c r="S111" i="20"/>
  <c r="T111" i="20" s="1"/>
  <c r="X111" i="20" s="1"/>
  <c r="S106" i="20"/>
  <c r="T106" i="20" s="1"/>
  <c r="X106" i="20" s="1"/>
  <c r="S98" i="20"/>
  <c r="T98" i="20" s="1"/>
  <c r="X98" i="20" s="1"/>
  <c r="K83" i="27"/>
  <c r="S201" i="20"/>
  <c r="T201" i="20" s="1"/>
  <c r="X201" i="20" s="1"/>
  <c r="S193" i="20"/>
  <c r="T193" i="20" s="1"/>
  <c r="X193" i="20" s="1"/>
  <c r="S188" i="20"/>
  <c r="T188" i="20" s="1"/>
  <c r="S180" i="20"/>
  <c r="T180" i="20" s="1"/>
  <c r="S172" i="20"/>
  <c r="T172" i="20" s="1"/>
  <c r="X172" i="20" s="1"/>
  <c r="S164" i="20"/>
  <c r="T164" i="20" s="1"/>
  <c r="X164" i="20" s="1"/>
  <c r="S156" i="20"/>
  <c r="T156" i="20" s="1"/>
  <c r="X156" i="20" s="1"/>
  <c r="S148" i="20"/>
  <c r="S140" i="20"/>
  <c r="T140" i="20" s="1"/>
  <c r="X140" i="20" s="1"/>
  <c r="S132" i="20"/>
  <c r="T132" i="20" s="1"/>
  <c r="X132" i="20" s="1"/>
  <c r="S124" i="20"/>
  <c r="T124" i="20" s="1"/>
  <c r="X124" i="20" s="1"/>
  <c r="S116" i="20"/>
  <c r="T116" i="20" s="1"/>
  <c r="X116" i="20" s="1"/>
  <c r="S103" i="20"/>
  <c r="T103" i="20" s="1"/>
  <c r="X103" i="20" s="1"/>
  <c r="S198" i="20"/>
  <c r="T198" i="20" s="1"/>
  <c r="X198" i="20" s="1"/>
  <c r="S185" i="20"/>
  <c r="T185" i="20" s="1"/>
  <c r="X185" i="20" s="1"/>
  <c r="S177" i="20"/>
  <c r="T177" i="20" s="1"/>
  <c r="S169" i="20"/>
  <c r="T169" i="20" s="1"/>
  <c r="X169" i="20" s="1"/>
  <c r="S161" i="20"/>
  <c r="T161" i="20" s="1"/>
  <c r="X161" i="20" s="1"/>
  <c r="S153" i="20"/>
  <c r="T153" i="20" s="1"/>
  <c r="X153" i="20" s="1"/>
  <c r="S145" i="20"/>
  <c r="T145" i="20" s="1"/>
  <c r="X145" i="20" s="1"/>
  <c r="S137" i="20"/>
  <c r="T137" i="20" s="1"/>
  <c r="X137" i="20" s="1"/>
  <c r="S129" i="20"/>
  <c r="T129" i="20" s="1"/>
  <c r="X129" i="20" s="1"/>
  <c r="S121" i="20"/>
  <c r="T121" i="20" s="1"/>
  <c r="X121" i="20" s="1"/>
  <c r="S113" i="20"/>
  <c r="S108" i="20"/>
  <c r="T108" i="20" s="1"/>
  <c r="X108" i="20" s="1"/>
  <c r="S100" i="20"/>
  <c r="T100" i="20" s="1"/>
  <c r="X100" i="20" s="1"/>
  <c r="S203" i="20"/>
  <c r="T203" i="20" s="1"/>
  <c r="X203" i="20" s="1"/>
  <c r="S195" i="20"/>
  <c r="T195" i="20" s="1"/>
  <c r="X195" i="20" s="1"/>
  <c r="S190" i="20"/>
  <c r="T190" i="20" s="1"/>
  <c r="X190" i="20" s="1"/>
  <c r="S182" i="20"/>
  <c r="T182" i="20" s="1"/>
  <c r="X182" i="20" s="1"/>
  <c r="S174" i="20"/>
  <c r="T174" i="20" s="1"/>
  <c r="S166" i="20"/>
  <c r="T166" i="20" s="1"/>
  <c r="S158" i="20"/>
  <c r="T158" i="20" s="1"/>
  <c r="S150" i="20"/>
  <c r="T150" i="20" s="1"/>
  <c r="X150" i="20" s="1"/>
  <c r="S142" i="20"/>
  <c r="T142" i="20" s="1"/>
  <c r="S134" i="20"/>
  <c r="T134" i="20" s="1"/>
  <c r="S126" i="20"/>
  <c r="T126" i="20" s="1"/>
  <c r="S118" i="20"/>
  <c r="T118" i="20" s="1"/>
  <c r="S105" i="20"/>
  <c r="T105" i="20" s="1"/>
  <c r="X105" i="20" s="1"/>
  <c r="S97" i="20"/>
  <c r="S200" i="20"/>
  <c r="T200" i="20" s="1"/>
  <c r="S187" i="20"/>
  <c r="T187" i="20" s="1"/>
  <c r="X187" i="20" s="1"/>
  <c r="S179" i="20"/>
  <c r="T179" i="20" s="1"/>
  <c r="X179" i="20" s="1"/>
  <c r="S171" i="20"/>
  <c r="T171" i="20" s="1"/>
  <c r="X171" i="20" s="1"/>
  <c r="S163" i="20"/>
  <c r="T163" i="20" s="1"/>
  <c r="X163" i="20" s="1"/>
  <c r="S155" i="20"/>
  <c r="T155" i="20" s="1"/>
  <c r="X155" i="20" s="1"/>
  <c r="S147" i="20"/>
  <c r="T147" i="20" s="1"/>
  <c r="X147" i="20" s="1"/>
  <c r="S139" i="20"/>
  <c r="S131" i="20"/>
  <c r="T131" i="20" s="1"/>
  <c r="X131" i="20" s="1"/>
  <c r="S123" i="20"/>
  <c r="T123" i="20" s="1"/>
  <c r="X123" i="20" s="1"/>
  <c r="S115" i="20"/>
  <c r="T115" i="20" s="1"/>
  <c r="X115" i="20" s="1"/>
  <c r="S102" i="20"/>
  <c r="T102" i="20" s="1"/>
  <c r="X102" i="20" s="1"/>
  <c r="S205" i="20"/>
  <c r="T205" i="20" s="1"/>
  <c r="X205" i="20" s="1"/>
  <c r="S197" i="20"/>
  <c r="T197" i="20" s="1"/>
  <c r="X197" i="20" s="1"/>
  <c r="S192" i="20"/>
  <c r="T192" i="20" s="1"/>
  <c r="S184" i="20"/>
  <c r="T184" i="20" s="1"/>
  <c r="S176" i="20"/>
  <c r="T176" i="20" s="1"/>
  <c r="X176" i="20" s="1"/>
  <c r="S168" i="20"/>
  <c r="T168" i="20" s="1"/>
  <c r="X168" i="20" s="1"/>
  <c r="S160" i="20"/>
  <c r="T160" i="20" s="1"/>
  <c r="X160" i="20" s="1"/>
  <c r="S152" i="20"/>
  <c r="T152" i="20" s="1"/>
  <c r="X152" i="20" s="1"/>
  <c r="S144" i="20"/>
  <c r="T144" i="20" s="1"/>
  <c r="X144" i="20" s="1"/>
  <c r="S136" i="20"/>
  <c r="T136" i="20" s="1"/>
  <c r="X136" i="20" s="1"/>
  <c r="S128" i="20"/>
  <c r="T128" i="20" s="1"/>
  <c r="X128" i="20" s="1"/>
  <c r="S120" i="20"/>
  <c r="S112" i="20"/>
  <c r="T112" i="20" s="1"/>
  <c r="X112" i="20" s="1"/>
  <c r="S107" i="20"/>
  <c r="T107" i="20" s="1"/>
  <c r="X107" i="20" s="1"/>
  <c r="S99" i="20"/>
  <c r="T99" i="20" s="1"/>
  <c r="X99" i="20" s="1"/>
  <c r="J83" i="27"/>
  <c r="H83" i="27"/>
  <c r="AN13" i="20"/>
  <c r="AN23" i="20"/>
  <c r="AM31" i="20"/>
  <c r="AL35" i="20"/>
  <c r="AL20" i="20"/>
  <c r="AB86" i="20"/>
  <c r="AO15" i="20"/>
  <c r="AM25" i="20"/>
  <c r="AM35" i="20"/>
  <c r="AL33" i="20"/>
  <c r="AL17" i="20"/>
  <c r="Q50" i="20"/>
  <c r="AM17" i="20"/>
  <c r="AN25" i="20"/>
  <c r="AN35" i="20"/>
  <c r="AP30" i="20"/>
  <c r="AL14" i="20"/>
  <c r="AD35" i="20"/>
  <c r="AN19" i="20"/>
  <c r="AO25" i="20"/>
  <c r="AO35" i="20"/>
  <c r="AL30" i="20"/>
  <c r="AP10" i="20"/>
  <c r="AD20" i="20"/>
  <c r="H82" i="20"/>
  <c r="AM20" i="20"/>
  <c r="AM27" i="20"/>
  <c r="AL27" i="20"/>
  <c r="AL7" i="20"/>
  <c r="H83" i="20"/>
  <c r="AN20" i="20"/>
  <c r="AM30" i="20"/>
  <c r="AP25" i="20"/>
  <c r="Q60" i="20"/>
  <c r="AM6" i="20"/>
  <c r="AO20" i="20"/>
  <c r="AN30" i="20"/>
  <c r="AL25" i="20"/>
  <c r="L202" i="19"/>
  <c r="L192" i="19"/>
  <c r="L178" i="19"/>
  <c r="L168" i="19"/>
  <c r="L156" i="19"/>
  <c r="L146" i="19"/>
  <c r="L136" i="19"/>
  <c r="L128" i="19"/>
  <c r="L118" i="19"/>
  <c r="L108" i="19"/>
  <c r="J204" i="19"/>
  <c r="K204" i="19" s="1"/>
  <c r="J202" i="19"/>
  <c r="K202" i="19" s="1"/>
  <c r="J200" i="19"/>
  <c r="K200" i="19" s="1"/>
  <c r="J198" i="19"/>
  <c r="K198" i="19" s="1"/>
  <c r="J196" i="19"/>
  <c r="K196" i="19" s="1"/>
  <c r="J194" i="19"/>
  <c r="K194" i="19" s="1"/>
  <c r="J192" i="19"/>
  <c r="K192" i="19" s="1"/>
  <c r="J190" i="19"/>
  <c r="K190" i="19" s="1"/>
  <c r="J188" i="19"/>
  <c r="K188" i="19" s="1"/>
  <c r="J186" i="19"/>
  <c r="K186" i="19" s="1"/>
  <c r="J184" i="19"/>
  <c r="K184" i="19" s="1"/>
  <c r="J182" i="19"/>
  <c r="K182" i="19" s="1"/>
  <c r="J180" i="19"/>
  <c r="K180" i="19" s="1"/>
  <c r="J178" i="19"/>
  <c r="K178" i="19" s="1"/>
  <c r="J176" i="19"/>
  <c r="K176" i="19" s="1"/>
  <c r="J174" i="19"/>
  <c r="K174" i="19" s="1"/>
  <c r="J172" i="19"/>
  <c r="K172" i="19" s="1"/>
  <c r="J170" i="19"/>
  <c r="K170" i="19" s="1"/>
  <c r="J168" i="19"/>
  <c r="K168" i="19" s="1"/>
  <c r="J166" i="19"/>
  <c r="K166" i="19" s="1"/>
  <c r="J164" i="19"/>
  <c r="K164" i="19" s="1"/>
  <c r="J162" i="19"/>
  <c r="K162" i="19" s="1"/>
  <c r="J160" i="19"/>
  <c r="K160" i="19" s="1"/>
  <c r="J158" i="19"/>
  <c r="K158" i="19" s="1"/>
  <c r="J156" i="19"/>
  <c r="K156" i="19" s="1"/>
  <c r="J154" i="19"/>
  <c r="K154" i="19" s="1"/>
  <c r="J152" i="19"/>
  <c r="K152" i="19" s="1"/>
  <c r="J150" i="19"/>
  <c r="K150" i="19" s="1"/>
  <c r="J148" i="19"/>
  <c r="K148" i="19" s="1"/>
  <c r="J146" i="19"/>
  <c r="K146" i="19" s="1"/>
  <c r="J144" i="19"/>
  <c r="K144" i="19" s="1"/>
  <c r="J142" i="19"/>
  <c r="K142" i="19" s="1"/>
  <c r="J140" i="19"/>
  <c r="K140" i="19" s="1"/>
  <c r="J138" i="19"/>
  <c r="J136" i="19"/>
  <c r="K136" i="19" s="1"/>
  <c r="J134" i="19"/>
  <c r="K134" i="19" s="1"/>
  <c r="J132" i="19"/>
  <c r="K132" i="19" s="1"/>
  <c r="O132" i="19" s="1"/>
  <c r="J130" i="19"/>
  <c r="K130" i="19" s="1"/>
  <c r="J128" i="19"/>
  <c r="K128" i="19" s="1"/>
  <c r="J126" i="19"/>
  <c r="K126" i="19" s="1"/>
  <c r="M93" i="19"/>
  <c r="L88" i="19"/>
  <c r="L85" i="19"/>
  <c r="M51" i="19"/>
  <c r="L22" i="19"/>
  <c r="L9" i="19"/>
  <c r="L186" i="19"/>
  <c r="L100" i="19"/>
  <c r="L93" i="19"/>
  <c r="M90" i="19"/>
  <c r="L81" i="19"/>
  <c r="L198" i="19"/>
  <c r="L184" i="19"/>
  <c r="L176" i="19"/>
  <c r="L166" i="19"/>
  <c r="L158" i="19"/>
  <c r="L150" i="19"/>
  <c r="L138" i="19"/>
  <c r="L130" i="19"/>
  <c r="L122" i="19"/>
  <c r="L114" i="19"/>
  <c r="L102" i="19"/>
  <c r="M205" i="19"/>
  <c r="M203" i="19"/>
  <c r="M201" i="19"/>
  <c r="M199" i="19"/>
  <c r="M197" i="19"/>
  <c r="M195" i="19"/>
  <c r="M193" i="19"/>
  <c r="M191" i="19"/>
  <c r="M189" i="19"/>
  <c r="M187" i="19"/>
  <c r="M185" i="19"/>
  <c r="M183" i="19"/>
  <c r="M181" i="19"/>
  <c r="M179" i="19"/>
  <c r="M177" i="19"/>
  <c r="M175" i="19"/>
  <c r="M173" i="19"/>
  <c r="M171" i="19"/>
  <c r="M169" i="19"/>
  <c r="M167" i="19"/>
  <c r="M165" i="19"/>
  <c r="M163" i="19"/>
  <c r="M161" i="19"/>
  <c r="M159" i="19"/>
  <c r="M157" i="19"/>
  <c r="M155" i="19"/>
  <c r="M153" i="19"/>
  <c r="M151" i="19"/>
  <c r="M149" i="19"/>
  <c r="M147" i="19"/>
  <c r="M145" i="19"/>
  <c r="M143" i="19"/>
  <c r="M141" i="19"/>
  <c r="M139" i="19"/>
  <c r="M137" i="19"/>
  <c r="M135" i="19"/>
  <c r="M133" i="19"/>
  <c r="M131" i="19"/>
  <c r="M129" i="19"/>
  <c r="M127" i="19"/>
  <c r="M125" i="19"/>
  <c r="M123" i="19"/>
  <c r="M121" i="19"/>
  <c r="M119" i="19"/>
  <c r="M117" i="19"/>
  <c r="M115" i="19"/>
  <c r="M113" i="19"/>
  <c r="M111" i="19"/>
  <c r="M109" i="19"/>
  <c r="M107" i="19"/>
  <c r="M105" i="19"/>
  <c r="M103" i="19"/>
  <c r="M101" i="19"/>
  <c r="M99" i="19"/>
  <c r="M97" i="19"/>
  <c r="M95" i="19"/>
  <c r="L90" i="19"/>
  <c r="M87" i="19"/>
  <c r="L84" i="19"/>
  <c r="L56" i="19"/>
  <c r="M35" i="19"/>
  <c r="L21" i="19"/>
  <c r="L194" i="19"/>
  <c r="L144" i="19"/>
  <c r="L82" i="19"/>
  <c r="L205" i="19"/>
  <c r="L203" i="19"/>
  <c r="L201" i="19"/>
  <c r="L199" i="19"/>
  <c r="L197" i="19"/>
  <c r="L195" i="19"/>
  <c r="L193" i="19"/>
  <c r="L191" i="19"/>
  <c r="L189" i="19"/>
  <c r="L187" i="19"/>
  <c r="L185" i="19"/>
  <c r="L183" i="19"/>
  <c r="L181" i="19"/>
  <c r="L179" i="19"/>
  <c r="L177" i="19"/>
  <c r="L175" i="19"/>
  <c r="L173" i="19"/>
  <c r="L171" i="19"/>
  <c r="L169" i="19"/>
  <c r="L167" i="19"/>
  <c r="L165" i="19"/>
  <c r="L163" i="19"/>
  <c r="L161" i="19"/>
  <c r="L159" i="19"/>
  <c r="L157" i="19"/>
  <c r="L155" i="19"/>
  <c r="L153" i="19"/>
  <c r="L151" i="19"/>
  <c r="L149" i="19"/>
  <c r="L147" i="19"/>
  <c r="L145" i="19"/>
  <c r="L143" i="19"/>
  <c r="L141" i="19"/>
  <c r="L139" i="19"/>
  <c r="L137" i="19"/>
  <c r="L135" i="19"/>
  <c r="L133" i="19"/>
  <c r="L131" i="19"/>
  <c r="L129" i="19"/>
  <c r="L127" i="19"/>
  <c r="L125" i="19"/>
  <c r="L123" i="19"/>
  <c r="L121" i="19"/>
  <c r="L119" i="19"/>
  <c r="L117" i="19"/>
  <c r="L115" i="19"/>
  <c r="L113" i="19"/>
  <c r="L111" i="19"/>
  <c r="L109" i="19"/>
  <c r="L107" i="19"/>
  <c r="L105" i="19"/>
  <c r="L103" i="19"/>
  <c r="L101" i="19"/>
  <c r="L99" i="19"/>
  <c r="L97" i="19"/>
  <c r="L95" i="19"/>
  <c r="M92" i="19"/>
  <c r="L87" i="19"/>
  <c r="L80" i="19"/>
  <c r="M75" i="19"/>
  <c r="L204" i="19"/>
  <c r="L196" i="19"/>
  <c r="O196" i="19" s="1"/>
  <c r="L188" i="19"/>
  <c r="L180" i="19"/>
  <c r="L172" i="19"/>
  <c r="L164" i="19"/>
  <c r="L160" i="19"/>
  <c r="L152" i="19"/>
  <c r="L142" i="19"/>
  <c r="L134" i="19"/>
  <c r="L126" i="19"/>
  <c r="L120" i="19"/>
  <c r="L112" i="19"/>
  <c r="L106" i="19"/>
  <c r="L98" i="19"/>
  <c r="L91" i="19"/>
  <c r="L78" i="19"/>
  <c r="J205" i="19"/>
  <c r="K205" i="19" s="1"/>
  <c r="J203" i="19"/>
  <c r="K203" i="19" s="1"/>
  <c r="J201" i="19"/>
  <c r="K201" i="19" s="1"/>
  <c r="J199" i="19"/>
  <c r="K199" i="19" s="1"/>
  <c r="J197" i="19"/>
  <c r="K197" i="19" s="1"/>
  <c r="J195" i="19"/>
  <c r="K195" i="19" s="1"/>
  <c r="J193" i="19"/>
  <c r="K193" i="19" s="1"/>
  <c r="J191" i="19"/>
  <c r="K191" i="19" s="1"/>
  <c r="J189" i="19"/>
  <c r="K189" i="19" s="1"/>
  <c r="J187" i="19"/>
  <c r="K187" i="19" s="1"/>
  <c r="J185" i="19"/>
  <c r="K185" i="19" s="1"/>
  <c r="J183" i="19"/>
  <c r="K183" i="19" s="1"/>
  <c r="J181" i="19"/>
  <c r="K181" i="19" s="1"/>
  <c r="J179" i="19"/>
  <c r="K179" i="19" s="1"/>
  <c r="J177" i="19"/>
  <c r="K177" i="19" s="1"/>
  <c r="J175" i="19"/>
  <c r="K175" i="19" s="1"/>
  <c r="J173" i="19"/>
  <c r="K173" i="19" s="1"/>
  <c r="J171" i="19"/>
  <c r="K171" i="19" s="1"/>
  <c r="J169" i="19"/>
  <c r="K169" i="19" s="1"/>
  <c r="J167" i="19"/>
  <c r="K167" i="19" s="1"/>
  <c r="J165" i="19"/>
  <c r="K165" i="19" s="1"/>
  <c r="J163" i="19"/>
  <c r="K163" i="19" s="1"/>
  <c r="J161" i="19"/>
  <c r="K161" i="19" s="1"/>
  <c r="J159" i="19"/>
  <c r="K159" i="19" s="1"/>
  <c r="J157" i="19"/>
  <c r="K157" i="19" s="1"/>
  <c r="J155" i="19"/>
  <c r="K155" i="19" s="1"/>
  <c r="J153" i="19"/>
  <c r="K153" i="19" s="1"/>
  <c r="J151" i="19"/>
  <c r="K151" i="19" s="1"/>
  <c r="J149" i="19"/>
  <c r="K149" i="19" s="1"/>
  <c r="J147" i="19"/>
  <c r="K147" i="19" s="1"/>
  <c r="J145" i="19"/>
  <c r="K145" i="19" s="1"/>
  <c r="J143" i="19"/>
  <c r="K143" i="19" s="1"/>
  <c r="J141" i="19"/>
  <c r="K141" i="19" s="1"/>
  <c r="J139" i="19"/>
  <c r="K139" i="19" s="1"/>
  <c r="J137" i="19"/>
  <c r="K137" i="19" s="1"/>
  <c r="J135" i="19"/>
  <c r="K135" i="19" s="1"/>
  <c r="J133" i="19"/>
  <c r="J131" i="19"/>
  <c r="K131" i="19" s="1"/>
  <c r="J129" i="19"/>
  <c r="J127" i="19"/>
  <c r="K127" i="19" s="1"/>
  <c r="L92" i="19"/>
  <c r="M89" i="19"/>
  <c r="M83" i="19"/>
  <c r="M27" i="19"/>
  <c r="L200" i="19"/>
  <c r="L190" i="19"/>
  <c r="L182" i="19"/>
  <c r="L174" i="19"/>
  <c r="L170" i="19"/>
  <c r="O170" i="19" s="1"/>
  <c r="L162" i="19"/>
  <c r="L154" i="19"/>
  <c r="L148" i="19"/>
  <c r="L140" i="19"/>
  <c r="L132" i="19"/>
  <c r="L124" i="19"/>
  <c r="L116" i="19"/>
  <c r="L110" i="19"/>
  <c r="L104" i="19"/>
  <c r="L96" i="19"/>
  <c r="M88" i="19"/>
  <c r="L72" i="19"/>
  <c r="M94" i="19"/>
  <c r="L89" i="19"/>
  <c r="M86" i="19"/>
  <c r="L83" i="19"/>
  <c r="L79" i="19"/>
  <c r="M67" i="19"/>
  <c r="L12" i="19"/>
  <c r="H85" i="13"/>
  <c r="G27" i="13"/>
  <c r="L74" i="19"/>
  <c r="L70" i="19"/>
  <c r="L54" i="19"/>
  <c r="L37" i="19"/>
  <c r="L25" i="19"/>
  <c r="L77" i="19"/>
  <c r="L58" i="19"/>
  <c r="L41" i="19"/>
  <c r="L20" i="19"/>
  <c r="L73" i="19"/>
  <c r="L69" i="19"/>
  <c r="L36" i="19"/>
  <c r="L24" i="19"/>
  <c r="L7" i="19"/>
  <c r="L76" i="19"/>
  <c r="L52" i="19"/>
  <c r="L40" i="19"/>
  <c r="L11" i="19"/>
  <c r="L75" i="19"/>
  <c r="L71" i="19"/>
  <c r="L67" i="19"/>
  <c r="L55" i="19"/>
  <c r="L43" i="19"/>
  <c r="L26" i="19"/>
  <c r="L68" i="19"/>
  <c r="L57" i="19"/>
  <c r="L53" i="19"/>
  <c r="L42" i="19"/>
  <c r="L38" i="19"/>
  <c r="L27" i="19"/>
  <c r="L23" i="19"/>
  <c r="M19" i="19"/>
  <c r="L8" i="19"/>
  <c r="L64" i="19"/>
  <c r="L60" i="19"/>
  <c r="L49" i="19"/>
  <c r="L45" i="19"/>
  <c r="L34" i="19"/>
  <c r="L30" i="19"/>
  <c r="L19" i="19"/>
  <c r="L15" i="19"/>
  <c r="M11" i="19"/>
  <c r="L63" i="19"/>
  <c r="M59" i="19"/>
  <c r="L48" i="19"/>
  <c r="L44" i="19"/>
  <c r="L33" i="19"/>
  <c r="L29" i="19"/>
  <c r="L18" i="19"/>
  <c r="L14" i="19"/>
  <c r="L66" i="19"/>
  <c r="L62" i="19"/>
  <c r="L51" i="19"/>
  <c r="L47" i="19"/>
  <c r="M43" i="19"/>
  <c r="L32" i="19"/>
  <c r="L28" i="19"/>
  <c r="L17" i="19"/>
  <c r="L13" i="19"/>
  <c r="L6" i="19"/>
  <c r="L65" i="19"/>
  <c r="L61" i="19"/>
  <c r="L50" i="19"/>
  <c r="L46" i="19"/>
  <c r="L35" i="19"/>
  <c r="L31" i="19"/>
  <c r="L16" i="19"/>
  <c r="U83" i="19"/>
  <c r="U75" i="19"/>
  <c r="U67" i="19"/>
  <c r="U42" i="19"/>
  <c r="U10" i="19"/>
  <c r="U79" i="19"/>
  <c r="U71" i="19"/>
  <c r="U58" i="19"/>
  <c r="U26" i="19"/>
  <c r="U78" i="19"/>
  <c r="U70" i="19"/>
  <c r="U54" i="19"/>
  <c r="U22" i="19"/>
  <c r="U85" i="19"/>
  <c r="U77" i="19"/>
  <c r="U69" i="19"/>
  <c r="U50" i="19"/>
  <c r="U18" i="19"/>
  <c r="U84" i="19"/>
  <c r="U76" i="19"/>
  <c r="U68" i="19"/>
  <c r="U46" i="19"/>
  <c r="U14" i="19"/>
  <c r="M80" i="19"/>
  <c r="M72" i="19"/>
  <c r="M64" i="19"/>
  <c r="M56" i="19"/>
  <c r="M48" i="19"/>
  <c r="M40" i="19"/>
  <c r="M32" i="19"/>
  <c r="M24" i="19"/>
  <c r="M16" i="19"/>
  <c r="M8" i="19"/>
  <c r="V85" i="19"/>
  <c r="V81" i="19"/>
  <c r="V77" i="19"/>
  <c r="V73" i="19"/>
  <c r="V69" i="19"/>
  <c r="V65" i="19"/>
  <c r="V61" i="19"/>
  <c r="V57" i="19"/>
  <c r="V53" i="19"/>
  <c r="V49" i="19"/>
  <c r="V45" i="19"/>
  <c r="V41" i="19"/>
  <c r="V37" i="19"/>
  <c r="V33" i="19"/>
  <c r="V29" i="19"/>
  <c r="V25" i="19"/>
  <c r="V21" i="19"/>
  <c r="V17" i="19"/>
  <c r="V13" i="19"/>
  <c r="V9" i="19"/>
  <c r="U6" i="19"/>
  <c r="M85" i="19"/>
  <c r="M77" i="19"/>
  <c r="M69" i="19"/>
  <c r="M61" i="19"/>
  <c r="M53" i="19"/>
  <c r="M45" i="19"/>
  <c r="M37" i="19"/>
  <c r="M29" i="19"/>
  <c r="M21" i="19"/>
  <c r="M13" i="19"/>
  <c r="U61" i="19"/>
  <c r="U57" i="19"/>
  <c r="U53" i="19"/>
  <c r="U49" i="19"/>
  <c r="U45" i="19"/>
  <c r="U41" i="19"/>
  <c r="U37" i="19"/>
  <c r="U33" i="19"/>
  <c r="U29" i="19"/>
  <c r="U25" i="19"/>
  <c r="U21" i="19"/>
  <c r="U17" i="19"/>
  <c r="U13" i="19"/>
  <c r="U9" i="19"/>
  <c r="M82" i="19"/>
  <c r="M74" i="19"/>
  <c r="M66" i="19"/>
  <c r="M58" i="19"/>
  <c r="M50" i="19"/>
  <c r="M42" i="19"/>
  <c r="M34" i="19"/>
  <c r="M26" i="19"/>
  <c r="M18" i="19"/>
  <c r="M10" i="19"/>
  <c r="V84" i="19"/>
  <c r="V80" i="19"/>
  <c r="V76" i="19"/>
  <c r="V72" i="19"/>
  <c r="V68" i="19"/>
  <c r="V64" i="19"/>
  <c r="V60" i="19"/>
  <c r="V56" i="19"/>
  <c r="V52" i="19"/>
  <c r="V48" i="19"/>
  <c r="V44" i="19"/>
  <c r="V40" i="19"/>
  <c r="V36" i="19"/>
  <c r="V32" i="19"/>
  <c r="V28" i="19"/>
  <c r="V24" i="19"/>
  <c r="V20" i="19"/>
  <c r="V16" i="19"/>
  <c r="V12" i="19"/>
  <c r="V8" i="19"/>
  <c r="M5" i="19"/>
  <c r="O5" i="19" s="1"/>
  <c r="M79" i="19"/>
  <c r="M71" i="19"/>
  <c r="M63" i="19"/>
  <c r="M55" i="19"/>
  <c r="M47" i="19"/>
  <c r="M39" i="19"/>
  <c r="M31" i="19"/>
  <c r="M23" i="19"/>
  <c r="M15" i="19"/>
  <c r="M7" i="19"/>
  <c r="U64" i="19"/>
  <c r="U60" i="19"/>
  <c r="U56" i="19"/>
  <c r="U52" i="19"/>
  <c r="U48" i="19"/>
  <c r="U44" i="19"/>
  <c r="U40" i="19"/>
  <c r="U36" i="19"/>
  <c r="U32" i="19"/>
  <c r="U28" i="19"/>
  <c r="U24" i="19"/>
  <c r="U20" i="19"/>
  <c r="U16" i="19"/>
  <c r="U12" i="19"/>
  <c r="U8" i="19"/>
  <c r="V5" i="19"/>
  <c r="M84" i="19"/>
  <c r="M76" i="19"/>
  <c r="M68" i="19"/>
  <c r="M60" i="19"/>
  <c r="M52" i="19"/>
  <c r="M44" i="19"/>
  <c r="M36" i="19"/>
  <c r="M28" i="19"/>
  <c r="M20" i="19"/>
  <c r="M12" i="19"/>
  <c r="V83" i="19"/>
  <c r="V79" i="19"/>
  <c r="V75" i="19"/>
  <c r="V71" i="19"/>
  <c r="V67" i="19"/>
  <c r="V63" i="19"/>
  <c r="V59" i="19"/>
  <c r="V55" i="19"/>
  <c r="V51" i="19"/>
  <c r="V47" i="19"/>
  <c r="V43" i="19"/>
  <c r="V39" i="19"/>
  <c r="V35" i="19"/>
  <c r="V31" i="19"/>
  <c r="V27" i="19"/>
  <c r="V23" i="19"/>
  <c r="V19" i="19"/>
  <c r="V15" i="19"/>
  <c r="V11" i="19"/>
  <c r="V7" i="19"/>
  <c r="M81" i="19"/>
  <c r="M73" i="19"/>
  <c r="M65" i="19"/>
  <c r="M57" i="19"/>
  <c r="M49" i="19"/>
  <c r="M41" i="19"/>
  <c r="M33" i="19"/>
  <c r="M25" i="19"/>
  <c r="M17" i="19"/>
  <c r="M9" i="19"/>
  <c r="U63" i="19"/>
  <c r="U59" i="19"/>
  <c r="U55" i="19"/>
  <c r="U51" i="19"/>
  <c r="U47" i="19"/>
  <c r="U43" i="19"/>
  <c r="U39" i="19"/>
  <c r="U35" i="19"/>
  <c r="U31" i="19"/>
  <c r="U27" i="19"/>
  <c r="U23" i="19"/>
  <c r="U19" i="19"/>
  <c r="U15" i="19"/>
  <c r="U11" i="19"/>
  <c r="M78" i="19"/>
  <c r="M70" i="19"/>
  <c r="M62" i="19"/>
  <c r="M54" i="19"/>
  <c r="M46" i="19"/>
  <c r="M38" i="19"/>
  <c r="M30" i="19"/>
  <c r="M22" i="19"/>
  <c r="M14" i="19"/>
  <c r="M6" i="19"/>
  <c r="V82" i="19"/>
  <c r="V78" i="19"/>
  <c r="V74" i="19"/>
  <c r="V70" i="19"/>
  <c r="V66" i="19"/>
  <c r="V62" i="19"/>
  <c r="V58" i="19"/>
  <c r="V54" i="19"/>
  <c r="V50" i="19"/>
  <c r="V46" i="19"/>
  <c r="V42" i="19"/>
  <c r="V38" i="19"/>
  <c r="V34" i="19"/>
  <c r="V30" i="19"/>
  <c r="V26" i="19"/>
  <c r="V22" i="19"/>
  <c r="V18" i="19"/>
  <c r="V14" i="19"/>
  <c r="V10" i="19"/>
  <c r="U73" i="18"/>
  <c r="V70" i="18"/>
  <c r="U65" i="18"/>
  <c r="U61" i="18"/>
  <c r="V52" i="18"/>
  <c r="U42" i="18"/>
  <c r="U31" i="18"/>
  <c r="V20" i="18"/>
  <c r="U10" i="18"/>
  <c r="V75" i="18"/>
  <c r="U70" i="18"/>
  <c r="V67" i="18"/>
  <c r="V64" i="18"/>
  <c r="V60" i="18"/>
  <c r="U51" i="18"/>
  <c r="V40" i="18"/>
  <c r="U30" i="18"/>
  <c r="U19" i="18"/>
  <c r="V8" i="18"/>
  <c r="V74" i="18"/>
  <c r="U69" i="18"/>
  <c r="V66" i="18"/>
  <c r="U63" i="18"/>
  <c r="U58" i="18"/>
  <c r="U47" i="18"/>
  <c r="V36" i="18"/>
  <c r="U26" i="18"/>
  <c r="U15" i="18"/>
  <c r="U71" i="18"/>
  <c r="V68" i="18"/>
  <c r="U62" i="18"/>
  <c r="U55" i="18"/>
  <c r="V44" i="18"/>
  <c r="U34" i="18"/>
  <c r="U23" i="18"/>
  <c r="V12" i="18"/>
  <c r="V73" i="18"/>
  <c r="U68" i="18"/>
  <c r="V65" i="18"/>
  <c r="V61" i="18"/>
  <c r="U54" i="18"/>
  <c r="U43" i="18"/>
  <c r="V32" i="18"/>
  <c r="U22" i="18"/>
  <c r="U11" i="18"/>
  <c r="V58" i="18"/>
  <c r="V54" i="18"/>
  <c r="V50" i="18"/>
  <c r="V46" i="18"/>
  <c r="V42" i="18"/>
  <c r="V38" i="18"/>
  <c r="V34" i="18"/>
  <c r="V30" i="18"/>
  <c r="V26" i="18"/>
  <c r="V22" i="18"/>
  <c r="V18" i="18"/>
  <c r="V14" i="18"/>
  <c r="V10" i="18"/>
  <c r="V6" i="18"/>
  <c r="V57" i="18"/>
  <c r="V53" i="18"/>
  <c r="V49" i="18"/>
  <c r="V45" i="18"/>
  <c r="V41" i="18"/>
  <c r="V37" i="18"/>
  <c r="V33" i="18"/>
  <c r="V29" i="18"/>
  <c r="V25" i="18"/>
  <c r="V21" i="18"/>
  <c r="V17" i="18"/>
  <c r="V13" i="18"/>
  <c r="V9" i="18"/>
  <c r="U6" i="18"/>
  <c r="U57" i="18"/>
  <c r="U53" i="18"/>
  <c r="U49" i="18"/>
  <c r="U45" i="18"/>
  <c r="U41" i="18"/>
  <c r="U37" i="18"/>
  <c r="U33" i="18"/>
  <c r="U29" i="18"/>
  <c r="U25" i="18"/>
  <c r="U21" i="18"/>
  <c r="U17" i="18"/>
  <c r="U13" i="18"/>
  <c r="U9" i="18"/>
  <c r="U60" i="18"/>
  <c r="U56" i="18"/>
  <c r="U52" i="18"/>
  <c r="U48" i="18"/>
  <c r="U44" i="18"/>
  <c r="U40" i="18"/>
  <c r="U36" i="18"/>
  <c r="U32" i="18"/>
  <c r="U28" i="18"/>
  <c r="U24" i="18"/>
  <c r="U20" i="18"/>
  <c r="U16" i="18"/>
  <c r="U12" i="18"/>
  <c r="V55" i="18"/>
  <c r="V51" i="18"/>
  <c r="V47" i="18"/>
  <c r="V43" i="18"/>
  <c r="V39" i="18"/>
  <c r="V35" i="18"/>
  <c r="V31" i="18"/>
  <c r="V27" i="18"/>
  <c r="V23" i="18"/>
  <c r="V19" i="18"/>
  <c r="V15" i="18"/>
  <c r="V11" i="18"/>
  <c r="L116" i="13"/>
  <c r="L72" i="13"/>
  <c r="L46" i="13"/>
  <c r="L90" i="13"/>
  <c r="L52" i="13"/>
  <c r="L25" i="13"/>
  <c r="L101" i="13"/>
  <c r="L95" i="13"/>
  <c r="L76" i="13"/>
  <c r="L71" i="13"/>
  <c r="L57" i="13"/>
  <c r="L100" i="13"/>
  <c r="M75" i="13"/>
  <c r="L56" i="13"/>
  <c r="L37" i="13"/>
  <c r="K205" i="13"/>
  <c r="O205" i="13" s="1"/>
  <c r="K201" i="13"/>
  <c r="K199" i="13"/>
  <c r="O199" i="13" s="1"/>
  <c r="K197" i="13"/>
  <c r="K195" i="13"/>
  <c r="O195" i="13" s="1"/>
  <c r="K193" i="13"/>
  <c r="K191" i="13"/>
  <c r="O191" i="13" s="1"/>
  <c r="K189" i="13"/>
  <c r="K187" i="13"/>
  <c r="O187" i="13" s="1"/>
  <c r="K185" i="13"/>
  <c r="K183" i="13"/>
  <c r="O183" i="13" s="1"/>
  <c r="K181" i="13"/>
  <c r="K179" i="13"/>
  <c r="O179" i="13" s="1"/>
  <c r="K177" i="13"/>
  <c r="K175" i="13"/>
  <c r="K173" i="13"/>
  <c r="K171" i="13"/>
  <c r="O171" i="13" s="1"/>
  <c r="K169" i="13"/>
  <c r="K167" i="13"/>
  <c r="O167" i="13" s="1"/>
  <c r="L119" i="13"/>
  <c r="L114" i="13"/>
  <c r="L109" i="13"/>
  <c r="L104" i="13"/>
  <c r="L85" i="13"/>
  <c r="L75" i="13"/>
  <c r="L65" i="13"/>
  <c r="L60" i="13"/>
  <c r="L36" i="13"/>
  <c r="L123" i="13"/>
  <c r="L99" i="13"/>
  <c r="L94" i="13"/>
  <c r="L89" i="13"/>
  <c r="L79" i="13"/>
  <c r="L70" i="13"/>
  <c r="L55" i="13"/>
  <c r="L50" i="13"/>
  <c r="L45" i="13"/>
  <c r="L40" i="13"/>
  <c r="L24" i="13"/>
  <c r="L113" i="13"/>
  <c r="L74" i="13"/>
  <c r="L64" i="13"/>
  <c r="L59" i="13"/>
  <c r="L35" i="13"/>
  <c r="L29" i="13"/>
  <c r="L132" i="13"/>
  <c r="L117" i="13"/>
  <c r="L102" i="13"/>
  <c r="L98" i="13"/>
  <c r="L83" i="13"/>
  <c r="L49" i="13"/>
  <c r="K204" i="13"/>
  <c r="K202" i="13"/>
  <c r="O202" i="13" s="1"/>
  <c r="K200" i="13"/>
  <c r="K198" i="13"/>
  <c r="K196" i="13"/>
  <c r="K194" i="13"/>
  <c r="O194" i="13" s="1"/>
  <c r="K192" i="13"/>
  <c r="K190" i="13"/>
  <c r="O190" i="13" s="1"/>
  <c r="K188" i="13"/>
  <c r="K184" i="13"/>
  <c r="O184" i="13" s="1"/>
  <c r="K182" i="13"/>
  <c r="K180" i="13"/>
  <c r="O180" i="13" s="1"/>
  <c r="K178" i="13"/>
  <c r="K176" i="13"/>
  <c r="O176" i="13" s="1"/>
  <c r="K174" i="13"/>
  <c r="K172" i="13"/>
  <c r="O172" i="13" s="1"/>
  <c r="K170" i="13"/>
  <c r="K168" i="13"/>
  <c r="O168" i="13" s="1"/>
  <c r="K166" i="13"/>
  <c r="L121" i="13"/>
  <c r="L106" i="13"/>
  <c r="L87" i="13"/>
  <c r="L68" i="13"/>
  <c r="L53" i="13"/>
  <c r="L38" i="13"/>
  <c r="L34" i="13"/>
  <c r="L15" i="13"/>
  <c r="V152" i="13"/>
  <c r="V148" i="13"/>
  <c r="U143" i="13"/>
  <c r="U138" i="13"/>
  <c r="U122" i="13"/>
  <c r="U106" i="13"/>
  <c r="U90" i="13"/>
  <c r="V69" i="13"/>
  <c r="V155" i="13"/>
  <c r="V151" i="13"/>
  <c r="U147" i="13"/>
  <c r="U142" i="13"/>
  <c r="U134" i="13"/>
  <c r="U118" i="13"/>
  <c r="U102" i="13"/>
  <c r="V85" i="13"/>
  <c r="V63" i="13"/>
  <c r="U155" i="13"/>
  <c r="U151" i="13"/>
  <c r="V146" i="13"/>
  <c r="V141" i="13"/>
  <c r="U131" i="13"/>
  <c r="U115" i="13"/>
  <c r="U99" i="13"/>
  <c r="V81" i="13"/>
  <c r="U59" i="13"/>
  <c r="V154" i="13"/>
  <c r="V150" i="13"/>
  <c r="U146" i="13"/>
  <c r="V140" i="13"/>
  <c r="U130" i="13"/>
  <c r="U114" i="13"/>
  <c r="U98" i="13"/>
  <c r="V80" i="13"/>
  <c r="U57" i="13"/>
  <c r="U154" i="13"/>
  <c r="U150" i="13"/>
  <c r="V145" i="13"/>
  <c r="V139" i="13"/>
  <c r="U127" i="13"/>
  <c r="U111" i="13"/>
  <c r="U95" i="13"/>
  <c r="V76" i="13"/>
  <c r="V44" i="13"/>
  <c r="V135" i="13"/>
  <c r="V131" i="13"/>
  <c r="V127" i="13"/>
  <c r="V123" i="13"/>
  <c r="V119" i="13"/>
  <c r="V115" i="13"/>
  <c r="V111" i="13"/>
  <c r="V107" i="13"/>
  <c r="V103" i="13"/>
  <c r="V99" i="13"/>
  <c r="V95" i="13"/>
  <c r="V91" i="13"/>
  <c r="V87" i="13"/>
  <c r="U83" i="13"/>
  <c r="U77" i="13"/>
  <c r="U72" i="13"/>
  <c r="V65" i="13"/>
  <c r="V59" i="13"/>
  <c r="U45" i="13"/>
  <c r="U14" i="13"/>
  <c r="V134" i="13"/>
  <c r="V130" i="13"/>
  <c r="V126" i="13"/>
  <c r="V122" i="13"/>
  <c r="V118" i="13"/>
  <c r="V114" i="13"/>
  <c r="V110" i="13"/>
  <c r="V106" i="13"/>
  <c r="V102" i="13"/>
  <c r="V98" i="13"/>
  <c r="V94" i="13"/>
  <c r="V90" i="13"/>
  <c r="V86" i="13"/>
  <c r="U81" i="13"/>
  <c r="U76" i="13"/>
  <c r="U71" i="13"/>
  <c r="V64" i="13"/>
  <c r="V57" i="13"/>
  <c r="U38" i="13"/>
  <c r="V137" i="13"/>
  <c r="V133" i="13"/>
  <c r="V129" i="13"/>
  <c r="V125" i="13"/>
  <c r="V121" i="13"/>
  <c r="V117" i="13"/>
  <c r="V113" i="13"/>
  <c r="V109" i="13"/>
  <c r="V105" i="13"/>
  <c r="V101" i="13"/>
  <c r="V97" i="13"/>
  <c r="V93" i="13"/>
  <c r="V89" i="13"/>
  <c r="U85" i="13"/>
  <c r="U80" i="13"/>
  <c r="U75" i="13"/>
  <c r="U69" i="13"/>
  <c r="U63" i="13"/>
  <c r="V56" i="13"/>
  <c r="V28" i="13"/>
  <c r="U145" i="13"/>
  <c r="U141" i="13"/>
  <c r="U137" i="13"/>
  <c r="U133" i="13"/>
  <c r="U129" i="13"/>
  <c r="U125" i="13"/>
  <c r="U121" i="13"/>
  <c r="U117" i="13"/>
  <c r="U113" i="13"/>
  <c r="U109" i="13"/>
  <c r="U105" i="13"/>
  <c r="U101" i="13"/>
  <c r="U97" i="13"/>
  <c r="U93" i="13"/>
  <c r="U89" i="13"/>
  <c r="V84" i="13"/>
  <c r="V79" i="13"/>
  <c r="V73" i="13"/>
  <c r="V68" i="13"/>
  <c r="V61" i="13"/>
  <c r="U54" i="13"/>
  <c r="V27" i="13"/>
  <c r="V136" i="13"/>
  <c r="V132" i="13"/>
  <c r="V128" i="13"/>
  <c r="V124" i="13"/>
  <c r="V120" i="13"/>
  <c r="V116" i="13"/>
  <c r="V112" i="13"/>
  <c r="V108" i="13"/>
  <c r="V104" i="13"/>
  <c r="V100" i="13"/>
  <c r="V96" i="13"/>
  <c r="V92" i="13"/>
  <c r="V88" i="13"/>
  <c r="U84" i="13"/>
  <c r="U79" i="13"/>
  <c r="U73" i="13"/>
  <c r="V67" i="13"/>
  <c r="U61" i="13"/>
  <c r="U53" i="13"/>
  <c r="U22" i="13"/>
  <c r="U148" i="13"/>
  <c r="U144" i="13"/>
  <c r="U140" i="13"/>
  <c r="U136" i="13"/>
  <c r="U132" i="13"/>
  <c r="U128" i="13"/>
  <c r="U124" i="13"/>
  <c r="U120" i="13"/>
  <c r="U116" i="13"/>
  <c r="U112" i="13"/>
  <c r="U108" i="13"/>
  <c r="U104" i="13"/>
  <c r="U100" i="13"/>
  <c r="U96" i="13"/>
  <c r="U92" i="13"/>
  <c r="U88" i="13"/>
  <c r="V83" i="13"/>
  <c r="V77" i="13"/>
  <c r="V72" i="13"/>
  <c r="U67" i="13"/>
  <c r="V60" i="13"/>
  <c r="U46" i="13"/>
  <c r="V19" i="13"/>
  <c r="G46" i="13"/>
  <c r="B51" i="27"/>
  <c r="K51" i="27" s="1"/>
  <c r="AE72" i="18"/>
  <c r="AD71" i="18"/>
  <c r="AC74" i="18"/>
  <c r="AC70" i="18"/>
  <c r="AB66" i="18"/>
  <c r="AN35" i="18"/>
  <c r="AB33" i="18"/>
  <c r="AE71" i="18"/>
  <c r="AD70" i="18"/>
  <c r="AB74" i="18"/>
  <c r="AC69" i="18"/>
  <c r="AC20" i="18"/>
  <c r="AE68" i="18"/>
  <c r="AD75" i="18"/>
  <c r="AD67" i="18"/>
  <c r="AC72" i="18"/>
  <c r="AM75" i="18"/>
  <c r="AN74" i="18"/>
  <c r="AO73" i="18"/>
  <c r="AP72" i="18"/>
  <c r="AN60" i="18"/>
  <c r="AP50" i="18"/>
  <c r="AM45" i="18"/>
  <c r="AM35" i="18"/>
  <c r="AL71" i="18"/>
  <c r="AO60" i="18"/>
  <c r="AM74" i="18"/>
  <c r="AN73" i="18"/>
  <c r="AO72" i="18"/>
  <c r="AP71" i="18"/>
  <c r="AM60" i="18"/>
  <c r="AO50" i="18"/>
  <c r="AL45" i="18"/>
  <c r="AL35" i="18"/>
  <c r="AP75" i="18"/>
  <c r="AP45" i="18"/>
  <c r="AO74" i="18"/>
  <c r="AL74" i="18"/>
  <c r="AM73" i="18"/>
  <c r="AN72" i="18"/>
  <c r="AO71" i="18"/>
  <c r="AL60" i="18"/>
  <c r="AN50" i="18"/>
  <c r="AP40" i="18"/>
  <c r="AN55" i="18"/>
  <c r="AN75" i="18"/>
  <c r="AL73" i="18"/>
  <c r="AM72" i="18"/>
  <c r="AN71" i="18"/>
  <c r="AP55" i="18"/>
  <c r="AM50" i="18"/>
  <c r="AO40" i="18"/>
  <c r="AN45" i="18"/>
  <c r="AL72" i="18"/>
  <c r="AM71" i="18"/>
  <c r="AO55" i="18"/>
  <c r="AL50" i="18"/>
  <c r="AN40" i="18"/>
  <c r="AM40" i="18"/>
  <c r="AP35" i="18"/>
  <c r="AO75" i="18"/>
  <c r="AP74" i="18"/>
  <c r="AP60" i="18"/>
  <c r="AM55" i="18"/>
  <c r="AO45" i="18"/>
  <c r="AL40" i="18"/>
  <c r="AP73" i="18"/>
  <c r="AE75" i="18"/>
  <c r="AE67" i="18"/>
  <c r="AD74" i="18"/>
  <c r="AD66" i="18"/>
  <c r="AB72" i="18"/>
  <c r="AC67" i="18"/>
  <c r="AL23" i="18"/>
  <c r="AE74" i="18"/>
  <c r="AE66" i="18"/>
  <c r="AD73" i="18"/>
  <c r="AC75" i="18"/>
  <c r="AC71" i="18"/>
  <c r="AB67" i="18"/>
  <c r="AE73" i="18"/>
  <c r="AE45" i="18"/>
  <c r="AD72" i="18"/>
  <c r="AB71" i="18"/>
  <c r="AC66" i="18"/>
  <c r="E42" i="27"/>
  <c r="AT35" i="26"/>
  <c r="AS26" i="26"/>
  <c r="AS29" i="26"/>
  <c r="AD23" i="26"/>
  <c r="AE29" i="26"/>
  <c r="AE26" i="26"/>
  <c r="E91" i="27"/>
  <c r="AE23" i="26"/>
  <c r="E88" i="27"/>
  <c r="AE35" i="26"/>
  <c r="AO35" i="26"/>
  <c r="AS35" i="26" s="1"/>
  <c r="AD35" i="26"/>
  <c r="H85" i="26"/>
  <c r="X164" i="26"/>
  <c r="C94" i="18"/>
  <c r="AL68" i="18"/>
  <c r="AM67" i="18"/>
  <c r="AN66" i="18"/>
  <c r="AL67" i="18"/>
  <c r="AM66" i="18"/>
  <c r="AP70" i="18"/>
  <c r="AL66" i="18"/>
  <c r="AO70" i="18"/>
  <c r="AP69" i="18"/>
  <c r="AN70" i="18"/>
  <c r="AO69" i="18"/>
  <c r="AP68" i="18"/>
  <c r="AM70" i="18"/>
  <c r="AN69" i="18"/>
  <c r="AO68" i="18"/>
  <c r="AP67" i="18"/>
  <c r="AL70" i="18"/>
  <c r="AM69" i="18"/>
  <c r="AN68" i="18"/>
  <c r="AO67" i="18"/>
  <c r="AP66" i="18"/>
  <c r="AL69" i="18"/>
  <c r="AM68" i="18"/>
  <c r="AN67" i="18"/>
  <c r="AO66" i="18"/>
  <c r="M5" i="18"/>
  <c r="L19" i="18"/>
  <c r="L6" i="18"/>
  <c r="M203" i="18"/>
  <c r="M199" i="18"/>
  <c r="M86" i="18"/>
  <c r="L81" i="18"/>
  <c r="M70" i="18"/>
  <c r="L65" i="18"/>
  <c r="M52" i="18"/>
  <c r="L33" i="18"/>
  <c r="L202" i="18"/>
  <c r="L198" i="18"/>
  <c r="M90" i="18"/>
  <c r="L85" i="18"/>
  <c r="M74" i="18"/>
  <c r="L69" i="18"/>
  <c r="L57" i="18"/>
  <c r="M44" i="18"/>
  <c r="M205" i="18"/>
  <c r="M201" i="18"/>
  <c r="M197" i="18"/>
  <c r="M94" i="18"/>
  <c r="L89" i="18"/>
  <c r="M78" i="18"/>
  <c r="L73" i="18"/>
  <c r="L49" i="18"/>
  <c r="M36" i="18"/>
  <c r="L204" i="18"/>
  <c r="L200" i="18"/>
  <c r="L93" i="18"/>
  <c r="M82" i="18"/>
  <c r="L77" i="18"/>
  <c r="M66" i="18"/>
  <c r="M60" i="18"/>
  <c r="L41" i="18"/>
  <c r="L12" i="18"/>
  <c r="H105" i="27"/>
  <c r="I103" i="27"/>
  <c r="K114" i="27"/>
  <c r="K112" i="27"/>
  <c r="K110" i="27"/>
  <c r="K108" i="27"/>
  <c r="K106" i="27"/>
  <c r="K104" i="27"/>
  <c r="H103" i="27"/>
  <c r="J114" i="27"/>
  <c r="J112" i="27"/>
  <c r="J110" i="27"/>
  <c r="J108" i="27"/>
  <c r="J106" i="27"/>
  <c r="J104" i="27"/>
  <c r="I114" i="27"/>
  <c r="I112" i="27"/>
  <c r="I110" i="27"/>
  <c r="I108" i="27"/>
  <c r="I106" i="27"/>
  <c r="I104" i="27"/>
  <c r="H114" i="27"/>
  <c r="H112" i="27"/>
  <c r="H110" i="27"/>
  <c r="H108" i="27"/>
  <c r="H106" i="27"/>
  <c r="H104" i="27"/>
  <c r="K115" i="27"/>
  <c r="K113" i="27"/>
  <c r="K111" i="27"/>
  <c r="K109" i="27"/>
  <c r="K107" i="27"/>
  <c r="K105" i="27"/>
  <c r="J115" i="27"/>
  <c r="J113" i="27"/>
  <c r="J111" i="27"/>
  <c r="J109" i="27"/>
  <c r="J107" i="27"/>
  <c r="J105" i="27"/>
  <c r="K103" i="27"/>
  <c r="I115" i="27"/>
  <c r="I113" i="27"/>
  <c r="I111" i="27"/>
  <c r="I109" i="27"/>
  <c r="I107" i="27"/>
  <c r="I105" i="27"/>
  <c r="J103" i="27"/>
  <c r="H115" i="27"/>
  <c r="H113" i="27"/>
  <c r="H111" i="27"/>
  <c r="H109" i="27"/>
  <c r="H107" i="27"/>
  <c r="AB195" i="27"/>
  <c r="AT26" i="26"/>
  <c r="AQ26" i="26"/>
  <c r="AQ35" i="26"/>
  <c r="AR26" i="26"/>
  <c r="AR35" i="26"/>
  <c r="AQ29" i="26"/>
  <c r="J204" i="26"/>
  <c r="K204" i="26" s="1"/>
  <c r="J202" i="26"/>
  <c r="K202" i="26" s="1"/>
  <c r="J200" i="26"/>
  <c r="K200" i="26" s="1"/>
  <c r="J198" i="26"/>
  <c r="K198" i="26" s="1"/>
  <c r="J196" i="26"/>
  <c r="K196" i="26" s="1"/>
  <c r="J194" i="26"/>
  <c r="K194" i="26" s="1"/>
  <c r="J192" i="26"/>
  <c r="K192" i="26" s="1"/>
  <c r="J190" i="26"/>
  <c r="K190" i="26" s="1"/>
  <c r="J188" i="26"/>
  <c r="K188" i="26" s="1"/>
  <c r="J186" i="26"/>
  <c r="K186" i="26" s="1"/>
  <c r="J184" i="26"/>
  <c r="K184" i="26" s="1"/>
  <c r="L182" i="26"/>
  <c r="L180" i="26"/>
  <c r="L178" i="26"/>
  <c r="L176" i="26"/>
  <c r="M174" i="26"/>
  <c r="M172" i="26"/>
  <c r="M170" i="26"/>
  <c r="M168" i="26"/>
  <c r="M166" i="26"/>
  <c r="M164" i="26"/>
  <c r="M162" i="26"/>
  <c r="M160" i="26"/>
  <c r="M158" i="26"/>
  <c r="M156" i="26"/>
  <c r="M154" i="26"/>
  <c r="M152" i="26"/>
  <c r="L99" i="26"/>
  <c r="L97" i="26"/>
  <c r="L95" i="26"/>
  <c r="L93" i="26"/>
  <c r="L91" i="26"/>
  <c r="L89" i="26"/>
  <c r="L87" i="26"/>
  <c r="L85" i="26"/>
  <c r="L83" i="26"/>
  <c r="L81" i="26"/>
  <c r="L79" i="26"/>
  <c r="L77" i="26"/>
  <c r="L75" i="26"/>
  <c r="L73" i="26"/>
  <c r="L71" i="26"/>
  <c r="L69" i="26"/>
  <c r="L67" i="26"/>
  <c r="L65" i="26"/>
  <c r="M62" i="26"/>
  <c r="L57" i="26"/>
  <c r="M54" i="26"/>
  <c r="L49" i="26"/>
  <c r="M46" i="26"/>
  <c r="L41" i="26"/>
  <c r="M38" i="26"/>
  <c r="L33" i="26"/>
  <c r="M30" i="26"/>
  <c r="L25" i="26"/>
  <c r="M22" i="26"/>
  <c r="L17" i="26"/>
  <c r="M14" i="26"/>
  <c r="L9" i="26"/>
  <c r="M6" i="26"/>
  <c r="AR29" i="26"/>
  <c r="J182" i="26"/>
  <c r="K182" i="26" s="1"/>
  <c r="J180" i="26"/>
  <c r="K180" i="26" s="1"/>
  <c r="J178" i="26"/>
  <c r="K178" i="26" s="1"/>
  <c r="J176" i="26"/>
  <c r="K176" i="26" s="1"/>
  <c r="L174" i="26"/>
  <c r="L172" i="26"/>
  <c r="O172" i="26" s="1"/>
  <c r="L170" i="26"/>
  <c r="L168" i="26"/>
  <c r="L166" i="26"/>
  <c r="L164" i="26"/>
  <c r="L162" i="26"/>
  <c r="L160" i="26"/>
  <c r="L158" i="26"/>
  <c r="L156" i="26"/>
  <c r="O156" i="26" s="1"/>
  <c r="L154" i="26"/>
  <c r="L152" i="26"/>
  <c r="M150" i="26"/>
  <c r="M148" i="26"/>
  <c r="M146" i="26"/>
  <c r="M144" i="26"/>
  <c r="M142" i="26"/>
  <c r="M140" i="26"/>
  <c r="M138" i="26"/>
  <c r="M136" i="26"/>
  <c r="M134" i="26"/>
  <c r="M132" i="26"/>
  <c r="L62" i="26"/>
  <c r="M59" i="26"/>
  <c r="L54" i="26"/>
  <c r="M51" i="26"/>
  <c r="L46" i="26"/>
  <c r="M43" i="26"/>
  <c r="L38" i="26"/>
  <c r="M35" i="26"/>
  <c r="L30" i="26"/>
  <c r="M27" i="26"/>
  <c r="L22" i="26"/>
  <c r="M19" i="26"/>
  <c r="L14" i="26"/>
  <c r="M11" i="26"/>
  <c r="J6" i="26"/>
  <c r="J7" i="26" s="1"/>
  <c r="AT29" i="26"/>
  <c r="L205" i="26"/>
  <c r="L203" i="26"/>
  <c r="L201" i="26"/>
  <c r="L199" i="26"/>
  <c r="L197" i="26"/>
  <c r="L195" i="26"/>
  <c r="L193" i="26"/>
  <c r="L191" i="26"/>
  <c r="L189" i="26"/>
  <c r="L187" i="26"/>
  <c r="L185" i="26"/>
  <c r="L183" i="26"/>
  <c r="M181" i="26"/>
  <c r="M179" i="26"/>
  <c r="M177" i="26"/>
  <c r="M175" i="26"/>
  <c r="L130" i="26"/>
  <c r="L128" i="26"/>
  <c r="L126" i="26"/>
  <c r="L124" i="26"/>
  <c r="L122" i="26"/>
  <c r="L120" i="26"/>
  <c r="L118" i="26"/>
  <c r="L116" i="26"/>
  <c r="L114" i="26"/>
  <c r="L112" i="26"/>
  <c r="L110" i="26"/>
  <c r="L108" i="26"/>
  <c r="L106" i="26"/>
  <c r="L104" i="26"/>
  <c r="L102" i="26"/>
  <c r="M100" i="26"/>
  <c r="M98" i="26"/>
  <c r="M96" i="26"/>
  <c r="M94" i="26"/>
  <c r="M92" i="26"/>
  <c r="M90" i="26"/>
  <c r="M88" i="26"/>
  <c r="M86" i="26"/>
  <c r="M84" i="26"/>
  <c r="M82" i="26"/>
  <c r="M80" i="26"/>
  <c r="M78" i="26"/>
  <c r="M76" i="26"/>
  <c r="M74" i="26"/>
  <c r="M72" i="26"/>
  <c r="M70" i="26"/>
  <c r="M68" i="26"/>
  <c r="M66" i="26"/>
  <c r="L64" i="26"/>
  <c r="M61" i="26"/>
  <c r="L56" i="26"/>
  <c r="M53" i="26"/>
  <c r="L48" i="26"/>
  <c r="M45" i="26"/>
  <c r="L40" i="26"/>
  <c r="M37" i="26"/>
  <c r="L32" i="26"/>
  <c r="M29" i="26"/>
  <c r="L24" i="26"/>
  <c r="M21" i="26"/>
  <c r="L16" i="26"/>
  <c r="M13" i="26"/>
  <c r="L8" i="26"/>
  <c r="J205" i="26"/>
  <c r="K205" i="26" s="1"/>
  <c r="O205" i="26" s="1"/>
  <c r="J203" i="26"/>
  <c r="K203" i="26" s="1"/>
  <c r="J201" i="26"/>
  <c r="K201" i="26" s="1"/>
  <c r="O201" i="26" s="1"/>
  <c r="J199" i="26"/>
  <c r="K199" i="26" s="1"/>
  <c r="J197" i="26"/>
  <c r="K197" i="26" s="1"/>
  <c r="J195" i="26"/>
  <c r="K195" i="26" s="1"/>
  <c r="J193" i="26"/>
  <c r="K193" i="26" s="1"/>
  <c r="J191" i="26"/>
  <c r="K191" i="26" s="1"/>
  <c r="J189" i="26"/>
  <c r="K189" i="26" s="1"/>
  <c r="O189" i="26" s="1"/>
  <c r="J187" i="26"/>
  <c r="K187" i="26" s="1"/>
  <c r="J185" i="26"/>
  <c r="K185" i="26" s="1"/>
  <c r="O185" i="26" s="1"/>
  <c r="L181" i="26"/>
  <c r="L179" i="26"/>
  <c r="L177" i="26"/>
  <c r="L175" i="26"/>
  <c r="M173" i="26"/>
  <c r="M171" i="26"/>
  <c r="M169" i="26"/>
  <c r="M167" i="26"/>
  <c r="M165" i="26"/>
  <c r="M163" i="26"/>
  <c r="M161" i="26"/>
  <c r="M159" i="26"/>
  <c r="M157" i="26"/>
  <c r="M155" i="26"/>
  <c r="M153" i="26"/>
  <c r="M151" i="26"/>
  <c r="L100" i="26"/>
  <c r="L98" i="26"/>
  <c r="L96" i="26"/>
  <c r="L94" i="26"/>
  <c r="L92" i="26"/>
  <c r="L90" i="26"/>
  <c r="L88" i="26"/>
  <c r="L86" i="26"/>
  <c r="L84" i="26"/>
  <c r="L82" i="26"/>
  <c r="L80" i="26"/>
  <c r="L78" i="26"/>
  <c r="L76" i="26"/>
  <c r="L74" i="26"/>
  <c r="L72" i="26"/>
  <c r="L70" i="26"/>
  <c r="L68" i="26"/>
  <c r="L66" i="26"/>
  <c r="L61" i="26"/>
  <c r="M58" i="26"/>
  <c r="L53" i="26"/>
  <c r="M50" i="26"/>
  <c r="L45" i="26"/>
  <c r="M42" i="26"/>
  <c r="L37" i="26"/>
  <c r="M34" i="26"/>
  <c r="L29" i="26"/>
  <c r="M26" i="26"/>
  <c r="L21" i="26"/>
  <c r="M18" i="26"/>
  <c r="L13" i="26"/>
  <c r="M10" i="26"/>
  <c r="M5" i="26"/>
  <c r="O5" i="26" s="1"/>
  <c r="J183" i="26"/>
  <c r="K183" i="26" s="1"/>
  <c r="J181" i="26"/>
  <c r="K181" i="26" s="1"/>
  <c r="J179" i="26"/>
  <c r="K179" i="26" s="1"/>
  <c r="J177" i="26"/>
  <c r="K177" i="26" s="1"/>
  <c r="L173" i="26"/>
  <c r="L171" i="26"/>
  <c r="L169" i="26"/>
  <c r="L167" i="26"/>
  <c r="L165" i="26"/>
  <c r="L163" i="26"/>
  <c r="L161" i="26"/>
  <c r="L159" i="26"/>
  <c r="L157" i="26"/>
  <c r="L155" i="26"/>
  <c r="L153" i="26"/>
  <c r="L151" i="26"/>
  <c r="M149" i="26"/>
  <c r="M147" i="26"/>
  <c r="M145" i="26"/>
  <c r="M143" i="26"/>
  <c r="M141" i="26"/>
  <c r="M139" i="26"/>
  <c r="M137" i="26"/>
  <c r="M135" i="26"/>
  <c r="M133" i="26"/>
  <c r="M131" i="26"/>
  <c r="M63" i="26"/>
  <c r="L58" i="26"/>
  <c r="M55" i="26"/>
  <c r="L50" i="26"/>
  <c r="M47" i="26"/>
  <c r="L42" i="26"/>
  <c r="M39" i="26"/>
  <c r="L34" i="26"/>
  <c r="M31" i="26"/>
  <c r="L26" i="26"/>
  <c r="M23" i="26"/>
  <c r="L18" i="26"/>
  <c r="M15" i="26"/>
  <c r="L10" i="26"/>
  <c r="M7" i="26"/>
  <c r="M204" i="26"/>
  <c r="M202" i="26"/>
  <c r="M200" i="26"/>
  <c r="M198" i="26"/>
  <c r="M196" i="26"/>
  <c r="M194" i="26"/>
  <c r="M192" i="26"/>
  <c r="M190" i="26"/>
  <c r="M188" i="26"/>
  <c r="M186" i="26"/>
  <c r="M184" i="26"/>
  <c r="J175" i="26"/>
  <c r="K175" i="26" s="1"/>
  <c r="J173" i="26"/>
  <c r="K173" i="26" s="1"/>
  <c r="J171" i="26"/>
  <c r="K171" i="26" s="1"/>
  <c r="J169" i="26"/>
  <c r="K169" i="26" s="1"/>
  <c r="J167" i="26"/>
  <c r="K167" i="26" s="1"/>
  <c r="J165" i="26"/>
  <c r="K165" i="26" s="1"/>
  <c r="J163" i="26"/>
  <c r="K163" i="26" s="1"/>
  <c r="J161" i="26"/>
  <c r="K161" i="26" s="1"/>
  <c r="J159" i="26"/>
  <c r="K159" i="26" s="1"/>
  <c r="J157" i="26"/>
  <c r="K157" i="26" s="1"/>
  <c r="L149" i="26"/>
  <c r="L147" i="26"/>
  <c r="L145" i="26"/>
  <c r="L143" i="26"/>
  <c r="L141" i="26"/>
  <c r="L139" i="26"/>
  <c r="L137" i="26"/>
  <c r="L135" i="26"/>
  <c r="L133" i="26"/>
  <c r="L131" i="26"/>
  <c r="M129" i="26"/>
  <c r="M127" i="26"/>
  <c r="M125" i="26"/>
  <c r="M123" i="26"/>
  <c r="M121" i="26"/>
  <c r="M119" i="26"/>
  <c r="M117" i="26"/>
  <c r="M115" i="26"/>
  <c r="M113" i="26"/>
  <c r="M111" i="26"/>
  <c r="M109" i="26"/>
  <c r="M107" i="26"/>
  <c r="M105" i="26"/>
  <c r="M103" i="26"/>
  <c r="M101" i="26"/>
  <c r="L63" i="26"/>
  <c r="M60" i="26"/>
  <c r="L55" i="26"/>
  <c r="M52" i="26"/>
  <c r="L47" i="26"/>
  <c r="M44" i="26"/>
  <c r="L39" i="26"/>
  <c r="M36" i="26"/>
  <c r="L31" i="26"/>
  <c r="M28" i="26"/>
  <c r="L23" i="26"/>
  <c r="M20" i="26"/>
  <c r="L15" i="26"/>
  <c r="M12" i="26"/>
  <c r="L7" i="26"/>
  <c r="L204" i="26"/>
  <c r="L202" i="26"/>
  <c r="L200" i="26"/>
  <c r="L198" i="26"/>
  <c r="L196" i="26"/>
  <c r="L194" i="26"/>
  <c r="L192" i="26"/>
  <c r="L190" i="26"/>
  <c r="L188" i="26"/>
  <c r="L186" i="26"/>
  <c r="L184" i="26"/>
  <c r="M182" i="26"/>
  <c r="M180" i="26"/>
  <c r="M178" i="26"/>
  <c r="M176" i="26"/>
  <c r="L129" i="26"/>
  <c r="L127" i="26"/>
  <c r="L125" i="26"/>
  <c r="L123" i="26"/>
  <c r="L121" i="26"/>
  <c r="L119" i="26"/>
  <c r="L117" i="26"/>
  <c r="L115" i="26"/>
  <c r="L113" i="26"/>
  <c r="L111" i="26"/>
  <c r="L109" i="26"/>
  <c r="L107" i="26"/>
  <c r="L105" i="26"/>
  <c r="L103" i="26"/>
  <c r="L101" i="26"/>
  <c r="M99" i="26"/>
  <c r="M97" i="26"/>
  <c r="M95" i="26"/>
  <c r="M93" i="26"/>
  <c r="M91" i="26"/>
  <c r="M89" i="26"/>
  <c r="M87" i="26"/>
  <c r="M85" i="26"/>
  <c r="M83" i="26"/>
  <c r="M81" i="26"/>
  <c r="M79" i="26"/>
  <c r="M77" i="26"/>
  <c r="M75" i="26"/>
  <c r="M73" i="26"/>
  <c r="M71" i="26"/>
  <c r="M69" i="26"/>
  <c r="M67" i="26"/>
  <c r="M65" i="26"/>
  <c r="L60" i="26"/>
  <c r="M57" i="26"/>
  <c r="L52" i="26"/>
  <c r="M49" i="26"/>
  <c r="L44" i="26"/>
  <c r="M41" i="26"/>
  <c r="L36" i="26"/>
  <c r="M33" i="26"/>
  <c r="L28" i="26"/>
  <c r="M25" i="26"/>
  <c r="L20" i="26"/>
  <c r="M17" i="26"/>
  <c r="L12" i="26"/>
  <c r="X202" i="26"/>
  <c r="X200" i="26"/>
  <c r="X185" i="26"/>
  <c r="X204" i="26"/>
  <c r="X191" i="26"/>
  <c r="AT23" i="26"/>
  <c r="AS23" i="26"/>
  <c r="AR23" i="26"/>
  <c r="AQ23" i="26"/>
  <c r="K174" i="26"/>
  <c r="K170" i="26"/>
  <c r="K166" i="26"/>
  <c r="K162" i="26"/>
  <c r="K158" i="26"/>
  <c r="R7" i="26"/>
  <c r="X190" i="26"/>
  <c r="X182" i="26"/>
  <c r="X187" i="26"/>
  <c r="X179" i="26"/>
  <c r="X171" i="26"/>
  <c r="J91" i="27"/>
  <c r="H88" i="27"/>
  <c r="K99" i="27"/>
  <c r="K93" i="27"/>
  <c r="K90" i="27"/>
  <c r="X5" i="26"/>
  <c r="J99" i="27"/>
  <c r="J93" i="27"/>
  <c r="J90" i="27"/>
  <c r="I99" i="27"/>
  <c r="H93" i="27"/>
  <c r="H90" i="27"/>
  <c r="H99" i="27"/>
  <c r="I93" i="27"/>
  <c r="H89" i="27"/>
  <c r="I87" i="27"/>
  <c r="I92" i="27"/>
  <c r="K89" i="27"/>
  <c r="J87" i="27"/>
  <c r="I94" i="27"/>
  <c r="J94" i="27"/>
  <c r="I91" i="27"/>
  <c r="B95" i="27"/>
  <c r="H92" i="27"/>
  <c r="J89" i="27"/>
  <c r="K92" i="27"/>
  <c r="J92" i="27"/>
  <c r="H94" i="27"/>
  <c r="I89" i="27"/>
  <c r="H87" i="27"/>
  <c r="I90" i="27"/>
  <c r="K88" i="27"/>
  <c r="K91" i="27"/>
  <c r="J88" i="27"/>
  <c r="K94" i="27"/>
  <c r="I88" i="27"/>
  <c r="K87" i="27"/>
  <c r="X166" i="26"/>
  <c r="H89" i="20"/>
  <c r="H91" i="20"/>
  <c r="H82" i="27"/>
  <c r="I82" i="27"/>
  <c r="J82" i="27"/>
  <c r="K82" i="27"/>
  <c r="H79" i="27"/>
  <c r="K79" i="27"/>
  <c r="Q55" i="20"/>
  <c r="AN6" i="20"/>
  <c r="AM8" i="20"/>
  <c r="AM10" i="20"/>
  <c r="AO13" i="20"/>
  <c r="AN17" i="20"/>
  <c r="AO19" i="20"/>
  <c r="AN21" i="20"/>
  <c r="AO23" i="20"/>
  <c r="AN27" i="20"/>
  <c r="AR27" i="20" s="1"/>
  <c r="AM29" i="20"/>
  <c r="AN31" i="20"/>
  <c r="AP26" i="20"/>
  <c r="AP23" i="20"/>
  <c r="AP16" i="20"/>
  <c r="AP13" i="20"/>
  <c r="AL10" i="20"/>
  <c r="AP6" i="20"/>
  <c r="Q49" i="20"/>
  <c r="AC47" i="20"/>
  <c r="AC21" i="20"/>
  <c r="AB59" i="20"/>
  <c r="AB74" i="20"/>
  <c r="AB90" i="20"/>
  <c r="AO6" i="20"/>
  <c r="AN8" i="20"/>
  <c r="AN10" i="20"/>
  <c r="AM12" i="20"/>
  <c r="AM14" i="20"/>
  <c r="AO17" i="20"/>
  <c r="AO21" i="20"/>
  <c r="AO27" i="20"/>
  <c r="AS27" i="20" s="1"/>
  <c r="AN29" i="20"/>
  <c r="AO31" i="20"/>
  <c r="AM33" i="20"/>
  <c r="AP32" i="20"/>
  <c r="AP29" i="20"/>
  <c r="AL26" i="20"/>
  <c r="AL23" i="20"/>
  <c r="AP19" i="20"/>
  <c r="AL16" i="20"/>
  <c r="AL13" i="20"/>
  <c r="AP9" i="20"/>
  <c r="AL6" i="20"/>
  <c r="AY6" i="20" s="1"/>
  <c r="Q47" i="20"/>
  <c r="AB45" i="20"/>
  <c r="AC17" i="20"/>
  <c r="AB62" i="20"/>
  <c r="AB75" i="20"/>
  <c r="AB91" i="20"/>
  <c r="AD12" i="20"/>
  <c r="AL5" i="20"/>
  <c r="AO8" i="20"/>
  <c r="AO10" i="20"/>
  <c r="AN12" i="20"/>
  <c r="AN14" i="20"/>
  <c r="AM16" i="20"/>
  <c r="AM18" i="20"/>
  <c r="AM22" i="20"/>
  <c r="AO29" i="20"/>
  <c r="AN33" i="20"/>
  <c r="AL32" i="20"/>
  <c r="AL29" i="20"/>
  <c r="AT29" i="20" s="1"/>
  <c r="AP22" i="20"/>
  <c r="AL19" i="20"/>
  <c r="AP12" i="20"/>
  <c r="AL9" i="20"/>
  <c r="Q22" i="20"/>
  <c r="AE23" i="20"/>
  <c r="AC42" i="20"/>
  <c r="AB63" i="20"/>
  <c r="AB78" i="20"/>
  <c r="AB94" i="20"/>
  <c r="AB87" i="20"/>
  <c r="AM5" i="20"/>
  <c r="AM7" i="20"/>
  <c r="AO12" i="20"/>
  <c r="AO14" i="20"/>
  <c r="AN16" i="20"/>
  <c r="AN18" i="20"/>
  <c r="AN22" i="20"/>
  <c r="AM24" i="20"/>
  <c r="AM26" i="20"/>
  <c r="AO33" i="20"/>
  <c r="AL22" i="20"/>
  <c r="AP18" i="20"/>
  <c r="AP15" i="20"/>
  <c r="AL12" i="20"/>
  <c r="AP8" i="20"/>
  <c r="Q24" i="20"/>
  <c r="AE15" i="20"/>
  <c r="AC33" i="20"/>
  <c r="AB51" i="20"/>
  <c r="AB65" i="20"/>
  <c r="AB79" i="20"/>
  <c r="AB95" i="20"/>
  <c r="AB71" i="20"/>
  <c r="AN5" i="20"/>
  <c r="AN7" i="20"/>
  <c r="AM11" i="20"/>
  <c r="AO16" i="20"/>
  <c r="AO18" i="20"/>
  <c r="AO22" i="20"/>
  <c r="AN24" i="20"/>
  <c r="AN26" i="20"/>
  <c r="AM28" i="20"/>
  <c r="AM32" i="20"/>
  <c r="AM34" i="20"/>
  <c r="AP34" i="20"/>
  <c r="AP31" i="20"/>
  <c r="AP28" i="20"/>
  <c r="AP21" i="20"/>
  <c r="AL18" i="20"/>
  <c r="AL15" i="20"/>
  <c r="AL8" i="20"/>
  <c r="Q48" i="20"/>
  <c r="AC29" i="20"/>
  <c r="AB53" i="20"/>
  <c r="AB66" i="20"/>
  <c r="AB82" i="20"/>
  <c r="AB58" i="20"/>
  <c r="AO5" i="20"/>
  <c r="AO7" i="20"/>
  <c r="AM9" i="20"/>
  <c r="AN11" i="20"/>
  <c r="AM15" i="20"/>
  <c r="AO24" i="20"/>
  <c r="AO26" i="20"/>
  <c r="AN28" i="20"/>
  <c r="AN32" i="20"/>
  <c r="AN34" i="20"/>
  <c r="AL34" i="20"/>
  <c r="AL31" i="20"/>
  <c r="AL28" i="20"/>
  <c r="AP24" i="20"/>
  <c r="AL21" i="20"/>
  <c r="AP11" i="20"/>
  <c r="B78" i="27"/>
  <c r="J78" i="27" s="1"/>
  <c r="AD23" i="20"/>
  <c r="AB29" i="20"/>
  <c r="AB54" i="20"/>
  <c r="AB67" i="20"/>
  <c r="AB83" i="20"/>
  <c r="AB23" i="20"/>
  <c r="AP5" i="20"/>
  <c r="AN9" i="20"/>
  <c r="AO11" i="20"/>
  <c r="AM13" i="20"/>
  <c r="AN15" i="20"/>
  <c r="AM19" i="20"/>
  <c r="AM23" i="20"/>
  <c r="AO28" i="20"/>
  <c r="AO32" i="20"/>
  <c r="AO34" i="20"/>
  <c r="AP33" i="20"/>
  <c r="AP27" i="20"/>
  <c r="AT27" i="20" s="1"/>
  <c r="AL24" i="20"/>
  <c r="AP17" i="20"/>
  <c r="AP14" i="20"/>
  <c r="AL11" i="20"/>
  <c r="AB5" i="20"/>
  <c r="AC23" i="20"/>
  <c r="AB55" i="20"/>
  <c r="AB70" i="20"/>
  <c r="AB13" i="20"/>
  <c r="K107" i="20"/>
  <c r="O107" i="20" s="1"/>
  <c r="O182" i="20"/>
  <c r="K99" i="20"/>
  <c r="O99" i="20" s="1"/>
  <c r="O194" i="20"/>
  <c r="O178" i="20"/>
  <c r="O162" i="20"/>
  <c r="O146" i="20"/>
  <c r="O130" i="20"/>
  <c r="O112" i="20"/>
  <c r="I81" i="27"/>
  <c r="J81" i="27"/>
  <c r="K81" i="27"/>
  <c r="H81" i="27"/>
  <c r="O166" i="20"/>
  <c r="O150" i="20"/>
  <c r="O134" i="20"/>
  <c r="O118" i="20"/>
  <c r="O190" i="20"/>
  <c r="O174" i="20"/>
  <c r="O158" i="20"/>
  <c r="O142" i="20"/>
  <c r="O126" i="20"/>
  <c r="O104" i="20"/>
  <c r="K115" i="20"/>
  <c r="O115" i="20" s="1"/>
  <c r="O198" i="20"/>
  <c r="O202" i="20"/>
  <c r="O186" i="20"/>
  <c r="O170" i="20"/>
  <c r="O154" i="20"/>
  <c r="O138" i="20"/>
  <c r="O122" i="20"/>
  <c r="O96" i="20"/>
  <c r="O205" i="20"/>
  <c r="K203" i="20"/>
  <c r="O203" i="20" s="1"/>
  <c r="O201" i="20"/>
  <c r="K199" i="20"/>
  <c r="O199" i="20" s="1"/>
  <c r="O197" i="20"/>
  <c r="K195" i="20"/>
  <c r="O195" i="20" s="1"/>
  <c r="O193" i="20"/>
  <c r="K191" i="20"/>
  <c r="O191" i="20" s="1"/>
  <c r="O189" i="20"/>
  <c r="K187" i="20"/>
  <c r="O187" i="20" s="1"/>
  <c r="O185" i="20"/>
  <c r="K183" i="20"/>
  <c r="O183" i="20" s="1"/>
  <c r="O181" i="20"/>
  <c r="K179" i="20"/>
  <c r="O179" i="20" s="1"/>
  <c r="O177" i="20"/>
  <c r="K175" i="20"/>
  <c r="O175" i="20" s="1"/>
  <c r="O173" i="20"/>
  <c r="K171" i="20"/>
  <c r="O171" i="20" s="1"/>
  <c r="O169" i="20"/>
  <c r="K167" i="20"/>
  <c r="O167" i="20" s="1"/>
  <c r="O165" i="20"/>
  <c r="K163" i="20"/>
  <c r="O163" i="20" s="1"/>
  <c r="O161" i="20"/>
  <c r="K159" i="20"/>
  <c r="O159" i="20" s="1"/>
  <c r="O157" i="20"/>
  <c r="K155" i="20"/>
  <c r="O155" i="20" s="1"/>
  <c r="O153" i="20"/>
  <c r="K151" i="20"/>
  <c r="O151" i="20" s="1"/>
  <c r="O149" i="20"/>
  <c r="K147" i="20"/>
  <c r="O147" i="20" s="1"/>
  <c r="O145" i="20"/>
  <c r="K143" i="20"/>
  <c r="O143" i="20" s="1"/>
  <c r="O141" i="20"/>
  <c r="K139" i="20"/>
  <c r="O139" i="20" s="1"/>
  <c r="O137" i="20"/>
  <c r="K135" i="20"/>
  <c r="O135" i="20" s="1"/>
  <c r="O133" i="20"/>
  <c r="K131" i="20"/>
  <c r="O131" i="20" s="1"/>
  <c r="O129" i="20"/>
  <c r="K127" i="20"/>
  <c r="O127" i="20" s="1"/>
  <c r="O125" i="20"/>
  <c r="K123" i="20"/>
  <c r="O123" i="20" s="1"/>
  <c r="O121" i="20"/>
  <c r="K119" i="20"/>
  <c r="O119" i="20" s="1"/>
  <c r="O117" i="20"/>
  <c r="O114" i="20"/>
  <c r="K110" i="20"/>
  <c r="O110" i="20" s="1"/>
  <c r="O106" i="20"/>
  <c r="K102" i="20"/>
  <c r="O102" i="20" s="1"/>
  <c r="O98" i="20"/>
  <c r="B80" i="27"/>
  <c r="AB9" i="20"/>
  <c r="AD44" i="20"/>
  <c r="AE24" i="20"/>
  <c r="AE46" i="20"/>
  <c r="AB93" i="20"/>
  <c r="AB89" i="20"/>
  <c r="AB85" i="20"/>
  <c r="AB81" i="20"/>
  <c r="AB77" i="20"/>
  <c r="AB73" i="20"/>
  <c r="AB69" i="20"/>
  <c r="AB61" i="20"/>
  <c r="AB57" i="20"/>
  <c r="AC9" i="20"/>
  <c r="AB37" i="20"/>
  <c r="AD27" i="20"/>
  <c r="AE31" i="20"/>
  <c r="AB25" i="20"/>
  <c r="AC39" i="20"/>
  <c r="AB50" i="20"/>
  <c r="AD28" i="20"/>
  <c r="AD48" i="20"/>
  <c r="AE32" i="20"/>
  <c r="AE50" i="20"/>
  <c r="AB92" i="20"/>
  <c r="AB88" i="20"/>
  <c r="AB84" i="20"/>
  <c r="AB80" i="20"/>
  <c r="AB76" i="20"/>
  <c r="AB72" i="20"/>
  <c r="AB68" i="20"/>
  <c r="AB64" i="20"/>
  <c r="AB60" i="20"/>
  <c r="AB56" i="20"/>
  <c r="AB52" i="20"/>
  <c r="AC13" i="20"/>
  <c r="AC25" i="20"/>
  <c r="AC50" i="20"/>
  <c r="AE7" i="20"/>
  <c r="AB17" i="20"/>
  <c r="AB42" i="20"/>
  <c r="AD11" i="20"/>
  <c r="AD36" i="20"/>
  <c r="AE8" i="20"/>
  <c r="AE38" i="20"/>
  <c r="AB21" i="20"/>
  <c r="AB33" i="20"/>
  <c r="AD19" i="20"/>
  <c r="AD40" i="20"/>
  <c r="AE16" i="20"/>
  <c r="AE42" i="20"/>
  <c r="K113" i="20"/>
  <c r="O113" i="20" s="1"/>
  <c r="K105" i="20"/>
  <c r="O105" i="20" s="1"/>
  <c r="K97" i="20"/>
  <c r="O97" i="20" s="1"/>
  <c r="K111" i="20"/>
  <c r="O111" i="20" s="1"/>
  <c r="K103" i="20"/>
  <c r="O103" i="20" s="1"/>
  <c r="K109" i="20"/>
  <c r="O109" i="20" s="1"/>
  <c r="K101" i="20"/>
  <c r="O101" i="20" s="1"/>
  <c r="AB6" i="20"/>
  <c r="S6" i="20"/>
  <c r="T6" i="20" s="1"/>
  <c r="R7" i="20"/>
  <c r="S7" i="20" s="1"/>
  <c r="T7" i="20" s="1"/>
  <c r="B72" i="27"/>
  <c r="H72" i="27" s="1"/>
  <c r="AC6" i="20"/>
  <c r="AB10" i="20"/>
  <c r="AB14" i="20"/>
  <c r="AB18" i="20"/>
  <c r="AB22" i="20"/>
  <c r="AB26" i="20"/>
  <c r="AB30" i="20"/>
  <c r="AB34" i="20"/>
  <c r="AC37" i="20"/>
  <c r="AB40" i="20"/>
  <c r="AC45" i="20"/>
  <c r="AB48" i="20"/>
  <c r="AD13" i="20"/>
  <c r="AD21" i="20"/>
  <c r="AD29" i="20"/>
  <c r="AE9" i="20"/>
  <c r="AE17" i="20"/>
  <c r="AE25" i="20"/>
  <c r="AE33" i="20"/>
  <c r="AC10" i="20"/>
  <c r="AC14" i="20"/>
  <c r="AC18" i="20"/>
  <c r="AC22" i="20"/>
  <c r="AC26" i="20"/>
  <c r="AC30" i="20"/>
  <c r="AC34" i="20"/>
  <c r="AC40" i="20"/>
  <c r="AB43" i="20"/>
  <c r="AC48" i="20"/>
  <c r="AD6" i="20"/>
  <c r="AD14" i="20"/>
  <c r="AD22" i="20"/>
  <c r="AD30" i="20"/>
  <c r="AD37" i="20"/>
  <c r="AD41" i="20"/>
  <c r="AD45" i="20"/>
  <c r="AD49" i="20"/>
  <c r="AE10" i="20"/>
  <c r="AE18" i="20"/>
  <c r="AE26" i="20"/>
  <c r="AE34" i="20"/>
  <c r="AE39" i="20"/>
  <c r="AE43" i="20"/>
  <c r="AE47" i="20"/>
  <c r="AB7" i="20"/>
  <c r="AB11" i="20"/>
  <c r="AB15" i="20"/>
  <c r="AB19" i="20"/>
  <c r="AB27" i="20"/>
  <c r="AB31" i="20"/>
  <c r="AB35" i="20"/>
  <c r="AB38" i="20"/>
  <c r="AC43" i="20"/>
  <c r="AB46" i="20"/>
  <c r="AD7" i="20"/>
  <c r="AD15" i="20"/>
  <c r="AD31" i="20"/>
  <c r="AE11" i="20"/>
  <c r="AE19" i="20"/>
  <c r="AE27" i="20"/>
  <c r="AE35" i="20"/>
  <c r="AE95" i="20"/>
  <c r="AE94" i="20"/>
  <c r="AE93" i="20"/>
  <c r="AE92" i="20"/>
  <c r="AE91" i="20"/>
  <c r="AE90" i="20"/>
  <c r="AE89" i="20"/>
  <c r="AE88" i="20"/>
  <c r="AE87" i="20"/>
  <c r="AE86" i="20"/>
  <c r="AE85" i="20"/>
  <c r="AE84" i="20"/>
  <c r="AE83" i="20"/>
  <c r="AE82" i="20"/>
  <c r="AE81" i="20"/>
  <c r="AE80" i="20"/>
  <c r="AE79" i="20"/>
  <c r="AE78" i="20"/>
  <c r="AE77" i="20"/>
  <c r="AE76" i="20"/>
  <c r="AE75" i="20"/>
  <c r="AE74" i="20"/>
  <c r="AE73" i="20"/>
  <c r="AE72" i="20"/>
  <c r="AE71" i="20"/>
  <c r="AE70" i="20"/>
  <c r="AE69" i="20"/>
  <c r="AE68" i="20"/>
  <c r="AE67" i="20"/>
  <c r="AE66" i="20"/>
  <c r="AE65" i="20"/>
  <c r="AE64" i="20"/>
  <c r="AE63" i="20"/>
  <c r="AE62" i="20"/>
  <c r="AE61" i="20"/>
  <c r="AE60" i="20"/>
  <c r="AE59" i="20"/>
  <c r="AE58" i="20"/>
  <c r="AE57" i="20"/>
  <c r="AE56" i="20"/>
  <c r="AE55" i="20"/>
  <c r="AE54" i="20"/>
  <c r="AE53" i="20"/>
  <c r="AE52" i="20"/>
  <c r="AE51" i="20"/>
  <c r="AC7" i="20"/>
  <c r="AC11" i="20"/>
  <c r="AC15" i="20"/>
  <c r="AC19" i="20"/>
  <c r="AC27" i="20"/>
  <c r="AC31" i="20"/>
  <c r="AC35" i="20"/>
  <c r="AC38" i="20"/>
  <c r="AB41" i="20"/>
  <c r="AC46" i="20"/>
  <c r="AB49" i="20"/>
  <c r="AD8" i="20"/>
  <c r="AD16" i="20"/>
  <c r="AD24" i="20"/>
  <c r="AD32" i="20"/>
  <c r="AD38" i="20"/>
  <c r="AD42" i="20"/>
  <c r="AD46" i="20"/>
  <c r="AD50" i="20"/>
  <c r="AE12" i="20"/>
  <c r="AE20" i="20"/>
  <c r="AE28" i="20"/>
  <c r="AE36" i="20"/>
  <c r="AE40" i="20"/>
  <c r="AE44" i="20"/>
  <c r="AE48" i="20"/>
  <c r="AE5" i="20"/>
  <c r="AD95" i="20"/>
  <c r="AD94" i="20"/>
  <c r="AD93" i="20"/>
  <c r="AD92" i="20"/>
  <c r="AD91" i="20"/>
  <c r="AD90" i="20"/>
  <c r="AD89" i="20"/>
  <c r="AD88" i="20"/>
  <c r="AD87" i="20"/>
  <c r="AD86" i="20"/>
  <c r="AD85" i="20"/>
  <c r="AD84" i="20"/>
  <c r="AD83" i="20"/>
  <c r="AD82" i="20"/>
  <c r="AD81" i="20"/>
  <c r="AD80" i="20"/>
  <c r="AD79" i="20"/>
  <c r="AD78" i="20"/>
  <c r="AD77" i="20"/>
  <c r="AD76" i="20"/>
  <c r="AD75" i="20"/>
  <c r="AD74" i="20"/>
  <c r="AD73" i="20"/>
  <c r="AD72" i="20"/>
  <c r="AD71" i="20"/>
  <c r="AD70" i="20"/>
  <c r="AD69" i="20"/>
  <c r="AD68" i="20"/>
  <c r="AD67" i="20"/>
  <c r="AD66" i="20"/>
  <c r="AD65" i="20"/>
  <c r="AD64" i="20"/>
  <c r="AD63" i="20"/>
  <c r="AD62" i="20"/>
  <c r="AD61" i="20"/>
  <c r="AD60" i="20"/>
  <c r="AD59" i="20"/>
  <c r="AD58" i="20"/>
  <c r="AD57" i="20"/>
  <c r="AD56" i="20"/>
  <c r="AD55" i="20"/>
  <c r="AD54" i="20"/>
  <c r="AD53" i="20"/>
  <c r="AD52" i="20"/>
  <c r="AD51" i="20"/>
  <c r="AB8" i="20"/>
  <c r="AB12" i="20"/>
  <c r="AB16" i="20"/>
  <c r="AB20" i="20"/>
  <c r="AB24" i="20"/>
  <c r="AB28" i="20"/>
  <c r="AB32" i="20"/>
  <c r="AB36" i="20"/>
  <c r="AC41" i="20"/>
  <c r="AB44" i="20"/>
  <c r="AC49" i="20"/>
  <c r="AD9" i="20"/>
  <c r="AD17" i="20"/>
  <c r="AD25" i="20"/>
  <c r="AD33" i="20"/>
  <c r="AE13" i="20"/>
  <c r="AE21" i="20"/>
  <c r="AE29" i="20"/>
  <c r="AD5" i="20"/>
  <c r="AC95" i="20"/>
  <c r="AC94" i="20"/>
  <c r="AC93" i="20"/>
  <c r="AC92" i="20"/>
  <c r="AC91" i="20"/>
  <c r="AC90" i="20"/>
  <c r="AC89" i="20"/>
  <c r="AC88" i="20"/>
  <c r="AC87" i="20"/>
  <c r="AC86" i="20"/>
  <c r="AC85" i="20"/>
  <c r="AC84" i="20"/>
  <c r="AC83" i="20"/>
  <c r="AC82" i="20"/>
  <c r="AC81" i="20"/>
  <c r="AC80" i="20"/>
  <c r="AC79" i="20"/>
  <c r="AC78" i="20"/>
  <c r="AC77" i="20"/>
  <c r="AC76" i="20"/>
  <c r="AC75" i="20"/>
  <c r="AC74" i="20"/>
  <c r="AC73" i="20"/>
  <c r="AC72" i="20"/>
  <c r="AC71" i="20"/>
  <c r="AC70" i="20"/>
  <c r="AC69" i="20"/>
  <c r="AC68" i="20"/>
  <c r="AC67" i="20"/>
  <c r="AC66" i="20"/>
  <c r="AC65" i="20"/>
  <c r="AC64" i="20"/>
  <c r="AC63" i="20"/>
  <c r="AC62" i="20"/>
  <c r="AC61" i="20"/>
  <c r="AC60" i="20"/>
  <c r="AC59" i="20"/>
  <c r="AC58" i="20"/>
  <c r="AC57" i="20"/>
  <c r="AC56" i="20"/>
  <c r="AC55" i="20"/>
  <c r="AC54" i="20"/>
  <c r="AC53" i="20"/>
  <c r="AC52" i="20"/>
  <c r="AC51" i="20"/>
  <c r="AC8" i="20"/>
  <c r="AC12" i="20"/>
  <c r="AC16" i="20"/>
  <c r="AC20" i="20"/>
  <c r="AC24" i="20"/>
  <c r="AC28" i="20"/>
  <c r="AC32" i="20"/>
  <c r="AC36" i="20"/>
  <c r="AB39" i="20"/>
  <c r="AC44" i="20"/>
  <c r="AB47" i="20"/>
  <c r="AD10" i="20"/>
  <c r="AD18" i="20"/>
  <c r="AD26" i="20"/>
  <c r="AD34" i="20"/>
  <c r="AD39" i="20"/>
  <c r="AD43" i="20"/>
  <c r="AD47" i="20"/>
  <c r="AE6" i="20"/>
  <c r="AH6" i="20" s="1"/>
  <c r="AE14" i="20"/>
  <c r="AE22" i="20"/>
  <c r="AE30" i="20"/>
  <c r="AE37" i="20"/>
  <c r="AE41" i="20"/>
  <c r="AE45" i="20"/>
  <c r="AE49" i="20"/>
  <c r="AC5" i="20"/>
  <c r="J79" i="27"/>
  <c r="I79" i="27"/>
  <c r="I71" i="27"/>
  <c r="T5" i="20"/>
  <c r="X5" i="20" s="1"/>
  <c r="Y5" i="20" s="1"/>
  <c r="I76" i="27"/>
  <c r="H75" i="27"/>
  <c r="K73" i="27"/>
  <c r="H71" i="27"/>
  <c r="H76" i="27"/>
  <c r="J73" i="27"/>
  <c r="I72" i="27"/>
  <c r="I73" i="27"/>
  <c r="K74" i="27"/>
  <c r="K75" i="27"/>
  <c r="J74" i="27"/>
  <c r="K71" i="27"/>
  <c r="K76" i="27"/>
  <c r="J75" i="27"/>
  <c r="I74" i="27"/>
  <c r="J71" i="27"/>
  <c r="J76" i="27"/>
  <c r="I75" i="27"/>
  <c r="H74" i="27"/>
  <c r="X195" i="26"/>
  <c r="X205" i="26"/>
  <c r="T177" i="26"/>
  <c r="X177" i="26" s="1"/>
  <c r="T192" i="26"/>
  <c r="X192" i="26" s="1"/>
  <c r="T188" i="26"/>
  <c r="X188" i="26" s="1"/>
  <c r="X181" i="26"/>
  <c r="T174" i="26"/>
  <c r="X174" i="26" s="1"/>
  <c r="T165" i="26"/>
  <c r="X165" i="26" s="1"/>
  <c r="T197" i="26"/>
  <c r="X197" i="26" s="1"/>
  <c r="X183" i="26"/>
  <c r="T162" i="26"/>
  <c r="X162" i="26" s="1"/>
  <c r="T157" i="26"/>
  <c r="X157" i="26" s="1"/>
  <c r="T186" i="26"/>
  <c r="X186" i="26" s="1"/>
  <c r="T194" i="26"/>
  <c r="X194" i="26" s="1"/>
  <c r="T176" i="26"/>
  <c r="X176" i="26" s="1"/>
  <c r="T167" i="26"/>
  <c r="X167" i="26" s="1"/>
  <c r="T159" i="26"/>
  <c r="X159" i="26" s="1"/>
  <c r="T6" i="26"/>
  <c r="X6" i="26" s="1"/>
  <c r="T199" i="26"/>
  <c r="X199" i="26" s="1"/>
  <c r="T178" i="26"/>
  <c r="X178" i="26" s="1"/>
  <c r="T173" i="26"/>
  <c r="X173" i="26" s="1"/>
  <c r="T203" i="26"/>
  <c r="X203" i="26" s="1"/>
  <c r="T201" i="26"/>
  <c r="X201" i="26" s="1"/>
  <c r="T196" i="26"/>
  <c r="X196" i="26" s="1"/>
  <c r="T180" i="26"/>
  <c r="X180" i="26" s="1"/>
  <c r="T161" i="26"/>
  <c r="X161" i="26" s="1"/>
  <c r="T156" i="26"/>
  <c r="X156" i="26" s="1"/>
  <c r="T193" i="26"/>
  <c r="X193" i="26" s="1"/>
  <c r="T189" i="26"/>
  <c r="X189" i="26" s="1"/>
  <c r="T175" i="26"/>
  <c r="X175" i="26" s="1"/>
  <c r="T160" i="26"/>
  <c r="X160" i="26" s="1"/>
  <c r="T198" i="26"/>
  <c r="X198" i="26" s="1"/>
  <c r="T184" i="26"/>
  <c r="X184" i="26" s="1"/>
  <c r="T172" i="26"/>
  <c r="X172" i="26" s="1"/>
  <c r="T170" i="26"/>
  <c r="X170" i="26" s="1"/>
  <c r="T168" i="26"/>
  <c r="X168" i="26" s="1"/>
  <c r="X163" i="26"/>
  <c r="T158" i="26"/>
  <c r="X158" i="26" s="1"/>
  <c r="T202" i="20"/>
  <c r="X202" i="20" s="1"/>
  <c r="T194" i="20"/>
  <c r="X194" i="20" s="1"/>
  <c r="T96" i="20"/>
  <c r="X96" i="20" s="1"/>
  <c r="T189" i="20"/>
  <c r="X189" i="20" s="1"/>
  <c r="T181" i="20"/>
  <c r="X181" i="20" s="1"/>
  <c r="X177" i="20"/>
  <c r="X162" i="20"/>
  <c r="T157" i="20"/>
  <c r="X157" i="20" s="1"/>
  <c r="T125" i="20"/>
  <c r="X125" i="20" s="1"/>
  <c r="T101" i="20"/>
  <c r="X101" i="20" s="1"/>
  <c r="T120" i="20"/>
  <c r="X120" i="20" s="1"/>
  <c r="T173" i="20"/>
  <c r="X173" i="20" s="1"/>
  <c r="X166" i="20"/>
  <c r="T149" i="20"/>
  <c r="X149" i="20" s="1"/>
  <c r="T139" i="20"/>
  <c r="X139" i="20" s="1"/>
  <c r="T113" i="20"/>
  <c r="X113" i="20" s="1"/>
  <c r="Q45" i="20"/>
  <c r="X184" i="20"/>
  <c r="T151" i="20"/>
  <c r="X151" i="20" s="1"/>
  <c r="T141" i="20"/>
  <c r="X141" i="20" s="1"/>
  <c r="T117" i="20"/>
  <c r="X117" i="20" s="1"/>
  <c r="T97" i="20"/>
  <c r="X97" i="20" s="1"/>
  <c r="T104" i="20"/>
  <c r="X104" i="20" s="1"/>
  <c r="T148" i="20"/>
  <c r="X148" i="20" s="1"/>
  <c r="T165" i="20"/>
  <c r="X165" i="20" s="1"/>
  <c r="T133" i="20"/>
  <c r="X133" i="20" s="1"/>
  <c r="G37" i="18"/>
  <c r="G32" i="18"/>
  <c r="Q70" i="18" s="1"/>
  <c r="G41" i="18"/>
  <c r="G38" i="13"/>
  <c r="G37" i="13"/>
  <c r="G47" i="13"/>
  <c r="G44" i="13"/>
  <c r="G30" i="13"/>
  <c r="S177" i="13"/>
  <c r="G35" i="13"/>
  <c r="G39" i="13"/>
  <c r="S199" i="13"/>
  <c r="S191" i="13"/>
  <c r="S183" i="13"/>
  <c r="S175" i="13"/>
  <c r="S167" i="13"/>
  <c r="S204" i="13"/>
  <c r="S196" i="13"/>
  <c r="S188" i="13"/>
  <c r="S180" i="13"/>
  <c r="S172" i="13"/>
  <c r="S198" i="13"/>
  <c r="S190" i="13"/>
  <c r="S182" i="13"/>
  <c r="S174" i="13"/>
  <c r="S166" i="13"/>
  <c r="S185" i="13"/>
  <c r="S203" i="13"/>
  <c r="T203" i="13" s="1"/>
  <c r="S195" i="13"/>
  <c r="S187" i="13"/>
  <c r="S179" i="13"/>
  <c r="S171" i="13"/>
  <c r="S200" i="13"/>
  <c r="S192" i="13"/>
  <c r="S184" i="13"/>
  <c r="S176" i="13"/>
  <c r="S168" i="13"/>
  <c r="S193" i="13"/>
  <c r="S205" i="13"/>
  <c r="S197" i="13"/>
  <c r="S189" i="13"/>
  <c r="S181" i="13"/>
  <c r="S173" i="13"/>
  <c r="S201" i="13"/>
  <c r="T201" i="13" s="1"/>
  <c r="S169" i="13"/>
  <c r="S202" i="13"/>
  <c r="S194" i="13"/>
  <c r="S186" i="13"/>
  <c r="S178" i="13"/>
  <c r="S170" i="13"/>
  <c r="F42" i="27"/>
  <c r="AO35" i="18"/>
  <c r="AP29" i="18"/>
  <c r="AM28" i="18"/>
  <c r="AO21" i="18"/>
  <c r="AO16" i="18"/>
  <c r="AM15" i="18"/>
  <c r="AC9" i="18"/>
  <c r="AM10" i="18"/>
  <c r="AP8" i="18"/>
  <c r="K30" i="27"/>
  <c r="M155" i="13"/>
  <c r="M91" i="13"/>
  <c r="U68" i="13"/>
  <c r="U64" i="13"/>
  <c r="U60" i="13"/>
  <c r="V55" i="13"/>
  <c r="V43" i="13"/>
  <c r="V20" i="13"/>
  <c r="M147" i="13"/>
  <c r="M83" i="13"/>
  <c r="M131" i="13"/>
  <c r="M67" i="13"/>
  <c r="V82" i="13"/>
  <c r="V78" i="13"/>
  <c r="V74" i="13"/>
  <c r="V70" i="13"/>
  <c r="V66" i="13"/>
  <c r="V62" i="13"/>
  <c r="V58" i="13"/>
  <c r="V52" i="13"/>
  <c r="V35" i="13"/>
  <c r="V12" i="13"/>
  <c r="I32" i="27"/>
  <c r="L146" i="13"/>
  <c r="L142" i="13"/>
  <c r="L131" i="13"/>
  <c r="L127" i="13"/>
  <c r="M123" i="13"/>
  <c r="L112" i="13"/>
  <c r="L108" i="13"/>
  <c r="L97" i="13"/>
  <c r="L93" i="13"/>
  <c r="L82" i="13"/>
  <c r="L78" i="13"/>
  <c r="L67" i="13"/>
  <c r="L63" i="13"/>
  <c r="M59" i="13"/>
  <c r="L48" i="13"/>
  <c r="L44" i="13"/>
  <c r="L33" i="13"/>
  <c r="U86" i="13"/>
  <c r="U82" i="13"/>
  <c r="U78" i="13"/>
  <c r="U74" i="13"/>
  <c r="U70" i="13"/>
  <c r="U66" i="13"/>
  <c r="U62" i="13"/>
  <c r="U58" i="13"/>
  <c r="V51" i="13"/>
  <c r="U30" i="13"/>
  <c r="V11" i="13"/>
  <c r="M115" i="13"/>
  <c r="M51" i="13"/>
  <c r="M27" i="13"/>
  <c r="H31" i="27"/>
  <c r="L145" i="13"/>
  <c r="L141" i="13"/>
  <c r="L130" i="13"/>
  <c r="L126" i="13"/>
  <c r="L115" i="13"/>
  <c r="L111" i="13"/>
  <c r="M107" i="13"/>
  <c r="L96" i="13"/>
  <c r="L92" i="13"/>
  <c r="L81" i="13"/>
  <c r="L77" i="13"/>
  <c r="L66" i="13"/>
  <c r="L62" i="13"/>
  <c r="L51" i="13"/>
  <c r="L47" i="13"/>
  <c r="M43" i="13"/>
  <c r="L22" i="13"/>
  <c r="L16" i="13"/>
  <c r="L152" i="13"/>
  <c r="L148" i="13"/>
  <c r="L137" i="13"/>
  <c r="L133" i="13"/>
  <c r="L122" i="13"/>
  <c r="L118" i="13"/>
  <c r="L107" i="13"/>
  <c r="L103" i="13"/>
  <c r="M99" i="13"/>
  <c r="L88" i="13"/>
  <c r="L84" i="13"/>
  <c r="L73" i="13"/>
  <c r="L69" i="13"/>
  <c r="L58" i="13"/>
  <c r="L54" i="13"/>
  <c r="L43" i="13"/>
  <c r="L39" i="13"/>
  <c r="M35" i="13"/>
  <c r="L31" i="13"/>
  <c r="L26" i="13"/>
  <c r="G32" i="13"/>
  <c r="G31" i="13"/>
  <c r="G28" i="13"/>
  <c r="L27" i="13"/>
  <c r="L23" i="13"/>
  <c r="L13" i="13"/>
  <c r="L7" i="13"/>
  <c r="U56" i="13"/>
  <c r="U50" i="13"/>
  <c r="U42" i="13"/>
  <c r="U34" i="13"/>
  <c r="U26" i="13"/>
  <c r="U18" i="13"/>
  <c r="U10" i="13"/>
  <c r="L30" i="13"/>
  <c r="U49" i="13"/>
  <c r="U41" i="13"/>
  <c r="U33" i="13"/>
  <c r="U25" i="13"/>
  <c r="U17" i="13"/>
  <c r="U9" i="13"/>
  <c r="U55" i="13"/>
  <c r="V48" i="13"/>
  <c r="V40" i="13"/>
  <c r="V32" i="13"/>
  <c r="V24" i="13"/>
  <c r="V16" i="13"/>
  <c r="V8" i="13"/>
  <c r="V54" i="13"/>
  <c r="V47" i="13"/>
  <c r="V39" i="13"/>
  <c r="V31" i="13"/>
  <c r="V23" i="13"/>
  <c r="V15" i="13"/>
  <c r="V7" i="13"/>
  <c r="L32" i="13"/>
  <c r="L28" i="13"/>
  <c r="U37" i="13"/>
  <c r="U29" i="13"/>
  <c r="U21" i="13"/>
  <c r="U13" i="13"/>
  <c r="G45" i="13"/>
  <c r="G41" i="13"/>
  <c r="G33" i="13"/>
  <c r="L14" i="13"/>
  <c r="L8" i="13"/>
  <c r="AB17" i="18"/>
  <c r="AE37" i="18"/>
  <c r="AD61" i="18"/>
  <c r="AC52" i="18"/>
  <c r="AE11" i="18"/>
  <c r="AD53" i="18"/>
  <c r="AB49" i="18"/>
  <c r="AD24" i="18"/>
  <c r="AC36" i="18"/>
  <c r="AD16" i="18"/>
  <c r="B49" i="27"/>
  <c r="I49" i="27" s="1"/>
  <c r="AO64" i="18"/>
  <c r="AL63" i="18"/>
  <c r="AN61" i="18"/>
  <c r="AP59" i="18"/>
  <c r="AM58" i="18"/>
  <c r="AO56" i="18"/>
  <c r="AN53" i="18"/>
  <c r="AP51" i="18"/>
  <c r="AO48" i="18"/>
  <c r="AL47" i="18"/>
  <c r="AP43" i="18"/>
  <c r="AM42" i="18"/>
  <c r="AL39" i="18"/>
  <c r="AN37" i="18"/>
  <c r="AP61" i="18"/>
  <c r="AP53" i="18"/>
  <c r="AM36" i="18"/>
  <c r="AP64" i="18"/>
  <c r="AN64" i="18"/>
  <c r="AP62" i="18"/>
  <c r="AM61" i="18"/>
  <c r="AO59" i="18"/>
  <c r="AL58" i="18"/>
  <c r="AN56" i="18"/>
  <c r="AP54" i="18"/>
  <c r="AM53" i="18"/>
  <c r="AO51" i="18"/>
  <c r="AN48" i="18"/>
  <c r="AP46" i="18"/>
  <c r="AO43" i="18"/>
  <c r="AL42" i="18"/>
  <c r="AP38" i="18"/>
  <c r="AM37" i="18"/>
  <c r="AL57" i="18"/>
  <c r="AN47" i="18"/>
  <c r="AP37" i="18"/>
  <c r="AM63" i="18"/>
  <c r="AL52" i="18"/>
  <c r="AN42" i="18"/>
  <c r="AP65" i="18"/>
  <c r="AM64" i="18"/>
  <c r="AO62" i="18"/>
  <c r="AL61" i="18"/>
  <c r="AN59" i="18"/>
  <c r="AP57" i="18"/>
  <c r="AM56" i="18"/>
  <c r="AO54" i="18"/>
  <c r="AL53" i="18"/>
  <c r="AN51" i="18"/>
  <c r="AP49" i="18"/>
  <c r="AM48" i="18"/>
  <c r="AO46" i="18"/>
  <c r="AN43" i="18"/>
  <c r="AP41" i="18"/>
  <c r="AO38" i="18"/>
  <c r="AL37" i="18"/>
  <c r="AL65" i="18"/>
  <c r="AM44" i="18"/>
  <c r="AO61" i="18"/>
  <c r="AO53" i="18"/>
  <c r="AL44" i="18"/>
  <c r="AL36" i="18"/>
  <c r="AO65" i="18"/>
  <c r="AL64" i="18"/>
  <c r="AN62" i="18"/>
  <c r="AM59" i="18"/>
  <c r="AO57" i="18"/>
  <c r="AL56" i="18"/>
  <c r="AN54" i="18"/>
  <c r="AP52" i="18"/>
  <c r="AM51" i="18"/>
  <c r="AO49" i="18"/>
  <c r="AL48" i="18"/>
  <c r="AN46" i="18"/>
  <c r="AP44" i="18"/>
  <c r="AM43" i="18"/>
  <c r="AO41" i="18"/>
  <c r="AN38" i="18"/>
  <c r="AP36" i="18"/>
  <c r="AN63" i="18"/>
  <c r="AN39" i="18"/>
  <c r="AM47" i="18"/>
  <c r="AO37" i="18"/>
  <c r="AN65" i="18"/>
  <c r="AP63" i="18"/>
  <c r="AM62" i="18"/>
  <c r="AL59" i="18"/>
  <c r="AN57" i="18"/>
  <c r="AM54" i="18"/>
  <c r="AO52" i="18"/>
  <c r="AL51" i="18"/>
  <c r="AN49" i="18"/>
  <c r="AP47" i="18"/>
  <c r="AM46" i="18"/>
  <c r="AO44" i="18"/>
  <c r="AL43" i="18"/>
  <c r="AN41" i="18"/>
  <c r="AP39" i="18"/>
  <c r="AM38" i="18"/>
  <c r="AO36" i="18"/>
  <c r="AO58" i="18"/>
  <c r="AM52" i="18"/>
  <c r="AO42" i="18"/>
  <c r="AP56" i="18"/>
  <c r="AM39" i="18"/>
  <c r="AM65" i="18"/>
  <c r="AO63" i="18"/>
  <c r="AL62" i="18"/>
  <c r="AP58" i="18"/>
  <c r="AM57" i="18"/>
  <c r="AL54" i="18"/>
  <c r="AN52" i="18"/>
  <c r="AM49" i="18"/>
  <c r="AO47" i="18"/>
  <c r="AL46" i="18"/>
  <c r="AN44" i="18"/>
  <c r="AP42" i="18"/>
  <c r="AM41" i="18"/>
  <c r="AO39" i="18"/>
  <c r="AL38" i="18"/>
  <c r="AN36" i="18"/>
  <c r="AL49" i="18"/>
  <c r="AL41" i="18"/>
  <c r="AN58" i="18"/>
  <c r="AP48" i="18"/>
  <c r="AB65" i="18"/>
  <c r="M152" i="13"/>
  <c r="M144" i="13"/>
  <c r="M136" i="13"/>
  <c r="M128" i="13"/>
  <c r="M120" i="13"/>
  <c r="M112" i="13"/>
  <c r="M104" i="13"/>
  <c r="M96" i="13"/>
  <c r="M88" i="13"/>
  <c r="M80" i="13"/>
  <c r="M72" i="13"/>
  <c r="M64" i="13"/>
  <c r="M56" i="13"/>
  <c r="M48" i="13"/>
  <c r="M40" i="13"/>
  <c r="M32" i="13"/>
  <c r="M24" i="13"/>
  <c r="L19" i="13"/>
  <c r="M16" i="13"/>
  <c r="L11" i="13"/>
  <c r="M8" i="13"/>
  <c r="L6" i="13"/>
  <c r="U51" i="13"/>
  <c r="U47" i="13"/>
  <c r="U43" i="13"/>
  <c r="U39" i="13"/>
  <c r="U35" i="13"/>
  <c r="U31" i="13"/>
  <c r="U27" i="13"/>
  <c r="U23" i="13"/>
  <c r="U19" i="13"/>
  <c r="U15" i="13"/>
  <c r="U11" i="13"/>
  <c r="U7" i="13"/>
  <c r="H25" i="27"/>
  <c r="M149" i="13"/>
  <c r="M141" i="13"/>
  <c r="M133" i="13"/>
  <c r="M125" i="13"/>
  <c r="M117" i="13"/>
  <c r="M109" i="13"/>
  <c r="M101" i="13"/>
  <c r="M93" i="13"/>
  <c r="M85" i="13"/>
  <c r="M77" i="13"/>
  <c r="M69" i="13"/>
  <c r="M61" i="13"/>
  <c r="M53" i="13"/>
  <c r="M45" i="13"/>
  <c r="M37" i="13"/>
  <c r="M29" i="13"/>
  <c r="M21" i="13"/>
  <c r="M13" i="13"/>
  <c r="V50" i="13"/>
  <c r="V46" i="13"/>
  <c r="V42" i="13"/>
  <c r="V38" i="13"/>
  <c r="V34" i="13"/>
  <c r="V30" i="13"/>
  <c r="V26" i="13"/>
  <c r="V22" i="13"/>
  <c r="V18" i="13"/>
  <c r="V14" i="13"/>
  <c r="V10" i="13"/>
  <c r="V6" i="13"/>
  <c r="M154" i="13"/>
  <c r="M146" i="13"/>
  <c r="M138" i="13"/>
  <c r="M130" i="13"/>
  <c r="M122" i="13"/>
  <c r="M114" i="13"/>
  <c r="M106" i="13"/>
  <c r="M98" i="13"/>
  <c r="M90" i="13"/>
  <c r="M82" i="13"/>
  <c r="M74" i="13"/>
  <c r="M66" i="13"/>
  <c r="M58" i="13"/>
  <c r="M50" i="13"/>
  <c r="M42" i="13"/>
  <c r="M34" i="13"/>
  <c r="M26" i="13"/>
  <c r="M18" i="13"/>
  <c r="M10" i="13"/>
  <c r="M11" i="13"/>
  <c r="M151" i="13"/>
  <c r="M143" i="13"/>
  <c r="M135" i="13"/>
  <c r="M127" i="13"/>
  <c r="M119" i="13"/>
  <c r="M111" i="13"/>
  <c r="M103" i="13"/>
  <c r="M95" i="13"/>
  <c r="M87" i="13"/>
  <c r="M79" i="13"/>
  <c r="M71" i="13"/>
  <c r="M63" i="13"/>
  <c r="M55" i="13"/>
  <c r="M47" i="13"/>
  <c r="M39" i="13"/>
  <c r="M31" i="13"/>
  <c r="M23" i="13"/>
  <c r="L18" i="13"/>
  <c r="M15" i="13"/>
  <c r="L10" i="13"/>
  <c r="M7" i="13"/>
  <c r="V53" i="13"/>
  <c r="V49" i="13"/>
  <c r="V45" i="13"/>
  <c r="V41" i="13"/>
  <c r="V37" i="13"/>
  <c r="V33" i="13"/>
  <c r="V29" i="13"/>
  <c r="V25" i="13"/>
  <c r="V21" i="13"/>
  <c r="V17" i="13"/>
  <c r="V13" i="13"/>
  <c r="U6" i="13"/>
  <c r="M148" i="13"/>
  <c r="M140" i="13"/>
  <c r="M132" i="13"/>
  <c r="M124" i="13"/>
  <c r="M116" i="13"/>
  <c r="M108" i="13"/>
  <c r="M100" i="13"/>
  <c r="M92" i="13"/>
  <c r="M84" i="13"/>
  <c r="M76" i="13"/>
  <c r="M68" i="13"/>
  <c r="M60" i="13"/>
  <c r="M52" i="13"/>
  <c r="M44" i="13"/>
  <c r="M36" i="13"/>
  <c r="M28" i="13"/>
  <c r="M20" i="13"/>
  <c r="M12" i="13"/>
  <c r="M19" i="13"/>
  <c r="M5" i="13"/>
  <c r="O5" i="13" s="1"/>
  <c r="M153" i="13"/>
  <c r="M145" i="13"/>
  <c r="M137" i="13"/>
  <c r="M129" i="13"/>
  <c r="M121" i="13"/>
  <c r="M113" i="13"/>
  <c r="M105" i="13"/>
  <c r="M97" i="13"/>
  <c r="M89" i="13"/>
  <c r="M81" i="13"/>
  <c r="M73" i="13"/>
  <c r="M65" i="13"/>
  <c r="M57" i="13"/>
  <c r="M49" i="13"/>
  <c r="M41" i="13"/>
  <c r="M33" i="13"/>
  <c r="M25" i="13"/>
  <c r="L20" i="13"/>
  <c r="M17" i="13"/>
  <c r="L12" i="13"/>
  <c r="M9" i="13"/>
  <c r="M150" i="13"/>
  <c r="M142" i="13"/>
  <c r="M134" i="13"/>
  <c r="M126" i="13"/>
  <c r="M118" i="13"/>
  <c r="M110" i="13"/>
  <c r="M102" i="13"/>
  <c r="M94" i="13"/>
  <c r="M86" i="13"/>
  <c r="M78" i="13"/>
  <c r="M70" i="13"/>
  <c r="M62" i="13"/>
  <c r="M54" i="13"/>
  <c r="M46" i="13"/>
  <c r="M38" i="13"/>
  <c r="M30" i="13"/>
  <c r="M22" i="13"/>
  <c r="L17" i="13"/>
  <c r="M14" i="13"/>
  <c r="U52" i="13"/>
  <c r="U48" i="13"/>
  <c r="U44" i="13"/>
  <c r="U40" i="13"/>
  <c r="U36" i="13"/>
  <c r="U32" i="13"/>
  <c r="U28" i="13"/>
  <c r="U24" i="13"/>
  <c r="U20" i="13"/>
  <c r="U16" i="13"/>
  <c r="U12" i="13"/>
  <c r="O201" i="13"/>
  <c r="O185" i="13"/>
  <c r="O175" i="13"/>
  <c r="AO36" i="13"/>
  <c r="AP37" i="13"/>
  <c r="AM42" i="13"/>
  <c r="AN43" i="13"/>
  <c r="AP44" i="13"/>
  <c r="AL48" i="13"/>
  <c r="AN49" i="13"/>
  <c r="AP50" i="13"/>
  <c r="AL52" i="13"/>
  <c r="AM53" i="13"/>
  <c r="AN54" i="13"/>
  <c r="AO55" i="13"/>
  <c r="AL57" i="13"/>
  <c r="AN58" i="13"/>
  <c r="AP59" i="13"/>
  <c r="AN64" i="13"/>
  <c r="AP65" i="13"/>
  <c r="AM68" i="13"/>
  <c r="AN69" i="13"/>
  <c r="AO70" i="13"/>
  <c r="AP71" i="13"/>
  <c r="AM73" i="13"/>
  <c r="AO74" i="13"/>
  <c r="AP75" i="13"/>
  <c r="AL77" i="13"/>
  <c r="AM78" i="13"/>
  <c r="AN79" i="13"/>
  <c r="AL81" i="13"/>
  <c r="AN82" i="13"/>
  <c r="AP83" i="13"/>
  <c r="AL86" i="13"/>
  <c r="AL87" i="13"/>
  <c r="AN88" i="13"/>
  <c r="AP89" i="13"/>
  <c r="AM91" i="13"/>
  <c r="AP92" i="13"/>
  <c r="AL96" i="13"/>
  <c r="AL97" i="13"/>
  <c r="AO98" i="13"/>
  <c r="AM100" i="13"/>
  <c r="AN101" i="13"/>
  <c r="AO102" i="13"/>
  <c r="AO103" i="13"/>
  <c r="AP104" i="13"/>
  <c r="AM107" i="13"/>
  <c r="AP108" i="13"/>
  <c r="AL113" i="13"/>
  <c r="AN114" i="13"/>
  <c r="AL116" i="13"/>
  <c r="AM117" i="13"/>
  <c r="AN118" i="13"/>
  <c r="AN119" i="13"/>
  <c r="AO120" i="13"/>
  <c r="AP121" i="13"/>
  <c r="AM123" i="13"/>
  <c r="AP124" i="13"/>
  <c r="AL129" i="13"/>
  <c r="AN130" i="13"/>
  <c r="AL132" i="13"/>
  <c r="AM133" i="13"/>
  <c r="AN134" i="13"/>
  <c r="AN135" i="13"/>
  <c r="AO136" i="13"/>
  <c r="AP137" i="13"/>
  <c r="AL139" i="13"/>
  <c r="AO140" i="13"/>
  <c r="AP36" i="13"/>
  <c r="AL40" i="13"/>
  <c r="AL41" i="13"/>
  <c r="AN42" i="13"/>
  <c r="AO43" i="13"/>
  <c r="AM48" i="13"/>
  <c r="AO49" i="13"/>
  <c r="AM52" i="13"/>
  <c r="AN53" i="13"/>
  <c r="AO54" i="13"/>
  <c r="AP55" i="13"/>
  <c r="AM57" i="13"/>
  <c r="AO58" i="13"/>
  <c r="AL61" i="13"/>
  <c r="AL62" i="13"/>
  <c r="AL63" i="13"/>
  <c r="AO64" i="13"/>
  <c r="AL67" i="13"/>
  <c r="AN68" i="13"/>
  <c r="AO69" i="13"/>
  <c r="AP70" i="13"/>
  <c r="AL72" i="13"/>
  <c r="AN73" i="13"/>
  <c r="AP74" i="13"/>
  <c r="AL76" i="13"/>
  <c r="AM77" i="13"/>
  <c r="AN78" i="13"/>
  <c r="AO79" i="13"/>
  <c r="AM81" i="13"/>
  <c r="AO82" i="13"/>
  <c r="AL85" i="13"/>
  <c r="AM86" i="13"/>
  <c r="AM87" i="13"/>
  <c r="AO88" i="13"/>
  <c r="AL90" i="13"/>
  <c r="AN91" i="13"/>
  <c r="AM96" i="13"/>
  <c r="AM97" i="13"/>
  <c r="AP98" i="13"/>
  <c r="AN100" i="13"/>
  <c r="AO101" i="13"/>
  <c r="AP102" i="13"/>
  <c r="AP103" i="13"/>
  <c r="AL106" i="13"/>
  <c r="AN107" i="13"/>
  <c r="AL112" i="13"/>
  <c r="AM113" i="13"/>
  <c r="AO114" i="13"/>
  <c r="AM116" i="13"/>
  <c r="AN117" i="13"/>
  <c r="AO118" i="13"/>
  <c r="AO119" i="13"/>
  <c r="AP120" i="13"/>
  <c r="AL39" i="13"/>
  <c r="AM40" i="13"/>
  <c r="AM41" i="13"/>
  <c r="AO42" i="13"/>
  <c r="AP43" i="13"/>
  <c r="AL47" i="13"/>
  <c r="AN48" i="13"/>
  <c r="AR48" i="13" s="1"/>
  <c r="AP49" i="13"/>
  <c r="AL51" i="13"/>
  <c r="AN52" i="13"/>
  <c r="AO53" i="13"/>
  <c r="AP54" i="13"/>
  <c r="AL56" i="13"/>
  <c r="AN57" i="13"/>
  <c r="AP58" i="13"/>
  <c r="AL60" i="13"/>
  <c r="AM61" i="13"/>
  <c r="AM62" i="13"/>
  <c r="AM63" i="13"/>
  <c r="AP64" i="13"/>
  <c r="AL66" i="13"/>
  <c r="AM67" i="13"/>
  <c r="AO68" i="13"/>
  <c r="AP69" i="13"/>
  <c r="AM72" i="13"/>
  <c r="AO73" i="13"/>
  <c r="AM76" i="13"/>
  <c r="AN77" i="13"/>
  <c r="AO78" i="13"/>
  <c r="AP79" i="13"/>
  <c r="AN81" i="13"/>
  <c r="AP82" i="13"/>
  <c r="AL84" i="13"/>
  <c r="AM85" i="13"/>
  <c r="AN86" i="13"/>
  <c r="AN87" i="13"/>
  <c r="AP88" i="13"/>
  <c r="AM90" i="13"/>
  <c r="AO91" i="13"/>
  <c r="AL94" i="13"/>
  <c r="AL95" i="13"/>
  <c r="AN96" i="13"/>
  <c r="AN97" i="13"/>
  <c r="AL99" i="13"/>
  <c r="AO100" i="13"/>
  <c r="AP101" i="13"/>
  <c r="AM106" i="13"/>
  <c r="AO107" i="13"/>
  <c r="AL110" i="13"/>
  <c r="AL111" i="13"/>
  <c r="AM112" i="13"/>
  <c r="AN113" i="13"/>
  <c r="AP114" i="13"/>
  <c r="AN116" i="13"/>
  <c r="AO117" i="13"/>
  <c r="AP118" i="13"/>
  <c r="AP119" i="13"/>
  <c r="AL122" i="13"/>
  <c r="AO123" i="13"/>
  <c r="AL126" i="13"/>
  <c r="AL127" i="13"/>
  <c r="AM128" i="13"/>
  <c r="AN129" i="13"/>
  <c r="AP130" i="13"/>
  <c r="AN132" i="13"/>
  <c r="AO133" i="13"/>
  <c r="AP134" i="13"/>
  <c r="AP135" i="13"/>
  <c r="AL138" i="13"/>
  <c r="AN139" i="13"/>
  <c r="AL38" i="13"/>
  <c r="AM39" i="13"/>
  <c r="AN40" i="13"/>
  <c r="AN41" i="13"/>
  <c r="AP42" i="13"/>
  <c r="AL45" i="13"/>
  <c r="AL46" i="13"/>
  <c r="AM47" i="13"/>
  <c r="AO48" i="13"/>
  <c r="AS48" i="13" s="1"/>
  <c r="AM51" i="13"/>
  <c r="AO52" i="13"/>
  <c r="AP53" i="13"/>
  <c r="AM56" i="13"/>
  <c r="AO57" i="13"/>
  <c r="AM60" i="13"/>
  <c r="AN61" i="13"/>
  <c r="AN62" i="13"/>
  <c r="AN63" i="13"/>
  <c r="AM66" i="13"/>
  <c r="AN67" i="13"/>
  <c r="AP68" i="13"/>
  <c r="AN72" i="13"/>
  <c r="AP73" i="13"/>
  <c r="AN76" i="13"/>
  <c r="AO77" i="13"/>
  <c r="AP78" i="13"/>
  <c r="AL80" i="13"/>
  <c r="AO81" i="13"/>
  <c r="AM84" i="13"/>
  <c r="AN85" i="13"/>
  <c r="AO86" i="13"/>
  <c r="AO87" i="13"/>
  <c r="AN90" i="13"/>
  <c r="AP91" i="13"/>
  <c r="AL93" i="13"/>
  <c r="AM94" i="13"/>
  <c r="AM95" i="13"/>
  <c r="AO96" i="13"/>
  <c r="AO97" i="13"/>
  <c r="AM99" i="13"/>
  <c r="AP100" i="13"/>
  <c r="AN106" i="13"/>
  <c r="AP107" i="13"/>
  <c r="AL109" i="13"/>
  <c r="AM110" i="13"/>
  <c r="AM111" i="13"/>
  <c r="AN112" i="13"/>
  <c r="AO113" i="13"/>
  <c r="AL115" i="13"/>
  <c r="AO116" i="13"/>
  <c r="AP117" i="13"/>
  <c r="AM122" i="13"/>
  <c r="AP123" i="13"/>
  <c r="AL125" i="13"/>
  <c r="AM126" i="13"/>
  <c r="AM127" i="13"/>
  <c r="AN128" i="13"/>
  <c r="AO129" i="13"/>
  <c r="AL131" i="13"/>
  <c r="AO132" i="13"/>
  <c r="AP133" i="13"/>
  <c r="AM138" i="13"/>
  <c r="AO139" i="13"/>
  <c r="AL36" i="13"/>
  <c r="AM37" i="13"/>
  <c r="AN38" i="13"/>
  <c r="AO39" i="13"/>
  <c r="AP40" i="13"/>
  <c r="AP41" i="13"/>
  <c r="AM44" i="13"/>
  <c r="AN45" i="13"/>
  <c r="AN46" i="13"/>
  <c r="AO47" i="13"/>
  <c r="AM50" i="13"/>
  <c r="AO51" i="13"/>
  <c r="AO56" i="13"/>
  <c r="AM59" i="13"/>
  <c r="AO60" i="13"/>
  <c r="AP61" i="13"/>
  <c r="AP62" i="13"/>
  <c r="AP63" i="13"/>
  <c r="AM65" i="13"/>
  <c r="AO66" i="13"/>
  <c r="AP67" i="13"/>
  <c r="AL70" i="13"/>
  <c r="AM71" i="13"/>
  <c r="AP72" i="13"/>
  <c r="AL74" i="13"/>
  <c r="AM75" i="13"/>
  <c r="AP76" i="13"/>
  <c r="AN80" i="13"/>
  <c r="AM83" i="13"/>
  <c r="AO84" i="13"/>
  <c r="AP85" i="13"/>
  <c r="AM89" i="13"/>
  <c r="AP90" i="13"/>
  <c r="AM92" i="13"/>
  <c r="AN93" i="13"/>
  <c r="AO94" i="13"/>
  <c r="AO95" i="13"/>
  <c r="AL98" i="13"/>
  <c r="AO99" i="13"/>
  <c r="AL102" i="13"/>
  <c r="AL103" i="13"/>
  <c r="AM104" i="13"/>
  <c r="AN105" i="13"/>
  <c r="AP106" i="13"/>
  <c r="AM108" i="13"/>
  <c r="AN109" i="13"/>
  <c r="AO110" i="13"/>
  <c r="AO111" i="13"/>
  <c r="AP112" i="13"/>
  <c r="AN115" i="13"/>
  <c r="AL120" i="13"/>
  <c r="AM121" i="13"/>
  <c r="AO122" i="13"/>
  <c r="AM124" i="13"/>
  <c r="AN125" i="13"/>
  <c r="AO126" i="13"/>
  <c r="AO127" i="13"/>
  <c r="AP128" i="13"/>
  <c r="AN131" i="13"/>
  <c r="AL136" i="13"/>
  <c r="AM137" i="13"/>
  <c r="AO138" i="13"/>
  <c r="AL140" i="13"/>
  <c r="AM36" i="13"/>
  <c r="AN37" i="13"/>
  <c r="AO40" i="13"/>
  <c r="AM43" i="13"/>
  <c r="AO46" i="13"/>
  <c r="AL50" i="13"/>
  <c r="AL53" i="13"/>
  <c r="AP56" i="13"/>
  <c r="AN60" i="13"/>
  <c r="AP66" i="13"/>
  <c r="AL73" i="13"/>
  <c r="AM80" i="13"/>
  <c r="AO83" i="13"/>
  <c r="AO90" i="13"/>
  <c r="AP93" i="13"/>
  <c r="AN103" i="13"/>
  <c r="AN110" i="13"/>
  <c r="AP122" i="13"/>
  <c r="AO125" i="13"/>
  <c r="AP127" i="13"/>
  <c r="AL130" i="13"/>
  <c r="AL135" i="13"/>
  <c r="AN137" i="13"/>
  <c r="AM140" i="13"/>
  <c r="AL145" i="13"/>
  <c r="AN146" i="13"/>
  <c r="AL148" i="13"/>
  <c r="AM149" i="13"/>
  <c r="AN150" i="13"/>
  <c r="AO151" i="13"/>
  <c r="AP152" i="13"/>
  <c r="AM155" i="13"/>
  <c r="AO45" i="13"/>
  <c r="AM55" i="13"/>
  <c r="AO71" i="13"/>
  <c r="AM82" i="13"/>
  <c r="AP95" i="13"/>
  <c r="AM109" i="13"/>
  <c r="AO124" i="13"/>
  <c r="AP131" i="13"/>
  <c r="AN141" i="13"/>
  <c r="AN147" i="13"/>
  <c r="AN153" i="13"/>
  <c r="AL137" i="13"/>
  <c r="AL149" i="13"/>
  <c r="AO37" i="13"/>
  <c r="AL44" i="13"/>
  <c r="AP46" i="13"/>
  <c r="AN50" i="13"/>
  <c r="AP60" i="13"/>
  <c r="AO63" i="13"/>
  <c r="AM70" i="13"/>
  <c r="AO80" i="13"/>
  <c r="AN84" i="13"/>
  <c r="AN94" i="13"/>
  <c r="AL101" i="13"/>
  <c r="AL104" i="13"/>
  <c r="AL107" i="13"/>
  <c r="AP110" i="13"/>
  <c r="AP113" i="13"/>
  <c r="AL117" i="13"/>
  <c r="AM120" i="13"/>
  <c r="AL123" i="13"/>
  <c r="AP125" i="13"/>
  <c r="AM130" i="13"/>
  <c r="AL133" i="13"/>
  <c r="AM135" i="13"/>
  <c r="AO137" i="13"/>
  <c r="AN140" i="13"/>
  <c r="AL144" i="13"/>
  <c r="AM145" i="13"/>
  <c r="AO146" i="13"/>
  <c r="AM148" i="13"/>
  <c r="AN149" i="13"/>
  <c r="AO150" i="13"/>
  <c r="AP151" i="13"/>
  <c r="AL154" i="13"/>
  <c r="AN155" i="13"/>
  <c r="AO115" i="13"/>
  <c r="AN151" i="13"/>
  <c r="AM38" i="13"/>
  <c r="AN44" i="13"/>
  <c r="AN47" i="13"/>
  <c r="AO50" i="13"/>
  <c r="AL54" i="13"/>
  <c r="AP57" i="13"/>
  <c r="AL64" i="13"/>
  <c r="AO67" i="13"/>
  <c r="AN70" i="13"/>
  <c r="AM74" i="13"/>
  <c r="AP77" i="13"/>
  <c r="AP80" i="13"/>
  <c r="AP84" i="13"/>
  <c r="AP87" i="13"/>
  <c r="AL91" i="13"/>
  <c r="AP94" i="13"/>
  <c r="AP97" i="13"/>
  <c r="AM101" i="13"/>
  <c r="AN104" i="13"/>
  <c r="AL108" i="13"/>
  <c r="AL114" i="13"/>
  <c r="AN120" i="13"/>
  <c r="AN123" i="13"/>
  <c r="AL128" i="13"/>
  <c r="AO130" i="13"/>
  <c r="AN133" i="13"/>
  <c r="AO135" i="13"/>
  <c r="AP140" i="13"/>
  <c r="AL142" i="13"/>
  <c r="AL143" i="13"/>
  <c r="AM144" i="13"/>
  <c r="AN145" i="13"/>
  <c r="AP146" i="13"/>
  <c r="AN148" i="13"/>
  <c r="AO149" i="13"/>
  <c r="AP150" i="13"/>
  <c r="AM154" i="13"/>
  <c r="AO155" i="13"/>
  <c r="AN39" i="13"/>
  <c r="AN65" i="13"/>
  <c r="AO92" i="13"/>
  <c r="AO105" i="13"/>
  <c r="AN136" i="13"/>
  <c r="AO142" i="13"/>
  <c r="AL151" i="13"/>
  <c r="AP132" i="13"/>
  <c r="AM150" i="13"/>
  <c r="AO38" i="13"/>
  <c r="AO41" i="13"/>
  <c r="AO44" i="13"/>
  <c r="AP47" i="13"/>
  <c r="AN51" i="13"/>
  <c r="AM54" i="13"/>
  <c r="AL58" i="13"/>
  <c r="AO61" i="13"/>
  <c r="AM64" i="13"/>
  <c r="AL71" i="13"/>
  <c r="AN74" i="13"/>
  <c r="AP81" i="13"/>
  <c r="AL88" i="13"/>
  <c r="AL92" i="13"/>
  <c r="AM98" i="13"/>
  <c r="AO104" i="13"/>
  <c r="AN108" i="13"/>
  <c r="AN111" i="13"/>
  <c r="AM114" i="13"/>
  <c r="AL118" i="13"/>
  <c r="AL121" i="13"/>
  <c r="AL124" i="13"/>
  <c r="AN126" i="13"/>
  <c r="AO128" i="13"/>
  <c r="AM131" i="13"/>
  <c r="AN138" i="13"/>
  <c r="AL141" i="13"/>
  <c r="AM142" i="13"/>
  <c r="AM143" i="13"/>
  <c r="AN144" i="13"/>
  <c r="AO145" i="13"/>
  <c r="AL147" i="13"/>
  <c r="AO148" i="13"/>
  <c r="AP149" i="13"/>
  <c r="AL153" i="13"/>
  <c r="AN154" i="13"/>
  <c r="AP155" i="13"/>
  <c r="AP48" i="13"/>
  <c r="AL59" i="13"/>
  <c r="AN75" i="13"/>
  <c r="AL89" i="13"/>
  <c r="AN102" i="13"/>
  <c r="AO121" i="13"/>
  <c r="AM134" i="13"/>
  <c r="AP144" i="13"/>
  <c r="AM152" i="13"/>
  <c r="AN127" i="13"/>
  <c r="AP147" i="13"/>
  <c r="AP38" i="13"/>
  <c r="AM45" i="13"/>
  <c r="AP51" i="13"/>
  <c r="AM58" i="13"/>
  <c r="AL65" i="13"/>
  <c r="AL68" i="13"/>
  <c r="AN71" i="13"/>
  <c r="AL75" i="13"/>
  <c r="AL78" i="13"/>
  <c r="AL82" i="13"/>
  <c r="AO85" i="13"/>
  <c r="AM88" i="13"/>
  <c r="AN92" i="13"/>
  <c r="AN95" i="13"/>
  <c r="AN98" i="13"/>
  <c r="AM102" i="13"/>
  <c r="AM105" i="13"/>
  <c r="AO108" i="13"/>
  <c r="AP111" i="13"/>
  <c r="AM115" i="13"/>
  <c r="AM118" i="13"/>
  <c r="AN121" i="13"/>
  <c r="AN124" i="13"/>
  <c r="AP126" i="13"/>
  <c r="AO131" i="13"/>
  <c r="AL134" i="13"/>
  <c r="AM136" i="13"/>
  <c r="AP138" i="13"/>
  <c r="AM141" i="13"/>
  <c r="AN142" i="13"/>
  <c r="AN143" i="13"/>
  <c r="AO144" i="13"/>
  <c r="AP145" i="13"/>
  <c r="AM147" i="13"/>
  <c r="AP148" i="13"/>
  <c r="AL152" i="13"/>
  <c r="AM153" i="13"/>
  <c r="AO154" i="13"/>
  <c r="AL42" i="13"/>
  <c r="AN99" i="13"/>
  <c r="AO143" i="13"/>
  <c r="AP154" i="13"/>
  <c r="AP129" i="13"/>
  <c r="AO152" i="13"/>
  <c r="AS152" i="13" s="1"/>
  <c r="Y168" i="27" s="1"/>
  <c r="AN36" i="13"/>
  <c r="AP39" i="13"/>
  <c r="AP45" i="13"/>
  <c r="AL49" i="13"/>
  <c r="AP52" i="13"/>
  <c r="AN55" i="13"/>
  <c r="AN59" i="13"/>
  <c r="AO62" i="13"/>
  <c r="AO65" i="13"/>
  <c r="AL69" i="13"/>
  <c r="AO72" i="13"/>
  <c r="AO75" i="13"/>
  <c r="AL79" i="13"/>
  <c r="AL83" i="13"/>
  <c r="AN89" i="13"/>
  <c r="AM93" i="13"/>
  <c r="AP99" i="13"/>
  <c r="AP105" i="13"/>
  <c r="AO109" i="13"/>
  <c r="AO112" i="13"/>
  <c r="AP115" i="13"/>
  <c r="AL119" i="13"/>
  <c r="AM129" i="13"/>
  <c r="AM132" i="13"/>
  <c r="AO134" i="13"/>
  <c r="AP136" i="13"/>
  <c r="AT136" i="13" s="1"/>
  <c r="Z152" i="27" s="1"/>
  <c r="AM139" i="13"/>
  <c r="AO141" i="13"/>
  <c r="AP142" i="13"/>
  <c r="AP143" i="13"/>
  <c r="AL146" i="13"/>
  <c r="AO147" i="13"/>
  <c r="AL150" i="13"/>
  <c r="AM151" i="13"/>
  <c r="AN152" i="13"/>
  <c r="AO153" i="13"/>
  <c r="AL37" i="13"/>
  <c r="AL43" i="13"/>
  <c r="AM46" i="13"/>
  <c r="AM49" i="13"/>
  <c r="AN56" i="13"/>
  <c r="AO59" i="13"/>
  <c r="AN66" i="13"/>
  <c r="AM69" i="13"/>
  <c r="AO76" i="13"/>
  <c r="AM79" i="13"/>
  <c r="AN83" i="13"/>
  <c r="AP86" i="13"/>
  <c r="AO89" i="13"/>
  <c r="AO93" i="13"/>
  <c r="AP96" i="13"/>
  <c r="AL100" i="13"/>
  <c r="AM103" i="13"/>
  <c r="AO106" i="13"/>
  <c r="AP109" i="13"/>
  <c r="AP116" i="13"/>
  <c r="AM119" i="13"/>
  <c r="AN122" i="13"/>
  <c r="AM125" i="13"/>
  <c r="AP139" i="13"/>
  <c r="AP141" i="13"/>
  <c r="AM146" i="13"/>
  <c r="AP153" i="13"/>
  <c r="AT153" i="13" s="1"/>
  <c r="Z169" i="27" s="1"/>
  <c r="O200" i="13"/>
  <c r="AE57" i="13"/>
  <c r="K32" i="27"/>
  <c r="AL28" i="18"/>
  <c r="AN21" i="18"/>
  <c r="AL15" i="18"/>
  <c r="AO8" i="18"/>
  <c r="AE36" i="18"/>
  <c r="AD52" i="18"/>
  <c r="AD15" i="18"/>
  <c r="AC64" i="18"/>
  <c r="AC48" i="18"/>
  <c r="AC32" i="18"/>
  <c r="AC16" i="18"/>
  <c r="AM33" i="18"/>
  <c r="AO26" i="18"/>
  <c r="AL20" i="18"/>
  <c r="AO13" i="18"/>
  <c r="AM7" i="18"/>
  <c r="AE63" i="18"/>
  <c r="AE28" i="18"/>
  <c r="AD45" i="18"/>
  <c r="AD8" i="18"/>
  <c r="AB61" i="18"/>
  <c r="AB45" i="18"/>
  <c r="AB29" i="18"/>
  <c r="AB13" i="18"/>
  <c r="AL33" i="18"/>
  <c r="AN26" i="18"/>
  <c r="AP19" i="18"/>
  <c r="AN13" i="18"/>
  <c r="AL7" i="18"/>
  <c r="AE62" i="18"/>
  <c r="AE27" i="18"/>
  <c r="AD43" i="18"/>
  <c r="AD7" i="18"/>
  <c r="AC60" i="18"/>
  <c r="AC44" i="18"/>
  <c r="AC28" i="18"/>
  <c r="AC12" i="18"/>
  <c r="AO31" i="18"/>
  <c r="AL25" i="18"/>
  <c r="AN18" i="18"/>
  <c r="AL12" i="18"/>
  <c r="AO5" i="18"/>
  <c r="AE55" i="18"/>
  <c r="AE20" i="18"/>
  <c r="AD35" i="18"/>
  <c r="AB57" i="18"/>
  <c r="AB41" i="18"/>
  <c r="AB25" i="18"/>
  <c r="AB9" i="18"/>
  <c r="AN31" i="18"/>
  <c r="AP24" i="18"/>
  <c r="AM18" i="18"/>
  <c r="AP11" i="18"/>
  <c r="AM5" i="18"/>
  <c r="AE54" i="18"/>
  <c r="AE19" i="18"/>
  <c r="AD33" i="18"/>
  <c r="AC56" i="18"/>
  <c r="AC40" i="18"/>
  <c r="AC24" i="18"/>
  <c r="AC8" i="18"/>
  <c r="AL30" i="18"/>
  <c r="AM23" i="18"/>
  <c r="AP16" i="18"/>
  <c r="AN10" i="18"/>
  <c r="AE46" i="18"/>
  <c r="AE12" i="18"/>
  <c r="AD62" i="18"/>
  <c r="AD25" i="18"/>
  <c r="AB53" i="18"/>
  <c r="AB37" i="18"/>
  <c r="AB21" i="18"/>
  <c r="AP34" i="18"/>
  <c r="AP32" i="18"/>
  <c r="AM31" i="18"/>
  <c r="AO29" i="18"/>
  <c r="AP27" i="18"/>
  <c r="AM26" i="18"/>
  <c r="AO24" i="18"/>
  <c r="AP22" i="18"/>
  <c r="AM21" i="18"/>
  <c r="AO19" i="18"/>
  <c r="AL18" i="18"/>
  <c r="AN16" i="18"/>
  <c r="AP14" i="18"/>
  <c r="AM13" i="18"/>
  <c r="AO11" i="18"/>
  <c r="AL10" i="18"/>
  <c r="AN8" i="18"/>
  <c r="AP6" i="18"/>
  <c r="AL5" i="18"/>
  <c r="AE61" i="18"/>
  <c r="AE53" i="18"/>
  <c r="AE43" i="18"/>
  <c r="AE35" i="18"/>
  <c r="AE26" i="18"/>
  <c r="AE18" i="18"/>
  <c r="AE10" i="18"/>
  <c r="AD60" i="18"/>
  <c r="AD51" i="18"/>
  <c r="AD42" i="18"/>
  <c r="AD32" i="18"/>
  <c r="AD22" i="18"/>
  <c r="AD14" i="18"/>
  <c r="AD6" i="18"/>
  <c r="AB64" i="18"/>
  <c r="AB60" i="18"/>
  <c r="AB56" i="18"/>
  <c r="AB52" i="18"/>
  <c r="AB48" i="18"/>
  <c r="AB44" i="18"/>
  <c r="AB40" i="18"/>
  <c r="AB36" i="18"/>
  <c r="AB32" i="18"/>
  <c r="AB28" i="18"/>
  <c r="AB24" i="18"/>
  <c r="AB20" i="18"/>
  <c r="AB16" i="18"/>
  <c r="AB12" i="18"/>
  <c r="AB8" i="18"/>
  <c r="AM34" i="18"/>
  <c r="AO32" i="18"/>
  <c r="AL31" i="18"/>
  <c r="AM29" i="18"/>
  <c r="AO27" i="18"/>
  <c r="AL26" i="18"/>
  <c r="AN24" i="18"/>
  <c r="AO22" i="18"/>
  <c r="AL21" i="18"/>
  <c r="AN19" i="18"/>
  <c r="AP17" i="18"/>
  <c r="AM16" i="18"/>
  <c r="AO14" i="18"/>
  <c r="AL13" i="18"/>
  <c r="AN11" i="18"/>
  <c r="AP9" i="18"/>
  <c r="AM8" i="18"/>
  <c r="AO6" i="18"/>
  <c r="B39" i="27"/>
  <c r="K39" i="27" s="1"/>
  <c r="AE60" i="18"/>
  <c r="AE52" i="18"/>
  <c r="AE42" i="18"/>
  <c r="AE34" i="18"/>
  <c r="AE25" i="18"/>
  <c r="AE17" i="18"/>
  <c r="AE9" i="18"/>
  <c r="AD59" i="18"/>
  <c r="AD50" i="18"/>
  <c r="AD41" i="18"/>
  <c r="AD31" i="18"/>
  <c r="AD21" i="18"/>
  <c r="AD13" i="18"/>
  <c r="AC63" i="18"/>
  <c r="AC59" i="18"/>
  <c r="AC55" i="18"/>
  <c r="AC51" i="18"/>
  <c r="AC47" i="18"/>
  <c r="AC43" i="18"/>
  <c r="AC39" i="18"/>
  <c r="AC35" i="18"/>
  <c r="AC31" i="18"/>
  <c r="AC27" i="18"/>
  <c r="AC23" i="18"/>
  <c r="AC19" i="18"/>
  <c r="AC15" i="18"/>
  <c r="AC11" i="18"/>
  <c r="AC7" i="18"/>
  <c r="J42" i="27"/>
  <c r="AL34" i="18"/>
  <c r="AN32" i="18"/>
  <c r="AP30" i="18"/>
  <c r="AL29" i="18"/>
  <c r="AN27" i="18"/>
  <c r="AP25" i="18"/>
  <c r="AM24" i="18"/>
  <c r="AN22" i="18"/>
  <c r="AP20" i="18"/>
  <c r="AM19" i="18"/>
  <c r="AO17" i="18"/>
  <c r="AL16" i="18"/>
  <c r="AN14" i="18"/>
  <c r="AP12" i="18"/>
  <c r="AM11" i="18"/>
  <c r="AO9" i="18"/>
  <c r="AL8" i="18"/>
  <c r="AN6" i="18"/>
  <c r="AE59" i="18"/>
  <c r="AE51" i="18"/>
  <c r="AE41" i="18"/>
  <c r="AE33" i="18"/>
  <c r="AE24" i="18"/>
  <c r="AE16" i="18"/>
  <c r="AE8" i="18"/>
  <c r="AD58" i="18"/>
  <c r="AD49" i="18"/>
  <c r="AD40" i="18"/>
  <c r="AD30" i="18"/>
  <c r="AD20" i="18"/>
  <c r="AD12" i="18"/>
  <c r="AB63" i="18"/>
  <c r="AB59" i="18"/>
  <c r="AB55" i="18"/>
  <c r="AB51" i="18"/>
  <c r="AB47" i="18"/>
  <c r="AB43" i="18"/>
  <c r="AB39" i="18"/>
  <c r="AB35" i="18"/>
  <c r="AB31" i="18"/>
  <c r="AB27" i="18"/>
  <c r="AB23" i="18"/>
  <c r="AB19" i="18"/>
  <c r="AB15" i="18"/>
  <c r="AB11" i="18"/>
  <c r="AB7" i="18"/>
  <c r="AP33" i="18"/>
  <c r="AM32" i="18"/>
  <c r="AO30" i="18"/>
  <c r="AP28" i="18"/>
  <c r="AM27" i="18"/>
  <c r="AO25" i="18"/>
  <c r="AL24" i="18"/>
  <c r="AM22" i="18"/>
  <c r="AO20" i="18"/>
  <c r="AL19" i="18"/>
  <c r="AN17" i="18"/>
  <c r="AP15" i="18"/>
  <c r="AM14" i="18"/>
  <c r="AO12" i="18"/>
  <c r="AL11" i="18"/>
  <c r="AN9" i="18"/>
  <c r="AP7" i="18"/>
  <c r="AM6" i="18"/>
  <c r="AB5" i="18"/>
  <c r="AE58" i="18"/>
  <c r="AE50" i="18"/>
  <c r="AE40" i="18"/>
  <c r="AE32" i="18"/>
  <c r="AE23" i="18"/>
  <c r="AE15" i="18"/>
  <c r="AE7" i="18"/>
  <c r="AD65" i="18"/>
  <c r="AD57" i="18"/>
  <c r="AD48" i="18"/>
  <c r="AD38" i="18"/>
  <c r="AD28" i="18"/>
  <c r="AD19" i="18"/>
  <c r="AD11" i="18"/>
  <c r="AC62" i="18"/>
  <c r="AC58" i="18"/>
  <c r="AC54" i="18"/>
  <c r="AC50" i="18"/>
  <c r="AC46" i="18"/>
  <c r="AC42" i="18"/>
  <c r="AC38" i="18"/>
  <c r="AC34" i="18"/>
  <c r="AC30" i="18"/>
  <c r="AC26" i="18"/>
  <c r="AC22" i="18"/>
  <c r="AC18" i="18"/>
  <c r="AC14" i="18"/>
  <c r="AC10" i="18"/>
  <c r="AC6" i="18"/>
  <c r="AO33" i="18"/>
  <c r="AL32" i="18"/>
  <c r="AQ32" i="18" s="1"/>
  <c r="AN30" i="18"/>
  <c r="AO28" i="18"/>
  <c r="AL27" i="18"/>
  <c r="AN25" i="18"/>
  <c r="AP23" i="18"/>
  <c r="AL22" i="18"/>
  <c r="AN20" i="18"/>
  <c r="AP18" i="18"/>
  <c r="AM17" i="18"/>
  <c r="AO15" i="18"/>
  <c r="AL14" i="18"/>
  <c r="AQ14" i="18" s="1"/>
  <c r="AN12" i="18"/>
  <c r="AP10" i="18"/>
  <c r="AM9" i="18"/>
  <c r="AO7" i="18"/>
  <c r="AL6" i="18"/>
  <c r="AY6" i="18" s="1"/>
  <c r="AY7" i="18" s="1"/>
  <c r="AC5" i="18"/>
  <c r="AE65" i="18"/>
  <c r="AE57" i="18"/>
  <c r="AE48" i="18"/>
  <c r="AE39" i="18"/>
  <c r="AE31" i="18"/>
  <c r="AE22" i="18"/>
  <c r="AE14" i="18"/>
  <c r="AE6" i="18"/>
  <c r="AD64" i="18"/>
  <c r="AD56" i="18"/>
  <c r="AD47" i="18"/>
  <c r="AD37" i="18"/>
  <c r="AD27" i="18"/>
  <c r="AD18" i="18"/>
  <c r="AD10" i="18"/>
  <c r="AB62" i="18"/>
  <c r="AB58" i="18"/>
  <c r="AB54" i="18"/>
  <c r="AB50" i="18"/>
  <c r="AB46" i="18"/>
  <c r="AB42" i="18"/>
  <c r="AB38" i="18"/>
  <c r="AB34" i="18"/>
  <c r="AB30" i="18"/>
  <c r="AB26" i="18"/>
  <c r="AB22" i="18"/>
  <c r="AB18" i="18"/>
  <c r="AB14" i="18"/>
  <c r="AB10" i="18"/>
  <c r="AB6" i="18"/>
  <c r="AN33" i="18"/>
  <c r="AP31" i="18"/>
  <c r="AM30" i="18"/>
  <c r="AN28" i="18"/>
  <c r="AP26" i="18"/>
  <c r="AM25" i="18"/>
  <c r="AN23" i="18"/>
  <c r="AP21" i="18"/>
  <c r="AM20" i="18"/>
  <c r="AO18" i="18"/>
  <c r="AL17" i="18"/>
  <c r="AN15" i="18"/>
  <c r="AP13" i="18"/>
  <c r="AM12" i="18"/>
  <c r="AO10" i="18"/>
  <c r="AL9" i="18"/>
  <c r="AN7" i="18"/>
  <c r="AP5" i="18"/>
  <c r="AE64" i="18"/>
  <c r="AE56" i="18"/>
  <c r="AE47" i="18"/>
  <c r="AE38" i="18"/>
  <c r="AE30" i="18"/>
  <c r="AE21" i="18"/>
  <c r="AE13" i="18"/>
  <c r="AD63" i="18"/>
  <c r="AD55" i="18"/>
  <c r="AD46" i="18"/>
  <c r="AD36" i="18"/>
  <c r="AD26" i="18"/>
  <c r="AD17" i="18"/>
  <c r="AD9" i="18"/>
  <c r="AC65" i="18"/>
  <c r="AC61" i="18"/>
  <c r="AC57" i="18"/>
  <c r="AC53" i="18"/>
  <c r="AC49" i="18"/>
  <c r="AC45" i="18"/>
  <c r="AC41" i="18"/>
  <c r="AC37" i="18"/>
  <c r="AC33" i="18"/>
  <c r="AC29" i="18"/>
  <c r="AC25" i="18"/>
  <c r="AC21" i="18"/>
  <c r="AC17" i="18"/>
  <c r="AC13" i="18"/>
  <c r="I40" i="27"/>
  <c r="K48" i="27"/>
  <c r="K40" i="27"/>
  <c r="J40" i="27"/>
  <c r="H30" i="27"/>
  <c r="J28" i="27"/>
  <c r="I28" i="27"/>
  <c r="K28" i="27"/>
  <c r="H28" i="27"/>
  <c r="K33" i="27"/>
  <c r="H33" i="27"/>
  <c r="I33" i="27"/>
  <c r="J33" i="27"/>
  <c r="AP12" i="13"/>
  <c r="K25" i="27"/>
  <c r="X199" i="19"/>
  <c r="X191" i="19"/>
  <c r="X159" i="19"/>
  <c r="X143" i="19"/>
  <c r="X135" i="19"/>
  <c r="X153" i="19"/>
  <c r="X129" i="19"/>
  <c r="O140" i="19"/>
  <c r="X195" i="19"/>
  <c r="X187" i="19"/>
  <c r="X139" i="19"/>
  <c r="X189" i="19"/>
  <c r="X181" i="19"/>
  <c r="X149" i="19"/>
  <c r="X169" i="19"/>
  <c r="B57" i="27"/>
  <c r="J57" i="27" s="1"/>
  <c r="I42" i="27"/>
  <c r="K46" i="27"/>
  <c r="J46" i="27"/>
  <c r="K24" i="27"/>
  <c r="J24" i="27"/>
  <c r="H24" i="27"/>
  <c r="I24" i="27"/>
  <c r="H29" i="27"/>
  <c r="K29" i="27"/>
  <c r="J29" i="27"/>
  <c r="I29" i="27"/>
  <c r="K26" i="27"/>
  <c r="H26" i="27"/>
  <c r="AP20" i="13"/>
  <c r="G43" i="13"/>
  <c r="G42" i="13"/>
  <c r="G40" i="13"/>
  <c r="G36" i="13"/>
  <c r="G34" i="13"/>
  <c r="H82" i="13"/>
  <c r="H86" i="13"/>
  <c r="AD164" i="13"/>
  <c r="AO16" i="13"/>
  <c r="G29" i="13"/>
  <c r="AO24" i="13"/>
  <c r="AB38" i="13"/>
  <c r="AC32" i="13"/>
  <c r="AE125" i="13"/>
  <c r="H32" i="27"/>
  <c r="H90" i="13"/>
  <c r="G26" i="13"/>
  <c r="AL27" i="13"/>
  <c r="AE62" i="13"/>
  <c r="AE97" i="13"/>
  <c r="I30" i="27"/>
  <c r="H92" i="13"/>
  <c r="H84" i="13"/>
  <c r="H88" i="13"/>
  <c r="B35" i="27"/>
  <c r="AC60" i="13"/>
  <c r="AM14" i="13"/>
  <c r="AL28" i="13"/>
  <c r="AN34" i="13"/>
  <c r="AM15" i="13"/>
  <c r="AE8" i="13"/>
  <c r="AL11" i="13"/>
  <c r="AB65" i="13"/>
  <c r="AL31" i="13"/>
  <c r="B23" i="27"/>
  <c r="AC165" i="13"/>
  <c r="AC164" i="13"/>
  <c r="AC163" i="13"/>
  <c r="AC162" i="13"/>
  <c r="AC161" i="13"/>
  <c r="AC160" i="13"/>
  <c r="AC159" i="13"/>
  <c r="AC158" i="13"/>
  <c r="AC157" i="13"/>
  <c r="AC156" i="13"/>
  <c r="AC155" i="13"/>
  <c r="AC154" i="13"/>
  <c r="AC153" i="13"/>
  <c r="AC152" i="13"/>
  <c r="AC151" i="13"/>
  <c r="AC150" i="13"/>
  <c r="AC149" i="13"/>
  <c r="AC148" i="13"/>
  <c r="AC147" i="13"/>
  <c r="AC146" i="13"/>
  <c r="AC145" i="13"/>
  <c r="AC144" i="13"/>
  <c r="AC143" i="13"/>
  <c r="AC142" i="13"/>
  <c r="AC141" i="13"/>
  <c r="AC140" i="13"/>
  <c r="AC139" i="13"/>
  <c r="AC138" i="13"/>
  <c r="AC137" i="13"/>
  <c r="AC136" i="13"/>
  <c r="AC135" i="13"/>
  <c r="AC134" i="13"/>
  <c r="AC133" i="13"/>
  <c r="AC132" i="13"/>
  <c r="AC131" i="13"/>
  <c r="AC130" i="13"/>
  <c r="AC129" i="13"/>
  <c r="AC128" i="13"/>
  <c r="AC127" i="13"/>
  <c r="AB164" i="13"/>
  <c r="AB163" i="13"/>
  <c r="AB162" i="13"/>
  <c r="AB161" i="13"/>
  <c r="AB160" i="13"/>
  <c r="AB159" i="13"/>
  <c r="AB158" i="13"/>
  <c r="AB157" i="13"/>
  <c r="AB156" i="13"/>
  <c r="AB154" i="13"/>
  <c r="AB153" i="13"/>
  <c r="AB152" i="13"/>
  <c r="AB151" i="13"/>
  <c r="AB150" i="13"/>
  <c r="AB149" i="13"/>
  <c r="AB148" i="13"/>
  <c r="AB147" i="13"/>
  <c r="AB146" i="13"/>
  <c r="AB145" i="13"/>
  <c r="AB144" i="13"/>
  <c r="AB143" i="13"/>
  <c r="AB142" i="13"/>
  <c r="AB141" i="13"/>
  <c r="AB140" i="13"/>
  <c r="AB139" i="13"/>
  <c r="AB138" i="13"/>
  <c r="AB137" i="13"/>
  <c r="AB136" i="13"/>
  <c r="AB135" i="13"/>
  <c r="AB134" i="13"/>
  <c r="AB133" i="13"/>
  <c r="AB132" i="13"/>
  <c r="AB131" i="13"/>
  <c r="AB130" i="13"/>
  <c r="AB129" i="13"/>
  <c r="AB128" i="13"/>
  <c r="AB127" i="13"/>
  <c r="AE165" i="13"/>
  <c r="AE164" i="13"/>
  <c r="AE163" i="13"/>
  <c r="AE162" i="13"/>
  <c r="AE161" i="13"/>
  <c r="AE160" i="13"/>
  <c r="AE159" i="13"/>
  <c r="AE158" i="13"/>
  <c r="AE157" i="13"/>
  <c r="AE156" i="13"/>
  <c r="AE155" i="13"/>
  <c r="AE154" i="13"/>
  <c r="AE153" i="13"/>
  <c r="AE152" i="13"/>
  <c r="AE151" i="13"/>
  <c r="AE150" i="13"/>
  <c r="AE149" i="13"/>
  <c r="AE148" i="13"/>
  <c r="AE147" i="13"/>
  <c r="AE146" i="13"/>
  <c r="AE145" i="13"/>
  <c r="AE144" i="13"/>
  <c r="AE143" i="13"/>
  <c r="AE142" i="13"/>
  <c r="AE141" i="13"/>
  <c r="AE140" i="13"/>
  <c r="AE139" i="13"/>
  <c r="AE138" i="13"/>
  <c r="AE137" i="13"/>
  <c r="AE136" i="13"/>
  <c r="AE135" i="13"/>
  <c r="AE134" i="13"/>
  <c r="AE133" i="13"/>
  <c r="AE132" i="13"/>
  <c r="AE131" i="13"/>
  <c r="AE130" i="13"/>
  <c r="AE129" i="13"/>
  <c r="AE128" i="13"/>
  <c r="AE127" i="13"/>
  <c r="AE126" i="13"/>
  <c r="AB47" i="13"/>
  <c r="AB63" i="13"/>
  <c r="AC47" i="13"/>
  <c r="AD47" i="13"/>
  <c r="AE55" i="13"/>
  <c r="AD165" i="13"/>
  <c r="AD163" i="13"/>
  <c r="AD161" i="13"/>
  <c r="AD159" i="13"/>
  <c r="AD157" i="13"/>
  <c r="AD155" i="13"/>
  <c r="AD153" i="13"/>
  <c r="AD151" i="13"/>
  <c r="AD149" i="13"/>
  <c r="AD147" i="13"/>
  <c r="AD145" i="13"/>
  <c r="AD143" i="13"/>
  <c r="AD141" i="13"/>
  <c r="AD139" i="13"/>
  <c r="AD137" i="13"/>
  <c r="AD135" i="13"/>
  <c r="AD133" i="13"/>
  <c r="AD131" i="13"/>
  <c r="AD129" i="13"/>
  <c r="AD127" i="13"/>
  <c r="AD126" i="13"/>
  <c r="AD55" i="13"/>
  <c r="AE63" i="13"/>
  <c r="AC126" i="13"/>
  <c r="AC55" i="13"/>
  <c r="AD63" i="13"/>
  <c r="AD162" i="13"/>
  <c r="AD154" i="13"/>
  <c r="AD146" i="13"/>
  <c r="AD138" i="13"/>
  <c r="AD130" i="13"/>
  <c r="AC63" i="13"/>
  <c r="AB80" i="13"/>
  <c r="AE71" i="13"/>
  <c r="AE80" i="13"/>
  <c r="AE98" i="13"/>
  <c r="AD160" i="13"/>
  <c r="AD152" i="13"/>
  <c r="AD144" i="13"/>
  <c r="AD136" i="13"/>
  <c r="AD128" i="13"/>
  <c r="AE47" i="13"/>
  <c r="AB71" i="13"/>
  <c r="AD80" i="13"/>
  <c r="AB89" i="13"/>
  <c r="AD108" i="13"/>
  <c r="AD158" i="13"/>
  <c r="AD150" i="13"/>
  <c r="AD142" i="13"/>
  <c r="AD134" i="13"/>
  <c r="AD156" i="13"/>
  <c r="AB126" i="13"/>
  <c r="AE108" i="13"/>
  <c r="AD6" i="13"/>
  <c r="AC118" i="13"/>
  <c r="AM19" i="13"/>
  <c r="AP11" i="13"/>
  <c r="AE24" i="13"/>
  <c r="AC21" i="13"/>
  <c r="AD83" i="13"/>
  <c r="AB53" i="13"/>
  <c r="AD82" i="13"/>
  <c r="AD81" i="13"/>
  <c r="AM7" i="13"/>
  <c r="AP35" i="13"/>
  <c r="AC72" i="13"/>
  <c r="AB92" i="13"/>
  <c r="AE58" i="13"/>
  <c r="AE16" i="13"/>
  <c r="AL10" i="13"/>
  <c r="AC29" i="13"/>
  <c r="AL22" i="13"/>
  <c r="AB31" i="13"/>
  <c r="AO33" i="13"/>
  <c r="AE31" i="13"/>
  <c r="AM12" i="13"/>
  <c r="AC107" i="13"/>
  <c r="AO22" i="13"/>
  <c r="AE26" i="13"/>
  <c r="AD69" i="13"/>
  <c r="AC86" i="13"/>
  <c r="AE6" i="13"/>
  <c r="AL15" i="13"/>
  <c r="AC54" i="13"/>
  <c r="AD68" i="13"/>
  <c r="AB93" i="13"/>
  <c r="AO5" i="13"/>
  <c r="AD58" i="13"/>
  <c r="AM11" i="13"/>
  <c r="AE17" i="13"/>
  <c r="AC40" i="13"/>
  <c r="AE107" i="13"/>
  <c r="AD79" i="13"/>
  <c r="AC31" i="13"/>
  <c r="AN21" i="13"/>
  <c r="AB112" i="13"/>
  <c r="AM34" i="13"/>
  <c r="AE112" i="13"/>
  <c r="AE19" i="13"/>
  <c r="AC39" i="13"/>
  <c r="AC44" i="13"/>
  <c r="AD45" i="13"/>
  <c r="AD117" i="13"/>
  <c r="AM23" i="13"/>
  <c r="AC43" i="13"/>
  <c r="AD122" i="13"/>
  <c r="AB103" i="13"/>
  <c r="AC115" i="13"/>
  <c r="AN5" i="13"/>
  <c r="AE93" i="13"/>
  <c r="AM18" i="13"/>
  <c r="AE110" i="13"/>
  <c r="AP25" i="13"/>
  <c r="AC105" i="13"/>
  <c r="AD56" i="13"/>
  <c r="AB28" i="13"/>
  <c r="AB17" i="13"/>
  <c r="AC90" i="13"/>
  <c r="AC113" i="13"/>
  <c r="AB64" i="13"/>
  <c r="AB81" i="13"/>
  <c r="AM10" i="13"/>
  <c r="AD20" i="13"/>
  <c r="AB107" i="13"/>
  <c r="AD39" i="13"/>
  <c r="AE94" i="13"/>
  <c r="AC101" i="13"/>
  <c r="AN18" i="13"/>
  <c r="AC81" i="13"/>
  <c r="AD88" i="13"/>
  <c r="AC56" i="13"/>
  <c r="AL23" i="13"/>
  <c r="AD116" i="13"/>
  <c r="AC100" i="13"/>
  <c r="AC77" i="13"/>
  <c r="AB42" i="13"/>
  <c r="AD148" i="13"/>
  <c r="AE89" i="13"/>
  <c r="AD98" i="13"/>
  <c r="AB98" i="13"/>
  <c r="AB108" i="13"/>
  <c r="AD118" i="13"/>
  <c r="AB75" i="13"/>
  <c r="AD11" i="13"/>
  <c r="AE39" i="13"/>
  <c r="AB100" i="13"/>
  <c r="AC79" i="13"/>
  <c r="AB68" i="13"/>
  <c r="AC97" i="13"/>
  <c r="AN15" i="13"/>
  <c r="AD114" i="13"/>
  <c r="AE21" i="13"/>
  <c r="AE61" i="13"/>
  <c r="AE95" i="13"/>
  <c r="AC67" i="13"/>
  <c r="AO25" i="13"/>
  <c r="AC53" i="13"/>
  <c r="AP30" i="13"/>
  <c r="AE122" i="13"/>
  <c r="AD61" i="13"/>
  <c r="AP17" i="13"/>
  <c r="AO29" i="13"/>
  <c r="AB101" i="13"/>
  <c r="AE42" i="13"/>
  <c r="AE85" i="13"/>
  <c r="AM32" i="13"/>
  <c r="AE13" i="13"/>
  <c r="AL35" i="13"/>
  <c r="AN23" i="13"/>
  <c r="AE25" i="13"/>
  <c r="AO32" i="13"/>
  <c r="AE56" i="13"/>
  <c r="AE67" i="13"/>
  <c r="AC119" i="13"/>
  <c r="AC61" i="13"/>
  <c r="AD44" i="13"/>
  <c r="AB50" i="13"/>
  <c r="AB99" i="13"/>
  <c r="AP26" i="13"/>
  <c r="AN6" i="13"/>
  <c r="AL20" i="13"/>
  <c r="AB26" i="13"/>
  <c r="AM20" i="13"/>
  <c r="AC75" i="13"/>
  <c r="AD66" i="13"/>
  <c r="AD112" i="13"/>
  <c r="AB122" i="13"/>
  <c r="AN7" i="13"/>
  <c r="AN19" i="13"/>
  <c r="AC69" i="13"/>
  <c r="AC15" i="13"/>
  <c r="AC78" i="13"/>
  <c r="AD29" i="13"/>
  <c r="AP14" i="13"/>
  <c r="AB69" i="13"/>
  <c r="AB36" i="13"/>
  <c r="AB52" i="13"/>
  <c r="AE88" i="13"/>
  <c r="AE74" i="13"/>
  <c r="AD110" i="13"/>
  <c r="AE114" i="13"/>
  <c r="AO11" i="13"/>
  <c r="AC91" i="13"/>
  <c r="AE86" i="13"/>
  <c r="AD120" i="13"/>
  <c r="AP7" i="13"/>
  <c r="AP28" i="13"/>
  <c r="AC111" i="13"/>
  <c r="AD74" i="13"/>
  <c r="AO7" i="13"/>
  <c r="AE27" i="13"/>
  <c r="AO20" i="13"/>
  <c r="AN28" i="13"/>
  <c r="AE50" i="13"/>
  <c r="AB54" i="13"/>
  <c r="AB66" i="13"/>
  <c r="AL16" i="13"/>
  <c r="AL6" i="13"/>
  <c r="AY6" i="13" s="1"/>
  <c r="AO17" i="13"/>
  <c r="AC102" i="13"/>
  <c r="AC19" i="13"/>
  <c r="AC7" i="13"/>
  <c r="AB96" i="13"/>
  <c r="AD13" i="13"/>
  <c r="AD87" i="13"/>
  <c r="AC25" i="13"/>
  <c r="AC26" i="13"/>
  <c r="AB84" i="13"/>
  <c r="AD101" i="13"/>
  <c r="AE46" i="13"/>
  <c r="AO12" i="13"/>
  <c r="AC14" i="13"/>
  <c r="AL12" i="13"/>
  <c r="AP23" i="13"/>
  <c r="AE7" i="13"/>
  <c r="AB6" i="13"/>
  <c r="AE124" i="13"/>
  <c r="AB58" i="13"/>
  <c r="AP8" i="13"/>
  <c r="AD93" i="13"/>
  <c r="AE59" i="13"/>
  <c r="AB88" i="13"/>
  <c r="AB27" i="13"/>
  <c r="AB90" i="13"/>
  <c r="AD31" i="13"/>
  <c r="AB110" i="13"/>
  <c r="AN35" i="13"/>
  <c r="AD102" i="13"/>
  <c r="AB120" i="13"/>
  <c r="AC114" i="13"/>
  <c r="AB121" i="13"/>
  <c r="AD62" i="13"/>
  <c r="AB20" i="13"/>
  <c r="AB37" i="13"/>
  <c r="AM26" i="13"/>
  <c r="AC64" i="13"/>
  <c r="AN33" i="13"/>
  <c r="AD92" i="13"/>
  <c r="AL34" i="13"/>
  <c r="AD94" i="13"/>
  <c r="AE15" i="13"/>
  <c r="AN12" i="13"/>
  <c r="AB86" i="13"/>
  <c r="AE68" i="13"/>
  <c r="AB78" i="13"/>
  <c r="AN24" i="13"/>
  <c r="AE100" i="13"/>
  <c r="AE70" i="13"/>
  <c r="AC30" i="13"/>
  <c r="AD97" i="13"/>
  <c r="AD115" i="13"/>
  <c r="AO27" i="13"/>
  <c r="AC74" i="13"/>
  <c r="AC33" i="13"/>
  <c r="AD103" i="13"/>
  <c r="AC35" i="13"/>
  <c r="AD140" i="13"/>
  <c r="AC71" i="13"/>
  <c r="AC80" i="13"/>
  <c r="AD89" i="13"/>
  <c r="AC98" i="13"/>
  <c r="AC108" i="13"/>
  <c r="AE118" i="13"/>
  <c r="AC96" i="13"/>
  <c r="AC18" i="13"/>
  <c r="AB109" i="13"/>
  <c r="AP27" i="13"/>
  <c r="AC123" i="13"/>
  <c r="AB104" i="13"/>
  <c r="AD91" i="13"/>
  <c r="AB60" i="13"/>
  <c r="AC20" i="13"/>
  <c r="AE33" i="13"/>
  <c r="AD53" i="13"/>
  <c r="AE48" i="13"/>
  <c r="AB22" i="13"/>
  <c r="AB85" i="13"/>
  <c r="AC85" i="13"/>
  <c r="AD21" i="13"/>
  <c r="AB29" i="13"/>
  <c r="AC41" i="13"/>
  <c r="AE121" i="13"/>
  <c r="AB61" i="13"/>
  <c r="AB59" i="13"/>
  <c r="AO31" i="13"/>
  <c r="AB95" i="13"/>
  <c r="AB19" i="13"/>
  <c r="AC70" i="13"/>
  <c r="AC27" i="13"/>
  <c r="AB44" i="13"/>
  <c r="AD27" i="13"/>
  <c r="AC93" i="13"/>
  <c r="AE64" i="13"/>
  <c r="AL17" i="13"/>
  <c r="AD41" i="13"/>
  <c r="AO13" i="13"/>
  <c r="AC103" i="13"/>
  <c r="AD57" i="13"/>
  <c r="AD73" i="13"/>
  <c r="AC94" i="13"/>
  <c r="AL21" i="13"/>
  <c r="AO8" i="13"/>
  <c r="AD49" i="13"/>
  <c r="AB76" i="13"/>
  <c r="AE81" i="13"/>
  <c r="AC37" i="13"/>
  <c r="AB7" i="13"/>
  <c r="AC92" i="13"/>
  <c r="AD104" i="13"/>
  <c r="AL13" i="13"/>
  <c r="AE11" i="13"/>
  <c r="AN14" i="13"/>
  <c r="AP34" i="13"/>
  <c r="AM27" i="13"/>
  <c r="AN31" i="13"/>
  <c r="AE10" i="13"/>
  <c r="AD23" i="13"/>
  <c r="AM16" i="13"/>
  <c r="AD65" i="13"/>
  <c r="AB35" i="13"/>
  <c r="AD17" i="13"/>
  <c r="AB40" i="13"/>
  <c r="AE14" i="13"/>
  <c r="AN29" i="13"/>
  <c r="AE65" i="13"/>
  <c r="AD40" i="13"/>
  <c r="AB94" i="13"/>
  <c r="AE113" i="13"/>
  <c r="AC11" i="13"/>
  <c r="AL19" i="13"/>
  <c r="AC83" i="13"/>
  <c r="AD33" i="13"/>
  <c r="AC76" i="13"/>
  <c r="AM33" i="13"/>
  <c r="AD132" i="13"/>
  <c r="AB118" i="13"/>
  <c r="AC46" i="13"/>
  <c r="AE90" i="13"/>
  <c r="AB119" i="13"/>
  <c r="AE83" i="13"/>
  <c r="AP33" i="13"/>
  <c r="AE53" i="13"/>
  <c r="AB18" i="13"/>
  <c r="AN30" i="13"/>
  <c r="AP31" i="13"/>
  <c r="AB74" i="13"/>
  <c r="AD26" i="13"/>
  <c r="AB82" i="13"/>
  <c r="AB67" i="13"/>
  <c r="AD100" i="13"/>
  <c r="AL30" i="13"/>
  <c r="AB124" i="13"/>
  <c r="AD75" i="13"/>
  <c r="AE78" i="13"/>
  <c r="AD16" i="13"/>
  <c r="AD119" i="13"/>
  <c r="AB77" i="13"/>
  <c r="AC23" i="13"/>
  <c r="AE117" i="13"/>
  <c r="AB23" i="13"/>
  <c r="AC5" i="13"/>
  <c r="AD22" i="13"/>
  <c r="AD28" i="13"/>
  <c r="AE5" i="13"/>
  <c r="AD72" i="13"/>
  <c r="AB46" i="13"/>
  <c r="AD43" i="13"/>
  <c r="AD86" i="13"/>
  <c r="AL29" i="13"/>
  <c r="AN20" i="13"/>
  <c r="AC36" i="13"/>
  <c r="AB113" i="13"/>
  <c r="AE22" i="13"/>
  <c r="AC45" i="13"/>
  <c r="AD109" i="13"/>
  <c r="AP19" i="13"/>
  <c r="AC124" i="13"/>
  <c r="AE12" i="13"/>
  <c r="AC66" i="13"/>
  <c r="AL25" i="13"/>
  <c r="AO28" i="13"/>
  <c r="AE116" i="13"/>
  <c r="AB106" i="13"/>
  <c r="AC8" i="13"/>
  <c r="AD59" i="13"/>
  <c r="AD12" i="13"/>
  <c r="AB11" i="13"/>
  <c r="AB125" i="13"/>
  <c r="AC109" i="13"/>
  <c r="AB51" i="13"/>
  <c r="AC68" i="13"/>
  <c r="AD52" i="13"/>
  <c r="AC38" i="13"/>
  <c r="AO14" i="13"/>
  <c r="AB73" i="13"/>
  <c r="AD9" i="13"/>
  <c r="AP13" i="13"/>
  <c r="AE37" i="13"/>
  <c r="AL8" i="13"/>
  <c r="AC110" i="13"/>
  <c r="AC106" i="13"/>
  <c r="AD78" i="13"/>
  <c r="AE106" i="13"/>
  <c r="AM25" i="13"/>
  <c r="AB21" i="13"/>
  <c r="AE23" i="13"/>
  <c r="AD37" i="13"/>
  <c r="AC117" i="13"/>
  <c r="AB43" i="13"/>
  <c r="AB25" i="13"/>
  <c r="AM13" i="13"/>
  <c r="AB79" i="13"/>
  <c r="AB30" i="13"/>
  <c r="AM9" i="13"/>
  <c r="AD71" i="13"/>
  <c r="AD18" i="13"/>
  <c r="AB10" i="13"/>
  <c r="AB24" i="13"/>
  <c r="AC99" i="13"/>
  <c r="AE34" i="13"/>
  <c r="AD67" i="13"/>
  <c r="AD113" i="13"/>
  <c r="AB12" i="13"/>
  <c r="AC88" i="13"/>
  <c r="AE66" i="13"/>
  <c r="AB117" i="13"/>
  <c r="AE96" i="13"/>
  <c r="AD85" i="13"/>
  <c r="AC12" i="13"/>
  <c r="AP22" i="13"/>
  <c r="AD38" i="13"/>
  <c r="AD96" i="13"/>
  <c r="AN9" i="13"/>
  <c r="AM29" i="13"/>
  <c r="AO26" i="13"/>
  <c r="AB57" i="13"/>
  <c r="AC13" i="13"/>
  <c r="AE111" i="13"/>
  <c r="AD46" i="13"/>
  <c r="AC125" i="13"/>
  <c r="AE87" i="13"/>
  <c r="AB45" i="13"/>
  <c r="AB56" i="13"/>
  <c r="AC65" i="13"/>
  <c r="AD84" i="13"/>
  <c r="AB72" i="13"/>
  <c r="AL7" i="13"/>
  <c r="AN17" i="13"/>
  <c r="AD106" i="13"/>
  <c r="AB83" i="13"/>
  <c r="AB102" i="13"/>
  <c r="AC6" i="13"/>
  <c r="AB15" i="13"/>
  <c r="AE45" i="13"/>
  <c r="AP15" i="13"/>
  <c r="AO18" i="13"/>
  <c r="AE51" i="13"/>
  <c r="AC120" i="13"/>
  <c r="AC95" i="13"/>
  <c r="AC116" i="13"/>
  <c r="AE38" i="13"/>
  <c r="AB41" i="13"/>
  <c r="AP5" i="13"/>
  <c r="AC50" i="13"/>
  <c r="AD35" i="13"/>
  <c r="AB123" i="13"/>
  <c r="AL14" i="13"/>
  <c r="AO30" i="13"/>
  <c r="AN11" i="13"/>
  <c r="AE77" i="13"/>
  <c r="AE44" i="13"/>
  <c r="AC73" i="13"/>
  <c r="AE41" i="13"/>
  <c r="AD77" i="13"/>
  <c r="AB5" i="13"/>
  <c r="AM35" i="13"/>
  <c r="AC84" i="13"/>
  <c r="AD10" i="13"/>
  <c r="AE9" i="13"/>
  <c r="AB33" i="13"/>
  <c r="AC10" i="13"/>
  <c r="AC121" i="13"/>
  <c r="AE120" i="13"/>
  <c r="AB70" i="13"/>
  <c r="AE73" i="13"/>
  <c r="AM17" i="13"/>
  <c r="AC104" i="13"/>
  <c r="AB48" i="13"/>
  <c r="AE60" i="13"/>
  <c r="AD76" i="13"/>
  <c r="AP16" i="13"/>
  <c r="AE92" i="13"/>
  <c r="AC51" i="13"/>
  <c r="AD30" i="13"/>
  <c r="AC89" i="13"/>
  <c r="AE123" i="13"/>
  <c r="AN22" i="13"/>
  <c r="AM28" i="13"/>
  <c r="AP18" i="13"/>
  <c r="AE101" i="13"/>
  <c r="AC48" i="13"/>
  <c r="AM22" i="13"/>
  <c r="AD95" i="13"/>
  <c r="AD25" i="13"/>
  <c r="AM6" i="13"/>
  <c r="AE104" i="13"/>
  <c r="AB32" i="13"/>
  <c r="AD125" i="13"/>
  <c r="AE43" i="13"/>
  <c r="AC34" i="13"/>
  <c r="AB14" i="13"/>
  <c r="AM5" i="13"/>
  <c r="AB13" i="13"/>
  <c r="AE115" i="13"/>
  <c r="AD105" i="13"/>
  <c r="AB39" i="13"/>
  <c r="AE49" i="13"/>
  <c r="AC87" i="13"/>
  <c r="AB34" i="13"/>
  <c r="AP21" i="13"/>
  <c r="AL18" i="13"/>
  <c r="AB115" i="13"/>
  <c r="AC49" i="13"/>
  <c r="AE105" i="13"/>
  <c r="AD42" i="13"/>
  <c r="AL33" i="13"/>
  <c r="AN27" i="13"/>
  <c r="AD32" i="13"/>
  <c r="AL32" i="13"/>
  <c r="AB111" i="13"/>
  <c r="AE28" i="13"/>
  <c r="AP32" i="13"/>
  <c r="AB97" i="13"/>
  <c r="AO10" i="13"/>
  <c r="AL9" i="13"/>
  <c r="AP24" i="13"/>
  <c r="AD50" i="13"/>
  <c r="AB114" i="13"/>
  <c r="AC57" i="13"/>
  <c r="AL24" i="13"/>
  <c r="AO35" i="13"/>
  <c r="AC62" i="13"/>
  <c r="AO15" i="13"/>
  <c r="AE109" i="13"/>
  <c r="AD36" i="13"/>
  <c r="AL5" i="13"/>
  <c r="AB87" i="13"/>
  <c r="AD51" i="13"/>
  <c r="AE91" i="13"/>
  <c r="AC28" i="13"/>
  <c r="AB49" i="13"/>
  <c r="AN8" i="13"/>
  <c r="AD64" i="13"/>
  <c r="AD90" i="13"/>
  <c r="AB91" i="13"/>
  <c r="AB62" i="13"/>
  <c r="AD8" i="13"/>
  <c r="AO21" i="13"/>
  <c r="AD34" i="13"/>
  <c r="AP9" i="13"/>
  <c r="AC9" i="13"/>
  <c r="AE36" i="13"/>
  <c r="AE82" i="13"/>
  <c r="AD99" i="13"/>
  <c r="AE102" i="13"/>
  <c r="AE40" i="13"/>
  <c r="AM24" i="13"/>
  <c r="AM30" i="13"/>
  <c r="AE18" i="13"/>
  <c r="AO19" i="13"/>
  <c r="AD15" i="13"/>
  <c r="AE99" i="13"/>
  <c r="AD111" i="13"/>
  <c r="AC112" i="13"/>
  <c r="AD14" i="13"/>
  <c r="AO9" i="13"/>
  <c r="AC59" i="13"/>
  <c r="AD107" i="13"/>
  <c r="AO34" i="13"/>
  <c r="AE32" i="13"/>
  <c r="AL26" i="13"/>
  <c r="AP10" i="13"/>
  <c r="AP29" i="13"/>
  <c r="AC16" i="13"/>
  <c r="AC52" i="13"/>
  <c r="AD7" i="13"/>
  <c r="AC17" i="13"/>
  <c r="AD19" i="13"/>
  <c r="AE119" i="13"/>
  <c r="AC82" i="13"/>
  <c r="AE52" i="13"/>
  <c r="AM21" i="13"/>
  <c r="AM8" i="13"/>
  <c r="AN32" i="13"/>
  <c r="AD123" i="13"/>
  <c r="AN25" i="13"/>
  <c r="AD70" i="13"/>
  <c r="AE75" i="13"/>
  <c r="AE76" i="13"/>
  <c r="AC24" i="13"/>
  <c r="AE29" i="13"/>
  <c r="AE72" i="13"/>
  <c r="AE84" i="13"/>
  <c r="AC122" i="13"/>
  <c r="AC58" i="13"/>
  <c r="AE35" i="13"/>
  <c r="AD48" i="13"/>
  <c r="AE103" i="13"/>
  <c r="AD54" i="13"/>
  <c r="AD124" i="13"/>
  <c r="AB8" i="13"/>
  <c r="AE69" i="13"/>
  <c r="AE79" i="13"/>
  <c r="AN16" i="13"/>
  <c r="AE20" i="13"/>
  <c r="AE54" i="13"/>
  <c r="AD24" i="13"/>
  <c r="AN10" i="13"/>
  <c r="AB116" i="13"/>
  <c r="AN13" i="13"/>
  <c r="AD5" i="13"/>
  <c r="AB16" i="13"/>
  <c r="AP6" i="13"/>
  <c r="AN26" i="13"/>
  <c r="AO6" i="13"/>
  <c r="AB9" i="13"/>
  <c r="AD60" i="13"/>
  <c r="AD121" i="13"/>
  <c r="AM31" i="13"/>
  <c r="AE30" i="13"/>
  <c r="AC22" i="13"/>
  <c r="AO23" i="13"/>
  <c r="AC42" i="13"/>
  <c r="H34" i="27"/>
  <c r="I34" i="27"/>
  <c r="J34" i="27"/>
  <c r="K34" i="27"/>
  <c r="I31" i="27"/>
  <c r="J31" i="27"/>
  <c r="K31" i="27"/>
  <c r="J27" i="27"/>
  <c r="K27" i="27"/>
  <c r="H27" i="27"/>
  <c r="I27" i="27"/>
  <c r="K186" i="13"/>
  <c r="J32" i="27"/>
  <c r="J30" i="27"/>
  <c r="I26" i="27"/>
  <c r="J26" i="27"/>
  <c r="K203" i="13"/>
  <c r="O198" i="13"/>
  <c r="O177" i="13"/>
  <c r="O193" i="13"/>
  <c r="O169" i="13"/>
  <c r="J25" i="27"/>
  <c r="I25" i="27"/>
  <c r="X205" i="19"/>
  <c r="X201" i="19"/>
  <c r="X165" i="19"/>
  <c r="X145" i="19"/>
  <c r="X141" i="19"/>
  <c r="X155" i="19"/>
  <c r="X151" i="19"/>
  <c r="X131" i="19"/>
  <c r="O152" i="19"/>
  <c r="L205" i="18"/>
  <c r="M202" i="18"/>
  <c r="L201" i="18"/>
  <c r="M198" i="18"/>
  <c r="L197" i="18"/>
  <c r="L195" i="18"/>
  <c r="L193" i="18"/>
  <c r="L191" i="18"/>
  <c r="L189" i="18"/>
  <c r="L187" i="18"/>
  <c r="L185" i="18"/>
  <c r="L183" i="18"/>
  <c r="L181" i="18"/>
  <c r="L179" i="18"/>
  <c r="L177" i="18"/>
  <c r="L175" i="18"/>
  <c r="L173" i="18"/>
  <c r="L171" i="18"/>
  <c r="L169" i="18"/>
  <c r="L167" i="18"/>
  <c r="L165" i="18"/>
  <c r="L163" i="18"/>
  <c r="L161" i="18"/>
  <c r="L159" i="18"/>
  <c r="L157" i="18"/>
  <c r="L155" i="18"/>
  <c r="L153" i="18"/>
  <c r="L151" i="18"/>
  <c r="L149" i="18"/>
  <c r="L147" i="18"/>
  <c r="L145" i="18"/>
  <c r="L143" i="18"/>
  <c r="L141" i="18"/>
  <c r="L139" i="18"/>
  <c r="L137" i="18"/>
  <c r="L135" i="18"/>
  <c r="L133" i="18"/>
  <c r="L131" i="18"/>
  <c r="L129" i="18"/>
  <c r="L127" i="18"/>
  <c r="L125" i="18"/>
  <c r="L123" i="18"/>
  <c r="L121" i="18"/>
  <c r="L119" i="18"/>
  <c r="L117" i="18"/>
  <c r="L115" i="18"/>
  <c r="L113" i="18"/>
  <c r="L111" i="18"/>
  <c r="L109" i="18"/>
  <c r="L107" i="18"/>
  <c r="L105" i="18"/>
  <c r="L103" i="18"/>
  <c r="L101" i="18"/>
  <c r="L99" i="18"/>
  <c r="M8" i="18"/>
  <c r="L23" i="18"/>
  <c r="L28" i="18"/>
  <c r="M34" i="18"/>
  <c r="L36" i="18"/>
  <c r="M37" i="18"/>
  <c r="L39" i="18"/>
  <c r="M42" i="18"/>
  <c r="L44" i="18"/>
  <c r="M45" i="18"/>
  <c r="L47" i="18"/>
  <c r="M50" i="18"/>
  <c r="L52" i="18"/>
  <c r="M53" i="18"/>
  <c r="L55" i="18"/>
  <c r="M58" i="18"/>
  <c r="L60" i="18"/>
  <c r="M61" i="18"/>
  <c r="L63" i="18"/>
  <c r="L66" i="18"/>
  <c r="M67" i="18"/>
  <c r="L70" i="18"/>
  <c r="M71" i="18"/>
  <c r="L74" i="18"/>
  <c r="M75" i="18"/>
  <c r="L78" i="18"/>
  <c r="M79" i="18"/>
  <c r="L82" i="18"/>
  <c r="M83" i="18"/>
  <c r="L86" i="18"/>
  <c r="M87" i="18"/>
  <c r="L90" i="18"/>
  <c r="M91" i="18"/>
  <c r="L94" i="18"/>
  <c r="M95" i="18"/>
  <c r="L98" i="18"/>
  <c r="M99" i="18"/>
  <c r="L102" i="18"/>
  <c r="M103" i="18"/>
  <c r="L106" i="18"/>
  <c r="M107" i="18"/>
  <c r="L110" i="18"/>
  <c r="M111" i="18"/>
  <c r="L114" i="18"/>
  <c r="M115" i="18"/>
  <c r="L118" i="18"/>
  <c r="M119" i="18"/>
  <c r="L122" i="18"/>
  <c r="M123" i="18"/>
  <c r="L126" i="18"/>
  <c r="M127" i="18"/>
  <c r="L130" i="18"/>
  <c r="M131" i="18"/>
  <c r="L134" i="18"/>
  <c r="M135" i="18"/>
  <c r="L138" i="18"/>
  <c r="M139" i="18"/>
  <c r="L142" i="18"/>
  <c r="M143" i="18"/>
  <c r="L146" i="18"/>
  <c r="M147" i="18"/>
  <c r="L150" i="18"/>
  <c r="M151" i="18"/>
  <c r="L154" i="18"/>
  <c r="M155" i="18"/>
  <c r="L158" i="18"/>
  <c r="M159" i="18"/>
  <c r="L162" i="18"/>
  <c r="M163" i="18"/>
  <c r="L166" i="18"/>
  <c r="M167" i="18"/>
  <c r="L170" i="18"/>
  <c r="M171" i="18"/>
  <c r="L174" i="18"/>
  <c r="M175" i="18"/>
  <c r="L178" i="18"/>
  <c r="M179" i="18"/>
  <c r="L182" i="18"/>
  <c r="M183" i="18"/>
  <c r="L186" i="18"/>
  <c r="M187" i="18"/>
  <c r="L190" i="18"/>
  <c r="M191" i="18"/>
  <c r="L194" i="18"/>
  <c r="M195" i="18"/>
  <c r="L27" i="18"/>
  <c r="M29" i="18"/>
  <c r="L32" i="18"/>
  <c r="M33" i="18"/>
  <c r="L35" i="18"/>
  <c r="M38" i="18"/>
  <c r="L40" i="18"/>
  <c r="M41" i="18"/>
  <c r="L43" i="18"/>
  <c r="M46" i="18"/>
  <c r="L48" i="18"/>
  <c r="M49" i="18"/>
  <c r="L51" i="18"/>
  <c r="M54" i="18"/>
  <c r="L56" i="18"/>
  <c r="M57" i="18"/>
  <c r="L59" i="18"/>
  <c r="M62" i="18"/>
  <c r="L64" i="18"/>
  <c r="M65" i="18"/>
  <c r="L68" i="18"/>
  <c r="M69" i="18"/>
  <c r="L72" i="18"/>
  <c r="M73" i="18"/>
  <c r="L76" i="18"/>
  <c r="M77" i="18"/>
  <c r="L80" i="18"/>
  <c r="M81" i="18"/>
  <c r="L84" i="18"/>
  <c r="M85" i="18"/>
  <c r="L88" i="18"/>
  <c r="M89" i="18"/>
  <c r="L92" i="18"/>
  <c r="M93" i="18"/>
  <c r="L96" i="18"/>
  <c r="M97" i="18"/>
  <c r="L100" i="18"/>
  <c r="M101" i="18"/>
  <c r="L104" i="18"/>
  <c r="M105" i="18"/>
  <c r="L108" i="18"/>
  <c r="M109" i="18"/>
  <c r="L112" i="18"/>
  <c r="M113" i="18"/>
  <c r="L116" i="18"/>
  <c r="M117" i="18"/>
  <c r="L120" i="18"/>
  <c r="M121" i="18"/>
  <c r="L124" i="18"/>
  <c r="M125" i="18"/>
  <c r="L128" i="18"/>
  <c r="M129" i="18"/>
  <c r="L132" i="18"/>
  <c r="M133" i="18"/>
  <c r="L136" i="18"/>
  <c r="M137" i="18"/>
  <c r="L140" i="18"/>
  <c r="M141" i="18"/>
  <c r="L144" i="18"/>
  <c r="M145" i="18"/>
  <c r="L148" i="18"/>
  <c r="M149" i="18"/>
  <c r="L152" i="18"/>
  <c r="M153" i="18"/>
  <c r="L156" i="18"/>
  <c r="M157" i="18"/>
  <c r="L160" i="18"/>
  <c r="M161" i="18"/>
  <c r="L164" i="18"/>
  <c r="M165" i="18"/>
  <c r="L168" i="18"/>
  <c r="M169" i="18"/>
  <c r="L172" i="18"/>
  <c r="M173" i="18"/>
  <c r="L176" i="18"/>
  <c r="M177" i="18"/>
  <c r="L180" i="18"/>
  <c r="M181" i="18"/>
  <c r="L184" i="18"/>
  <c r="M185" i="18"/>
  <c r="L188" i="18"/>
  <c r="M189" i="18"/>
  <c r="L192" i="18"/>
  <c r="M193" i="18"/>
  <c r="L196" i="18"/>
  <c r="L20" i="18"/>
  <c r="M25" i="18"/>
  <c r="M32" i="18"/>
  <c r="L37" i="18"/>
  <c r="M40" i="18"/>
  <c r="L45" i="18"/>
  <c r="M48" i="18"/>
  <c r="L53" i="18"/>
  <c r="M56" i="18"/>
  <c r="L61" i="18"/>
  <c r="M64" i="18"/>
  <c r="L67" i="18"/>
  <c r="M68" i="18"/>
  <c r="L71" i="18"/>
  <c r="M72" i="18"/>
  <c r="L75" i="18"/>
  <c r="M76" i="18"/>
  <c r="L79" i="18"/>
  <c r="M80" i="18"/>
  <c r="L83" i="18"/>
  <c r="M84" i="18"/>
  <c r="L87" i="18"/>
  <c r="M88" i="18"/>
  <c r="L91" i="18"/>
  <c r="M92" i="18"/>
  <c r="L95" i="18"/>
  <c r="M204" i="18"/>
  <c r="L203" i="18"/>
  <c r="M200" i="18"/>
  <c r="L199" i="18"/>
  <c r="M196" i="18"/>
  <c r="M194" i="18"/>
  <c r="M192" i="18"/>
  <c r="M190" i="18"/>
  <c r="M188" i="18"/>
  <c r="M186" i="18"/>
  <c r="M184" i="18"/>
  <c r="M182" i="18"/>
  <c r="M180" i="18"/>
  <c r="M178" i="18"/>
  <c r="M176" i="18"/>
  <c r="M174" i="18"/>
  <c r="M172" i="18"/>
  <c r="M170" i="18"/>
  <c r="M168" i="18"/>
  <c r="M166" i="18"/>
  <c r="M164" i="18"/>
  <c r="M162" i="18"/>
  <c r="M160" i="18"/>
  <c r="M158" i="18"/>
  <c r="M156" i="18"/>
  <c r="M154" i="18"/>
  <c r="M152" i="18"/>
  <c r="M150" i="18"/>
  <c r="M148" i="18"/>
  <c r="M146" i="18"/>
  <c r="M144" i="18"/>
  <c r="M142" i="18"/>
  <c r="M140" i="18"/>
  <c r="M138" i="18"/>
  <c r="M136" i="18"/>
  <c r="M134" i="18"/>
  <c r="M132" i="18"/>
  <c r="M130" i="18"/>
  <c r="M128" i="18"/>
  <c r="M126" i="18"/>
  <c r="M124" i="18"/>
  <c r="M122" i="18"/>
  <c r="M120" i="18"/>
  <c r="M118" i="18"/>
  <c r="M116" i="18"/>
  <c r="M114" i="18"/>
  <c r="M112" i="18"/>
  <c r="M110" i="18"/>
  <c r="M108" i="18"/>
  <c r="M106" i="18"/>
  <c r="M104" i="18"/>
  <c r="M102" i="18"/>
  <c r="M100" i="18"/>
  <c r="M98" i="18"/>
  <c r="M96" i="18"/>
  <c r="M21" i="18"/>
  <c r="AD23" i="18"/>
  <c r="AD34" i="18"/>
  <c r="AD39" i="18"/>
  <c r="AD54" i="18"/>
  <c r="H42" i="27"/>
  <c r="I50" i="27"/>
  <c r="M63" i="18"/>
  <c r="L62" i="18"/>
  <c r="M59" i="18"/>
  <c r="L58" i="18"/>
  <c r="M55" i="18"/>
  <c r="L54" i="18"/>
  <c r="M51" i="18"/>
  <c r="L50" i="18"/>
  <c r="M47" i="18"/>
  <c r="L46" i="18"/>
  <c r="M43" i="18"/>
  <c r="L42" i="18"/>
  <c r="M39" i="18"/>
  <c r="L38" i="18"/>
  <c r="M35" i="18"/>
  <c r="L34" i="18"/>
  <c r="L31" i="18"/>
  <c r="L24" i="18"/>
  <c r="M13" i="18"/>
  <c r="L11" i="18"/>
  <c r="H47" i="27"/>
  <c r="M17" i="18"/>
  <c r="L15" i="18"/>
  <c r="L8" i="18"/>
  <c r="I43" i="27"/>
  <c r="L16" i="18"/>
  <c r="M9" i="18"/>
  <c r="L7" i="18"/>
  <c r="O5" i="18"/>
  <c r="M28" i="18"/>
  <c r="M24" i="18"/>
  <c r="M20" i="18"/>
  <c r="M16" i="18"/>
  <c r="M12" i="18"/>
  <c r="M7" i="18"/>
  <c r="L10" i="18"/>
  <c r="M11" i="18"/>
  <c r="L14" i="18"/>
  <c r="M15" i="18"/>
  <c r="L18" i="18"/>
  <c r="M19" i="18"/>
  <c r="L22" i="18"/>
  <c r="M23" i="18"/>
  <c r="L26" i="18"/>
  <c r="M27" i="18"/>
  <c r="L30" i="18"/>
  <c r="M31" i="18"/>
  <c r="M6" i="18"/>
  <c r="L9" i="18"/>
  <c r="M10" i="18"/>
  <c r="L13" i="18"/>
  <c r="M14" i="18"/>
  <c r="L17" i="18"/>
  <c r="M18" i="18"/>
  <c r="L21" i="18"/>
  <c r="M22" i="18"/>
  <c r="L25" i="18"/>
  <c r="M26" i="18"/>
  <c r="L29" i="18"/>
  <c r="M30" i="18"/>
  <c r="AO23" i="18"/>
  <c r="AE29" i="18"/>
  <c r="AO34" i="18"/>
  <c r="AE44" i="18"/>
  <c r="AE49" i="18"/>
  <c r="AE5" i="18"/>
  <c r="V193" i="27"/>
  <c r="V177" i="27"/>
  <c r="V209" i="27"/>
  <c r="L5" i="27"/>
  <c r="Q84" i="27" s="1"/>
  <c r="R84" i="27" s="1"/>
  <c r="O192" i="13"/>
  <c r="O182" i="13"/>
  <c r="O174" i="13"/>
  <c r="O166" i="13"/>
  <c r="J6" i="13"/>
  <c r="AN34" i="18"/>
  <c r="AD29" i="18"/>
  <c r="H83" i="18"/>
  <c r="H83" i="19"/>
  <c r="F66" i="27"/>
  <c r="H85" i="19"/>
  <c r="H88" i="19"/>
  <c r="H90" i="19"/>
  <c r="H92" i="19"/>
  <c r="E61" i="27"/>
  <c r="E58" i="27"/>
  <c r="E45" i="27"/>
  <c r="E41" i="27"/>
  <c r="AD5" i="18"/>
  <c r="AD44" i="18"/>
  <c r="H84" i="18"/>
  <c r="H85" i="18"/>
  <c r="AN29" i="18"/>
  <c r="AN5" i="18"/>
  <c r="F43" i="27"/>
  <c r="F39" i="27"/>
  <c r="H88" i="18"/>
  <c r="H86" i="18"/>
  <c r="H90" i="18"/>
  <c r="H84" i="19"/>
  <c r="X196" i="19"/>
  <c r="X148" i="19"/>
  <c r="G36" i="18"/>
  <c r="Q87" i="18" s="1"/>
  <c r="H41" i="27"/>
  <c r="H45" i="27"/>
  <c r="G40" i="18"/>
  <c r="G33" i="18"/>
  <c r="G28" i="18"/>
  <c r="O188" i="19"/>
  <c r="O204" i="19"/>
  <c r="O197" i="19"/>
  <c r="O190" i="19"/>
  <c r="K133" i="19"/>
  <c r="K129" i="19"/>
  <c r="T180" i="19"/>
  <c r="X180" i="19" s="1"/>
  <c r="X179" i="19"/>
  <c r="X177" i="19"/>
  <c r="K138" i="19"/>
  <c r="O138" i="19" s="1"/>
  <c r="X203" i="19"/>
  <c r="X193" i="19"/>
  <c r="T192" i="19"/>
  <c r="X192" i="19" s="1"/>
  <c r="X171" i="19"/>
  <c r="X167" i="19"/>
  <c r="X197" i="19"/>
  <c r="X183" i="19"/>
  <c r="X161" i="19"/>
  <c r="X157" i="19"/>
  <c r="H67" i="27"/>
  <c r="X185" i="19"/>
  <c r="X175" i="19"/>
  <c r="X173" i="19"/>
  <c r="X163" i="19"/>
  <c r="X147" i="19"/>
  <c r="T132" i="19"/>
  <c r="X132" i="19" s="1"/>
  <c r="J6" i="19"/>
  <c r="J7" i="19" s="1"/>
  <c r="J8" i="19" s="1"/>
  <c r="X164" i="19"/>
  <c r="X133" i="19"/>
  <c r="X137" i="19"/>
  <c r="X127" i="19"/>
  <c r="X200" i="19"/>
  <c r="X184" i="19"/>
  <c r="X168" i="19"/>
  <c r="X152" i="19"/>
  <c r="X136" i="19"/>
  <c r="X204" i="19"/>
  <c r="X188" i="19"/>
  <c r="X172" i="19"/>
  <c r="X156" i="19"/>
  <c r="X140" i="19"/>
  <c r="T5" i="19"/>
  <c r="X176" i="19"/>
  <c r="X160" i="19"/>
  <c r="X144" i="19"/>
  <c r="X128" i="19"/>
  <c r="X202" i="19"/>
  <c r="X198" i="19"/>
  <c r="X194" i="19"/>
  <c r="X190" i="19"/>
  <c r="X186" i="19"/>
  <c r="X182" i="19"/>
  <c r="X178" i="19"/>
  <c r="X174" i="19"/>
  <c r="X170" i="19"/>
  <c r="X166" i="19"/>
  <c r="X162" i="19"/>
  <c r="X158" i="19"/>
  <c r="X154" i="19"/>
  <c r="X150" i="19"/>
  <c r="X146" i="19"/>
  <c r="X142" i="19"/>
  <c r="X138" i="19"/>
  <c r="X134" i="19"/>
  <c r="X130" i="19"/>
  <c r="X126" i="19"/>
  <c r="J55" i="27"/>
  <c r="J56" i="27"/>
  <c r="J66" i="27"/>
  <c r="I67" i="27"/>
  <c r="K55" i="27"/>
  <c r="K56" i="27"/>
  <c r="K66" i="27"/>
  <c r="J67" i="27"/>
  <c r="H55" i="27"/>
  <c r="H56" i="27"/>
  <c r="H66" i="27"/>
  <c r="K67" i="27"/>
  <c r="I55" i="27"/>
  <c r="I66" i="27"/>
  <c r="I56" i="27"/>
  <c r="V221" i="27"/>
  <c r="V217" i="27"/>
  <c r="V213" i="27"/>
  <c r="V205" i="27"/>
  <c r="V201" i="27"/>
  <c r="V197" i="27"/>
  <c r="V189" i="27"/>
  <c r="V185" i="27"/>
  <c r="V181" i="27"/>
  <c r="V173" i="27"/>
  <c r="L21" i="27"/>
  <c r="P25" i="27"/>
  <c r="R25" i="27" s="1"/>
  <c r="P22" i="27"/>
  <c r="R22" i="27" s="1"/>
  <c r="P24" i="27"/>
  <c r="R24" i="27" s="1"/>
  <c r="O21" i="27"/>
  <c r="R21" i="27" s="1"/>
  <c r="P26" i="27"/>
  <c r="R26" i="27" s="1"/>
  <c r="V220" i="27"/>
  <c r="V219" i="27"/>
  <c r="V218" i="27"/>
  <c r="V216" i="27"/>
  <c r="V215" i="27"/>
  <c r="V214" i="27"/>
  <c r="V212" i="27"/>
  <c r="V211" i="27"/>
  <c r="V210" i="27"/>
  <c r="V208" i="27"/>
  <c r="V207" i="27"/>
  <c r="V206" i="27"/>
  <c r="V204" i="27"/>
  <c r="V203" i="27"/>
  <c r="V202" i="27"/>
  <c r="V200" i="27"/>
  <c r="V199" i="27"/>
  <c r="V198" i="27"/>
  <c r="V196" i="27"/>
  <c r="V195" i="27"/>
  <c r="V194" i="27"/>
  <c r="V192" i="27"/>
  <c r="V191" i="27"/>
  <c r="V190" i="27"/>
  <c r="V188" i="27"/>
  <c r="V187" i="27"/>
  <c r="V186" i="27"/>
  <c r="V184" i="27"/>
  <c r="V183" i="27"/>
  <c r="V182" i="27"/>
  <c r="V180" i="27"/>
  <c r="V179" i="27"/>
  <c r="P23" i="27"/>
  <c r="R23" i="27" s="1"/>
  <c r="U21" i="27"/>
  <c r="V178" i="27"/>
  <c r="V176" i="27"/>
  <c r="V175" i="27"/>
  <c r="V174" i="27"/>
  <c r="V172" i="27"/>
  <c r="I11" i="24"/>
  <c r="S24" i="27" s="1"/>
  <c r="G29" i="18"/>
  <c r="Q6" i="18"/>
  <c r="R6" i="18" s="1"/>
  <c r="Q9" i="18"/>
  <c r="Q13" i="18"/>
  <c r="Q14" i="18"/>
  <c r="Q8" i="18"/>
  <c r="Q12" i="18"/>
  <c r="Q7" i="18"/>
  <c r="Q11" i="18"/>
  <c r="Q10" i="18"/>
  <c r="G42" i="18"/>
  <c r="G38" i="18"/>
  <c r="Q96" i="18" s="1"/>
  <c r="G34" i="18"/>
  <c r="Q78" i="18" s="1"/>
  <c r="G30" i="18"/>
  <c r="G26" i="18"/>
  <c r="Q15" i="18" s="1"/>
  <c r="G39" i="18"/>
  <c r="G27" i="18"/>
  <c r="Q18" i="18" s="1"/>
  <c r="G35" i="18"/>
  <c r="G31" i="18"/>
  <c r="Q65" i="18" s="1"/>
  <c r="H94" i="18"/>
  <c r="J6" i="18"/>
  <c r="X5" i="18"/>
  <c r="H50" i="27"/>
  <c r="I45" i="27"/>
  <c r="I47" i="27"/>
  <c r="K49" i="27"/>
  <c r="K41" i="27"/>
  <c r="H43" i="27"/>
  <c r="K45" i="27"/>
  <c r="H48" i="27"/>
  <c r="K47" i="27"/>
  <c r="J43" i="27"/>
  <c r="I41" i="27"/>
  <c r="H46" i="27"/>
  <c r="X192" i="20" l="1"/>
  <c r="AQ7" i="20"/>
  <c r="O154" i="19"/>
  <c r="O137" i="19"/>
  <c r="O180" i="19"/>
  <c r="O186" i="19"/>
  <c r="O202" i="19"/>
  <c r="AS7" i="20"/>
  <c r="Q60" i="18"/>
  <c r="O158" i="19"/>
  <c r="AT35" i="20"/>
  <c r="AQ21" i="20"/>
  <c r="Q58" i="18"/>
  <c r="O159" i="26"/>
  <c r="AR30" i="20"/>
  <c r="AS20" i="20"/>
  <c r="AQ29" i="20"/>
  <c r="AY7" i="20"/>
  <c r="AY8" i="20" s="1"/>
  <c r="AY9" i="20" s="1"/>
  <c r="AY10" i="20" s="1"/>
  <c r="AY11" i="20" s="1"/>
  <c r="AY12" i="20" s="1"/>
  <c r="AY13" i="20" s="1"/>
  <c r="AY14" i="20" s="1"/>
  <c r="AY15" i="20" s="1"/>
  <c r="AY16" i="20" s="1"/>
  <c r="AY17" i="20" s="1"/>
  <c r="AY18" i="20" s="1"/>
  <c r="AY19" i="20" s="1"/>
  <c r="AY20" i="20" s="1"/>
  <c r="AY21" i="20" s="1"/>
  <c r="AY22" i="20" s="1"/>
  <c r="AY23" i="20" s="1"/>
  <c r="AY24" i="20" s="1"/>
  <c r="AY25" i="20" s="1"/>
  <c r="AY26" i="20" s="1"/>
  <c r="AY27" i="20" s="1"/>
  <c r="AY28" i="20" s="1"/>
  <c r="AY29" i="20" s="1"/>
  <c r="AY30" i="20" s="1"/>
  <c r="AY31" i="20" s="1"/>
  <c r="AY32" i="20" s="1"/>
  <c r="AY33" i="20" s="1"/>
  <c r="AY34" i="20" s="1"/>
  <c r="AY35" i="20" s="1"/>
  <c r="C123" i="20" s="1"/>
  <c r="E123" i="20" s="1"/>
  <c r="E127" i="20" s="1"/>
  <c r="H23" i="24" s="1"/>
  <c r="X146" i="20"/>
  <c r="X196" i="20"/>
  <c r="X134" i="20"/>
  <c r="L83" i="27"/>
  <c r="Q63" i="18"/>
  <c r="Q59" i="18"/>
  <c r="Q67" i="18"/>
  <c r="Q68" i="18"/>
  <c r="Q69" i="18"/>
  <c r="Q66" i="18"/>
  <c r="Q81" i="18"/>
  <c r="Q83" i="18"/>
  <c r="Q84" i="18"/>
  <c r="Q79" i="18"/>
  <c r="Q86" i="18"/>
  <c r="Q82" i="18"/>
  <c r="Q85" i="18"/>
  <c r="Q80" i="18"/>
  <c r="Q99" i="18"/>
  <c r="Q101" i="18"/>
  <c r="Q100" i="18"/>
  <c r="Q105" i="18"/>
  <c r="Q102" i="18"/>
  <c r="Q104" i="18"/>
  <c r="Q97" i="18"/>
  <c r="Q103" i="18"/>
  <c r="Q98" i="18"/>
  <c r="Q89" i="18"/>
  <c r="Q92" i="18"/>
  <c r="Q91" i="18"/>
  <c r="Q95" i="18"/>
  <c r="Q90" i="18"/>
  <c r="Q93" i="18"/>
  <c r="Q94" i="18"/>
  <c r="Q88" i="18"/>
  <c r="Q72" i="18"/>
  <c r="Q76" i="18"/>
  <c r="Q75" i="18"/>
  <c r="Q71" i="18"/>
  <c r="Q73" i="18"/>
  <c r="Q77" i="18"/>
  <c r="Q74" i="18"/>
  <c r="Q64" i="18"/>
  <c r="O162" i="19"/>
  <c r="O164" i="19"/>
  <c r="O160" i="19"/>
  <c r="O148" i="19"/>
  <c r="O172" i="19"/>
  <c r="AY8" i="18"/>
  <c r="L50" i="27"/>
  <c r="J51" i="27"/>
  <c r="AL75" i="18"/>
  <c r="AL105" i="18"/>
  <c r="AB105" i="18"/>
  <c r="I51" i="27"/>
  <c r="H51" i="27"/>
  <c r="J49" i="27"/>
  <c r="O184" i="26"/>
  <c r="O200" i="26"/>
  <c r="O188" i="26"/>
  <c r="O204" i="26"/>
  <c r="J8" i="20"/>
  <c r="X6" i="20"/>
  <c r="Y6" i="20" s="1"/>
  <c r="O176" i="19"/>
  <c r="O139" i="19"/>
  <c r="O155" i="19"/>
  <c r="O171" i="19"/>
  <c r="O187" i="19"/>
  <c r="O203" i="19"/>
  <c r="O126" i="19"/>
  <c r="O192" i="19"/>
  <c r="O131" i="19"/>
  <c r="O147" i="19"/>
  <c r="O163" i="19"/>
  <c r="O179" i="19"/>
  <c r="O195" i="19"/>
  <c r="O151" i="19"/>
  <c r="O142" i="19"/>
  <c r="O149" i="19"/>
  <c r="O165" i="19"/>
  <c r="O181" i="19"/>
  <c r="O167" i="19"/>
  <c r="O156" i="19"/>
  <c r="O174" i="19"/>
  <c r="O169" i="19"/>
  <c r="O135" i="19"/>
  <c r="O183" i="19"/>
  <c r="O199" i="19"/>
  <c r="O144" i="19"/>
  <c r="O145" i="19"/>
  <c r="O161" i="19"/>
  <c r="O177" i="19"/>
  <c r="O193" i="19"/>
  <c r="O136" i="19"/>
  <c r="AY9" i="18"/>
  <c r="AY10" i="18" s="1"/>
  <c r="AY11" i="18" s="1"/>
  <c r="AY12" i="18" s="1"/>
  <c r="AY13" i="18" s="1"/>
  <c r="AY14" i="18" s="1"/>
  <c r="AY15" i="18" s="1"/>
  <c r="AY16" i="18" s="1"/>
  <c r="AY17" i="18" s="1"/>
  <c r="AY18" i="18" s="1"/>
  <c r="AY19" i="18" s="1"/>
  <c r="AY20" i="18" s="1"/>
  <c r="AY21" i="18" s="1"/>
  <c r="AY22" i="18" s="1"/>
  <c r="AY23" i="18" s="1"/>
  <c r="AY24" i="18" s="1"/>
  <c r="AY25" i="18" s="1"/>
  <c r="AY26" i="18" s="1"/>
  <c r="AY27" i="18" s="1"/>
  <c r="AY28" i="18" s="1"/>
  <c r="AY29" i="18" s="1"/>
  <c r="AY30" i="18" s="1"/>
  <c r="AY31" i="18" s="1"/>
  <c r="AY32" i="18" s="1"/>
  <c r="AY33" i="18" s="1"/>
  <c r="AY34" i="18" s="1"/>
  <c r="AY35" i="18" s="1"/>
  <c r="AL55" i="18"/>
  <c r="AR55" i="18" s="1"/>
  <c r="L48" i="27"/>
  <c r="L44" i="27"/>
  <c r="AY7" i="13"/>
  <c r="AY8" i="13" s="1"/>
  <c r="AY9" i="13" s="1"/>
  <c r="AY10" i="13" s="1"/>
  <c r="AY11" i="13" s="1"/>
  <c r="AY12" i="13" s="1"/>
  <c r="AY13" i="13" s="1"/>
  <c r="AY14" i="13" s="1"/>
  <c r="AY15" i="13" s="1"/>
  <c r="AY16" i="13" s="1"/>
  <c r="AY17" i="13" s="1"/>
  <c r="AY18" i="13" s="1"/>
  <c r="AY19" i="13" s="1"/>
  <c r="AY20" i="13" s="1"/>
  <c r="AY21" i="13" s="1"/>
  <c r="AY22" i="13" s="1"/>
  <c r="AY23" i="13" s="1"/>
  <c r="AY24" i="13" s="1"/>
  <c r="AY25" i="13" s="1"/>
  <c r="AY26" i="13" s="1"/>
  <c r="AY27" i="13" s="1"/>
  <c r="AY28" i="13" s="1"/>
  <c r="AY29" i="13" s="1"/>
  <c r="AY30" i="13" s="1"/>
  <c r="AY31" i="13" s="1"/>
  <c r="AY32" i="13" s="1"/>
  <c r="AY33" i="13" s="1"/>
  <c r="AY34" i="13" s="1"/>
  <c r="AY35" i="13" s="1"/>
  <c r="C123" i="13" s="1"/>
  <c r="O166" i="19"/>
  <c r="O173" i="19"/>
  <c r="O143" i="19"/>
  <c r="O168" i="19"/>
  <c r="O134" i="19"/>
  <c r="O127" i="19"/>
  <c r="O184" i="19"/>
  <c r="O133" i="19"/>
  <c r="O198" i="19"/>
  <c r="O159" i="19"/>
  <c r="O175" i="19"/>
  <c r="O191" i="19"/>
  <c r="O130" i="19"/>
  <c r="O200" i="19"/>
  <c r="AR7" i="20"/>
  <c r="X188" i="20"/>
  <c r="X130" i="20"/>
  <c r="K72" i="27"/>
  <c r="X180" i="20"/>
  <c r="J72" i="27"/>
  <c r="O165" i="26"/>
  <c r="O168" i="26"/>
  <c r="X126" i="20"/>
  <c r="X142" i="20"/>
  <c r="X138" i="20"/>
  <c r="X175" i="20"/>
  <c r="Q121" i="27"/>
  <c r="R121" i="27" s="1"/>
  <c r="Q57" i="27"/>
  <c r="R57" i="27" s="1"/>
  <c r="Q140" i="27"/>
  <c r="R140" i="27" s="1"/>
  <c r="Q130" i="27"/>
  <c r="R130" i="27" s="1"/>
  <c r="Q79" i="27"/>
  <c r="R79" i="27" s="1"/>
  <c r="Q56" i="27"/>
  <c r="R56" i="27" s="1"/>
  <c r="AR20" i="20"/>
  <c r="I78" i="27"/>
  <c r="AQ20" i="20"/>
  <c r="L77" i="27"/>
  <c r="AT15" i="18"/>
  <c r="AR33" i="18"/>
  <c r="AT25" i="18"/>
  <c r="AS21" i="18"/>
  <c r="AT14" i="20"/>
  <c r="AR14" i="20"/>
  <c r="AS14" i="20"/>
  <c r="AS10" i="20"/>
  <c r="AT33" i="20"/>
  <c r="AR33" i="20"/>
  <c r="AQ14" i="20"/>
  <c r="AS33" i="20"/>
  <c r="AQ27" i="20"/>
  <c r="AQ33" i="20"/>
  <c r="H49" i="27"/>
  <c r="AR23" i="18"/>
  <c r="AQ23" i="18"/>
  <c r="X110" i="20"/>
  <c r="Q54" i="20"/>
  <c r="AT25" i="20"/>
  <c r="Q53" i="20"/>
  <c r="Q89" i="27"/>
  <c r="R89" i="27" s="1"/>
  <c r="Q47" i="27"/>
  <c r="R47" i="27" s="1"/>
  <c r="Q196" i="27"/>
  <c r="R196" i="27" s="1"/>
  <c r="Q98" i="27"/>
  <c r="R98" i="27" s="1"/>
  <c r="Q156" i="27"/>
  <c r="R156" i="27" s="1"/>
  <c r="Q68" i="27"/>
  <c r="R68" i="27" s="1"/>
  <c r="Q66" i="27"/>
  <c r="R66" i="27" s="1"/>
  <c r="Q34" i="27"/>
  <c r="R34" i="27" s="1"/>
  <c r="Q111" i="27"/>
  <c r="R111" i="27" s="1"/>
  <c r="AT97" i="13"/>
  <c r="Z113" i="27" s="1"/>
  <c r="AQ28" i="18"/>
  <c r="AS35" i="18"/>
  <c r="Q20" i="18"/>
  <c r="Q27" i="18"/>
  <c r="Q16" i="18"/>
  <c r="L112" i="27"/>
  <c r="L106" i="27"/>
  <c r="O164" i="26"/>
  <c r="AT12" i="20"/>
  <c r="AR26" i="20"/>
  <c r="AQ34" i="20"/>
  <c r="AT10" i="20"/>
  <c r="AQ25" i="20"/>
  <c r="AS26" i="20"/>
  <c r="AQ26" i="20"/>
  <c r="AT7" i="20"/>
  <c r="AT20" i="20"/>
  <c r="AT17" i="20"/>
  <c r="AR17" i="20"/>
  <c r="AQ31" i="20"/>
  <c r="AF6" i="20"/>
  <c r="AF7" i="20" s="1"/>
  <c r="AT21" i="20"/>
  <c r="AQ9" i="20"/>
  <c r="AG6" i="20"/>
  <c r="AG7" i="20" s="1"/>
  <c r="AG8" i="20" s="1"/>
  <c r="AG9" i="20" s="1"/>
  <c r="AG10" i="20" s="1"/>
  <c r="AG11" i="20" s="1"/>
  <c r="AG12" i="20" s="1"/>
  <c r="AG13" i="20" s="1"/>
  <c r="AG14" i="20" s="1"/>
  <c r="AG15" i="20" s="1"/>
  <c r="AG16" i="20" s="1"/>
  <c r="AG17" i="20" s="1"/>
  <c r="AG18" i="20" s="1"/>
  <c r="AG19" i="20" s="1"/>
  <c r="AG20" i="20" s="1"/>
  <c r="AG21" i="20" s="1"/>
  <c r="AG22" i="20" s="1"/>
  <c r="AG23" i="20" s="1"/>
  <c r="AG24" i="20" s="1"/>
  <c r="AG25" i="20" s="1"/>
  <c r="AG26" i="20" s="1"/>
  <c r="AG27" i="20" s="1"/>
  <c r="AG28" i="20" s="1"/>
  <c r="AG29" i="20" s="1"/>
  <c r="AG30" i="20" s="1"/>
  <c r="AG31" i="20" s="1"/>
  <c r="AG32" i="20" s="1"/>
  <c r="AG33" i="20" s="1"/>
  <c r="AG34" i="20" s="1"/>
  <c r="AG35" i="20" s="1"/>
  <c r="AG36" i="20" s="1"/>
  <c r="AG37" i="20" s="1"/>
  <c r="AG38" i="20" s="1"/>
  <c r="AG39" i="20" s="1"/>
  <c r="AG40" i="20" s="1"/>
  <c r="AG41" i="20" s="1"/>
  <c r="AG42" i="20" s="1"/>
  <c r="AG43" i="20" s="1"/>
  <c r="AG44" i="20" s="1"/>
  <c r="AG45" i="20" s="1"/>
  <c r="AG46" i="20" s="1"/>
  <c r="AG47" i="20" s="1"/>
  <c r="AG48" i="20" s="1"/>
  <c r="AG49" i="20" s="1"/>
  <c r="AG50" i="20" s="1"/>
  <c r="AG51" i="20" s="1"/>
  <c r="AG52" i="20" s="1"/>
  <c r="AG53" i="20" s="1"/>
  <c r="AG54" i="20" s="1"/>
  <c r="AG55" i="20" s="1"/>
  <c r="AG56" i="20" s="1"/>
  <c r="AG57" i="20" s="1"/>
  <c r="AG58" i="20" s="1"/>
  <c r="AG59" i="20" s="1"/>
  <c r="AG60" i="20" s="1"/>
  <c r="AG61" i="20" s="1"/>
  <c r="AG62" i="20" s="1"/>
  <c r="AG63" i="20" s="1"/>
  <c r="AG64" i="20" s="1"/>
  <c r="AG65" i="20" s="1"/>
  <c r="AG66" i="20" s="1"/>
  <c r="AG67" i="20" s="1"/>
  <c r="AG68" i="20" s="1"/>
  <c r="AG69" i="20" s="1"/>
  <c r="AG70" i="20" s="1"/>
  <c r="AG71" i="20" s="1"/>
  <c r="AG72" i="20" s="1"/>
  <c r="AG73" i="20" s="1"/>
  <c r="AG74" i="20" s="1"/>
  <c r="AG75" i="20" s="1"/>
  <c r="AG76" i="20" s="1"/>
  <c r="AG77" i="20" s="1"/>
  <c r="AG78" i="20" s="1"/>
  <c r="AG79" i="20" s="1"/>
  <c r="AG80" i="20" s="1"/>
  <c r="AG81" i="20" s="1"/>
  <c r="AG82" i="20" s="1"/>
  <c r="AG83" i="20" s="1"/>
  <c r="AG84" i="20" s="1"/>
  <c r="AG85" i="20" s="1"/>
  <c r="AG86" i="20" s="1"/>
  <c r="AG87" i="20" s="1"/>
  <c r="AG88" i="20" s="1"/>
  <c r="AG89" i="20" s="1"/>
  <c r="AG90" i="20" s="1"/>
  <c r="AG91" i="20" s="1"/>
  <c r="AG92" i="20" s="1"/>
  <c r="AG93" i="20" s="1"/>
  <c r="AG94" i="20" s="1"/>
  <c r="AG95" i="20" s="1"/>
  <c r="AS17" i="20"/>
  <c r="L104" i="27"/>
  <c r="L108" i="27"/>
  <c r="S85" i="21"/>
  <c r="T85" i="21" s="1"/>
  <c r="X85" i="21" s="1"/>
  <c r="Y85" i="21" s="1"/>
  <c r="R86" i="21"/>
  <c r="L109" i="27"/>
  <c r="AI87" i="21"/>
  <c r="AF88" i="21"/>
  <c r="AB213" i="27"/>
  <c r="L115" i="27"/>
  <c r="X170" i="20"/>
  <c r="X174" i="20"/>
  <c r="Q32" i="20"/>
  <c r="Q33" i="20"/>
  <c r="Q34" i="20"/>
  <c r="Q35" i="20"/>
  <c r="AH7" i="20"/>
  <c r="AH8" i="20" s="1"/>
  <c r="AH9" i="20" s="1"/>
  <c r="AH10" i="20" s="1"/>
  <c r="AH11" i="20" s="1"/>
  <c r="AH12" i="20" s="1"/>
  <c r="AH13" i="20" s="1"/>
  <c r="AH14" i="20" s="1"/>
  <c r="AH15" i="20" s="1"/>
  <c r="AH16" i="20" s="1"/>
  <c r="AH17" i="20" s="1"/>
  <c r="AH18" i="20" s="1"/>
  <c r="AH19" i="20" s="1"/>
  <c r="AH20" i="20" s="1"/>
  <c r="AH21" i="20" s="1"/>
  <c r="AH22" i="20" s="1"/>
  <c r="AH23" i="20" s="1"/>
  <c r="AH24" i="20" s="1"/>
  <c r="AH25" i="20" s="1"/>
  <c r="AH26" i="20" s="1"/>
  <c r="AH27" i="20" s="1"/>
  <c r="AH28" i="20" s="1"/>
  <c r="AH29" i="20" s="1"/>
  <c r="AH30" i="20" s="1"/>
  <c r="AH31" i="20" s="1"/>
  <c r="AH32" i="20" s="1"/>
  <c r="AH33" i="20" s="1"/>
  <c r="AH34" i="20" s="1"/>
  <c r="AH35" i="20" s="1"/>
  <c r="AH36" i="20" s="1"/>
  <c r="AH37" i="20" s="1"/>
  <c r="AH38" i="20" s="1"/>
  <c r="AH39" i="20" s="1"/>
  <c r="AH40" i="20" s="1"/>
  <c r="AH41" i="20" s="1"/>
  <c r="AH42" i="20" s="1"/>
  <c r="AH43" i="20" s="1"/>
  <c r="AH44" i="20" s="1"/>
  <c r="AH45" i="20" s="1"/>
  <c r="AH46" i="20" s="1"/>
  <c r="AH47" i="20" s="1"/>
  <c r="AH48" i="20" s="1"/>
  <c r="AH49" i="20" s="1"/>
  <c r="AH50" i="20" s="1"/>
  <c r="AH51" i="20" s="1"/>
  <c r="AH52" i="20" s="1"/>
  <c r="AH53" i="20" s="1"/>
  <c r="AH54" i="20" s="1"/>
  <c r="AH55" i="20" s="1"/>
  <c r="AH56" i="20" s="1"/>
  <c r="AH57" i="20" s="1"/>
  <c r="AH58" i="20" s="1"/>
  <c r="AH59" i="20" s="1"/>
  <c r="AH60" i="20" s="1"/>
  <c r="AH61" i="20" s="1"/>
  <c r="AH62" i="20" s="1"/>
  <c r="AH63" i="20" s="1"/>
  <c r="AH64" i="20" s="1"/>
  <c r="AH65" i="20" s="1"/>
  <c r="AH66" i="20" s="1"/>
  <c r="AH67" i="20" s="1"/>
  <c r="AH68" i="20" s="1"/>
  <c r="AH69" i="20" s="1"/>
  <c r="AH70" i="20" s="1"/>
  <c r="AH71" i="20" s="1"/>
  <c r="AH72" i="20" s="1"/>
  <c r="AH73" i="20" s="1"/>
  <c r="AH74" i="20" s="1"/>
  <c r="AH75" i="20" s="1"/>
  <c r="AH76" i="20" s="1"/>
  <c r="AH77" i="20" s="1"/>
  <c r="AH78" i="20" s="1"/>
  <c r="AH79" i="20" s="1"/>
  <c r="AH80" i="20" s="1"/>
  <c r="AH81" i="20" s="1"/>
  <c r="AH82" i="20" s="1"/>
  <c r="AH83" i="20" s="1"/>
  <c r="AH84" i="20" s="1"/>
  <c r="AH85" i="20" s="1"/>
  <c r="AH86" i="20" s="1"/>
  <c r="AH87" i="20" s="1"/>
  <c r="AH88" i="20" s="1"/>
  <c r="AH89" i="20" s="1"/>
  <c r="AH90" i="20" s="1"/>
  <c r="AH91" i="20" s="1"/>
  <c r="AH92" i="20" s="1"/>
  <c r="AH93" i="20" s="1"/>
  <c r="AH94" i="20" s="1"/>
  <c r="AH95" i="20" s="1"/>
  <c r="Q44" i="20"/>
  <c r="Q42" i="20"/>
  <c r="Q52" i="20"/>
  <c r="Q51" i="20"/>
  <c r="Q46" i="20"/>
  <c r="L82" i="27"/>
  <c r="Q62" i="20"/>
  <c r="Q63" i="20"/>
  <c r="Q64" i="20"/>
  <c r="Q65" i="20"/>
  <c r="Q56" i="20"/>
  <c r="Q61" i="20"/>
  <c r="O7" i="20"/>
  <c r="X7" i="20"/>
  <c r="X114" i="20"/>
  <c r="AQ23" i="20"/>
  <c r="AT30" i="20"/>
  <c r="AR25" i="20"/>
  <c r="X118" i="20"/>
  <c r="AS34" i="20"/>
  <c r="AR34" i="20"/>
  <c r="X200" i="20"/>
  <c r="AR35" i="20"/>
  <c r="X204" i="20"/>
  <c r="L73" i="27"/>
  <c r="AR22" i="20"/>
  <c r="AS35" i="20"/>
  <c r="AQ17" i="20"/>
  <c r="X158" i="20"/>
  <c r="X154" i="20"/>
  <c r="Q79" i="20"/>
  <c r="Q78" i="20"/>
  <c r="Q80" i="20"/>
  <c r="Q81" i="20"/>
  <c r="Q77" i="20"/>
  <c r="Q82" i="20"/>
  <c r="Q76" i="20"/>
  <c r="L81" i="27"/>
  <c r="Q31" i="20"/>
  <c r="Q75" i="20"/>
  <c r="AT22" i="20"/>
  <c r="AQ13" i="20"/>
  <c r="Q26" i="20"/>
  <c r="Q67" i="20"/>
  <c r="AS30" i="20"/>
  <c r="AS25" i="20"/>
  <c r="Q43" i="20"/>
  <c r="Q94" i="20"/>
  <c r="Q95" i="20"/>
  <c r="Q93" i="20"/>
  <c r="Q92" i="20"/>
  <c r="Q70" i="20"/>
  <c r="Q71" i="20"/>
  <c r="Q69" i="20"/>
  <c r="Q72" i="20"/>
  <c r="Q73" i="20"/>
  <c r="Q74" i="20"/>
  <c r="Q68" i="20"/>
  <c r="Q36" i="20"/>
  <c r="Q83" i="20"/>
  <c r="L79" i="27"/>
  <c r="AQ19" i="20"/>
  <c r="K78" i="27"/>
  <c r="Q86" i="20"/>
  <c r="Q85" i="20"/>
  <c r="Q87" i="20"/>
  <c r="Q88" i="20"/>
  <c r="Q89" i="20"/>
  <c r="Q90" i="20"/>
  <c r="Q84" i="20"/>
  <c r="H78" i="27"/>
  <c r="AQ6" i="20"/>
  <c r="AQ30" i="20"/>
  <c r="AQ35" i="20"/>
  <c r="Q41" i="20"/>
  <c r="Q91" i="20"/>
  <c r="O178" i="19"/>
  <c r="O205" i="19"/>
  <c r="O185" i="19"/>
  <c r="O150" i="19"/>
  <c r="O182" i="19"/>
  <c r="O157" i="19"/>
  <c r="O189" i="19"/>
  <c r="O141" i="19"/>
  <c r="O201" i="19"/>
  <c r="O153" i="19"/>
  <c r="O194" i="19"/>
  <c r="O128" i="19"/>
  <c r="O129" i="19"/>
  <c r="O146" i="19"/>
  <c r="T169" i="13"/>
  <c r="X169" i="13" s="1"/>
  <c r="AQ72" i="13"/>
  <c r="T171" i="13"/>
  <c r="X171" i="13" s="1"/>
  <c r="T189" i="13"/>
  <c r="T178" i="13"/>
  <c r="X178" i="13" s="1"/>
  <c r="T197" i="13"/>
  <c r="X197" i="13" s="1"/>
  <c r="T167" i="13"/>
  <c r="X167" i="13" s="1"/>
  <c r="T172" i="13"/>
  <c r="X172" i="13" s="1"/>
  <c r="T175" i="13"/>
  <c r="X175" i="13" s="1"/>
  <c r="T193" i="13"/>
  <c r="X193" i="13" s="1"/>
  <c r="T205" i="13"/>
  <c r="X205" i="13" s="1"/>
  <c r="T179" i="13"/>
  <c r="X179" i="13" s="1"/>
  <c r="X5" i="19"/>
  <c r="Y5" i="19" s="1"/>
  <c r="O170" i="13"/>
  <c r="O178" i="13"/>
  <c r="O197" i="13"/>
  <c r="O188" i="13"/>
  <c r="O204" i="13"/>
  <c r="O181" i="13"/>
  <c r="O173" i="13"/>
  <c r="O196" i="13"/>
  <c r="O189" i="13"/>
  <c r="O186" i="13"/>
  <c r="O203" i="13"/>
  <c r="Q38" i="18"/>
  <c r="Q19" i="18"/>
  <c r="Q17" i="18"/>
  <c r="AT75" i="18"/>
  <c r="AS75" i="18"/>
  <c r="AR75" i="18"/>
  <c r="AQ75" i="18"/>
  <c r="AT40" i="18"/>
  <c r="AQ40" i="18"/>
  <c r="AR40" i="18"/>
  <c r="AS40" i="18"/>
  <c r="AQ74" i="18"/>
  <c r="AT74" i="18"/>
  <c r="AS74" i="18"/>
  <c r="AR74" i="18"/>
  <c r="AB75" i="18"/>
  <c r="AR35" i="18"/>
  <c r="AT23" i="18"/>
  <c r="AR50" i="18"/>
  <c r="AT50" i="18"/>
  <c r="AQ50" i="18"/>
  <c r="AS50" i="18"/>
  <c r="AQ60" i="18"/>
  <c r="AR60" i="18"/>
  <c r="AT60" i="18"/>
  <c r="AS60" i="18"/>
  <c r="AT35" i="18"/>
  <c r="AQ35" i="18"/>
  <c r="AS45" i="18"/>
  <c r="AR45" i="18"/>
  <c r="AT45" i="18"/>
  <c r="AQ45" i="18"/>
  <c r="AS23" i="18"/>
  <c r="AT73" i="18"/>
  <c r="AS73" i="18"/>
  <c r="AR73" i="18"/>
  <c r="AQ73" i="18"/>
  <c r="AQ71" i="18"/>
  <c r="AT71" i="18"/>
  <c r="AR71" i="18"/>
  <c r="AS71" i="18"/>
  <c r="AS72" i="18"/>
  <c r="AQ72" i="18"/>
  <c r="AT72" i="18"/>
  <c r="AR72" i="18"/>
  <c r="O174" i="26"/>
  <c r="O182" i="26"/>
  <c r="O198" i="26"/>
  <c r="O158" i="26"/>
  <c r="O161" i="26"/>
  <c r="O171" i="26"/>
  <c r="O179" i="26"/>
  <c r="O195" i="26"/>
  <c r="O167" i="26"/>
  <c r="O180" i="26"/>
  <c r="O183" i="26"/>
  <c r="O199" i="26"/>
  <c r="O166" i="26"/>
  <c r="O196" i="26"/>
  <c r="O175" i="26"/>
  <c r="O187" i="26"/>
  <c r="O203" i="26"/>
  <c r="O169" i="26"/>
  <c r="O181" i="26"/>
  <c r="L89" i="27"/>
  <c r="AT67" i="18"/>
  <c r="AS67" i="18"/>
  <c r="AR67" i="18"/>
  <c r="AQ67" i="18"/>
  <c r="AS69" i="18"/>
  <c r="AR69" i="18"/>
  <c r="AQ69" i="18"/>
  <c r="AT69" i="18"/>
  <c r="AT66" i="18"/>
  <c r="AS66" i="18"/>
  <c r="AR66" i="18"/>
  <c r="AQ66" i="18"/>
  <c r="AR70" i="18"/>
  <c r="AQ70" i="18"/>
  <c r="AT70" i="18"/>
  <c r="AS70" i="18"/>
  <c r="AT68" i="18"/>
  <c r="AS68" i="18"/>
  <c r="AR68" i="18"/>
  <c r="AQ68" i="18"/>
  <c r="C51" i="27"/>
  <c r="L51" i="27" s="1"/>
  <c r="AB70" i="18"/>
  <c r="L103" i="27"/>
  <c r="L110" i="27"/>
  <c r="L113" i="27"/>
  <c r="L105" i="27"/>
  <c r="L107" i="27"/>
  <c r="L111" i="27"/>
  <c r="L114" i="27"/>
  <c r="O202" i="26"/>
  <c r="O186" i="26"/>
  <c r="O157" i="26"/>
  <c r="O173" i="26"/>
  <c r="O163" i="26"/>
  <c r="O170" i="26"/>
  <c r="O191" i="26"/>
  <c r="O194" i="26"/>
  <c r="O178" i="26"/>
  <c r="O160" i="26"/>
  <c r="O176" i="26"/>
  <c r="L87" i="27"/>
  <c r="O197" i="26"/>
  <c r="K6" i="26"/>
  <c r="O6" i="26" s="1"/>
  <c r="Y6" i="26" s="1"/>
  <c r="O177" i="26"/>
  <c r="O190" i="26"/>
  <c r="O193" i="26"/>
  <c r="O192" i="26"/>
  <c r="O162" i="26"/>
  <c r="L90" i="27"/>
  <c r="L91" i="27"/>
  <c r="J8" i="26"/>
  <c r="K7" i="26"/>
  <c r="O7" i="26" s="1"/>
  <c r="L93" i="27"/>
  <c r="Y5" i="26"/>
  <c r="L94" i="27"/>
  <c r="L88" i="27"/>
  <c r="L92" i="27"/>
  <c r="S7" i="26"/>
  <c r="R8" i="26"/>
  <c r="H95" i="27"/>
  <c r="I95" i="27"/>
  <c r="J95" i="27"/>
  <c r="K95" i="27"/>
  <c r="AS8" i="20"/>
  <c r="AT6" i="20"/>
  <c r="AT18" i="20"/>
  <c r="AT26" i="20"/>
  <c r="AS11" i="20"/>
  <c r="AT34" i="20"/>
  <c r="AQ22" i="20"/>
  <c r="Q27" i="20"/>
  <c r="Q30" i="20"/>
  <c r="Q28" i="20"/>
  <c r="Q29" i="20"/>
  <c r="L75" i="27"/>
  <c r="AS6" i="20"/>
  <c r="AQ10" i="20"/>
  <c r="L76" i="27"/>
  <c r="AT11" i="20"/>
  <c r="AR11" i="20"/>
  <c r="AS9" i="20"/>
  <c r="AR9" i="20"/>
  <c r="AR23" i="20"/>
  <c r="AT23" i="20"/>
  <c r="AQ12" i="20"/>
  <c r="AR12" i="20"/>
  <c r="AQ18" i="20"/>
  <c r="AR6" i="20"/>
  <c r="AQ15" i="20"/>
  <c r="AR15" i="20"/>
  <c r="AT15" i="20"/>
  <c r="Q39" i="20"/>
  <c r="Q38" i="20"/>
  <c r="Q37" i="20"/>
  <c r="Q40" i="20"/>
  <c r="AS18" i="20"/>
  <c r="AR18" i="20"/>
  <c r="AR19" i="20"/>
  <c r="AT19" i="20"/>
  <c r="AS23" i="20"/>
  <c r="AS24" i="20"/>
  <c r="AT24" i="20"/>
  <c r="AR24" i="20"/>
  <c r="AQ24" i="20"/>
  <c r="AR21" i="20"/>
  <c r="AS21" i="20"/>
  <c r="AS16" i="20"/>
  <c r="AS15" i="20"/>
  <c r="AR31" i="20"/>
  <c r="AT31" i="20"/>
  <c r="R8" i="20"/>
  <c r="S8" i="20" s="1"/>
  <c r="T8" i="20" s="1"/>
  <c r="X8" i="20" s="1"/>
  <c r="AQ11" i="20"/>
  <c r="AS22" i="20"/>
  <c r="AR29" i="20"/>
  <c r="AS29" i="20"/>
  <c r="AT9" i="20"/>
  <c r="AS19" i="20"/>
  <c r="AT16" i="20"/>
  <c r="AR16" i="20"/>
  <c r="AQ16" i="20"/>
  <c r="AS28" i="20"/>
  <c r="AT28" i="20"/>
  <c r="AR28" i="20"/>
  <c r="AQ28" i="20"/>
  <c r="AT8" i="20"/>
  <c r="AQ8" i="20"/>
  <c r="AR8" i="20"/>
  <c r="AS12" i="20"/>
  <c r="AS32" i="20"/>
  <c r="AR32" i="20"/>
  <c r="AQ32" i="20"/>
  <c r="AT32" i="20"/>
  <c r="AT13" i="20"/>
  <c r="AS13" i="20"/>
  <c r="AR13" i="20"/>
  <c r="AS31" i="20"/>
  <c r="AR10" i="20"/>
  <c r="L74" i="27"/>
  <c r="L71" i="27"/>
  <c r="H80" i="27"/>
  <c r="I80" i="27"/>
  <c r="J80" i="27"/>
  <c r="K80" i="27"/>
  <c r="T170" i="13"/>
  <c r="T181" i="13"/>
  <c r="T192" i="13"/>
  <c r="T166" i="13"/>
  <c r="T196" i="13"/>
  <c r="X201" i="13"/>
  <c r="X203" i="13"/>
  <c r="T200" i="13"/>
  <c r="T174" i="13"/>
  <c r="T204" i="13"/>
  <c r="T177" i="13"/>
  <c r="T188" i="13"/>
  <c r="T186" i="13"/>
  <c r="T182" i="13"/>
  <c r="T173" i="13"/>
  <c r="T184" i="13"/>
  <c r="T185" i="13"/>
  <c r="T194" i="13"/>
  <c r="T190" i="13"/>
  <c r="T202" i="13"/>
  <c r="T187" i="13"/>
  <c r="T198" i="13"/>
  <c r="T183" i="13"/>
  <c r="T168" i="13"/>
  <c r="T195" i="13"/>
  <c r="T191" i="13"/>
  <c r="T176" i="13"/>
  <c r="T180" i="13"/>
  <c r="T199" i="13"/>
  <c r="Q202" i="27"/>
  <c r="R202" i="27" s="1"/>
  <c r="Q138" i="27"/>
  <c r="R138" i="27" s="1"/>
  <c r="Q165" i="27"/>
  <c r="R165" i="27" s="1"/>
  <c r="AQ15" i="18"/>
  <c r="Q36" i="18"/>
  <c r="AR30" i="18"/>
  <c r="AT8" i="18"/>
  <c r="Q42" i="18"/>
  <c r="Q117" i="27"/>
  <c r="R117" i="27" s="1"/>
  <c r="Q85" i="27"/>
  <c r="R85" i="27" s="1"/>
  <c r="Q53" i="27"/>
  <c r="R53" i="27" s="1"/>
  <c r="Q126" i="27"/>
  <c r="R126" i="27" s="1"/>
  <c r="Q94" i="27"/>
  <c r="R94" i="27" s="1"/>
  <c r="Q62" i="27"/>
  <c r="R62" i="27" s="1"/>
  <c r="Q30" i="27"/>
  <c r="R30" i="27" s="1"/>
  <c r="Q107" i="27"/>
  <c r="R107" i="27" s="1"/>
  <c r="Q75" i="27"/>
  <c r="R75" i="27" s="1"/>
  <c r="Q43" i="27"/>
  <c r="R43" i="27" s="1"/>
  <c r="Q153" i="27"/>
  <c r="R153" i="27" s="1"/>
  <c r="Q212" i="27"/>
  <c r="R212" i="27" s="1"/>
  <c r="Q187" i="27"/>
  <c r="R187" i="27" s="1"/>
  <c r="Q40" i="27"/>
  <c r="R40" i="27" s="1"/>
  <c r="Q198" i="27"/>
  <c r="R198" i="27" s="1"/>
  <c r="Q134" i="27"/>
  <c r="R134" i="27" s="1"/>
  <c r="Q160" i="27"/>
  <c r="R160" i="27" s="1"/>
  <c r="Q60" i="27"/>
  <c r="R60" i="27" s="1"/>
  <c r="Q113" i="27"/>
  <c r="R113" i="27" s="1"/>
  <c r="Q81" i="27"/>
  <c r="R81" i="27" s="1"/>
  <c r="Q49" i="27"/>
  <c r="R49" i="27" s="1"/>
  <c r="Q122" i="27"/>
  <c r="R122" i="27" s="1"/>
  <c r="Q90" i="27"/>
  <c r="R90" i="27" s="1"/>
  <c r="Q58" i="27"/>
  <c r="R58" i="27" s="1"/>
  <c r="Q135" i="27"/>
  <c r="R135" i="27" s="1"/>
  <c r="Q103" i="27"/>
  <c r="R103" i="27" s="1"/>
  <c r="Q71" i="27"/>
  <c r="R71" i="27" s="1"/>
  <c r="Q39" i="27"/>
  <c r="R39" i="27" s="1"/>
  <c r="Q179" i="27"/>
  <c r="R179" i="27" s="1"/>
  <c r="Q203" i="27"/>
  <c r="R203" i="27" s="1"/>
  <c r="Q200" i="27"/>
  <c r="R200" i="27" s="1"/>
  <c r="Q199" i="27"/>
  <c r="R199" i="27" s="1"/>
  <c r="Q186" i="27"/>
  <c r="R186" i="27" s="1"/>
  <c r="Q213" i="27"/>
  <c r="R213" i="27" s="1"/>
  <c r="Q149" i="27"/>
  <c r="R149" i="27" s="1"/>
  <c r="Q36" i="27"/>
  <c r="R36" i="27" s="1"/>
  <c r="Q109" i="27"/>
  <c r="R109" i="27" s="1"/>
  <c r="Q77" i="27"/>
  <c r="R77" i="27" s="1"/>
  <c r="Q45" i="27"/>
  <c r="R45" i="27" s="1"/>
  <c r="Q118" i="27"/>
  <c r="R118" i="27" s="1"/>
  <c r="Q86" i="27"/>
  <c r="R86" i="27" s="1"/>
  <c r="Q54" i="27"/>
  <c r="R54" i="27" s="1"/>
  <c r="Q131" i="27"/>
  <c r="R131" i="27" s="1"/>
  <c r="Q99" i="27"/>
  <c r="R99" i="27" s="1"/>
  <c r="Q67" i="27"/>
  <c r="R67" i="27" s="1"/>
  <c r="Q35" i="27"/>
  <c r="R35" i="27" s="1"/>
  <c r="Q195" i="27"/>
  <c r="R195" i="27" s="1"/>
  <c r="Q219" i="27"/>
  <c r="R219" i="27" s="1"/>
  <c r="Q184" i="27"/>
  <c r="R184" i="27" s="1"/>
  <c r="Q183" i="27"/>
  <c r="R183" i="27" s="1"/>
  <c r="Q178" i="27"/>
  <c r="R178" i="27" s="1"/>
  <c r="Q205" i="27"/>
  <c r="R205" i="27" s="1"/>
  <c r="Q141" i="27"/>
  <c r="R141" i="27" s="1"/>
  <c r="Q105" i="27"/>
  <c r="R105" i="27" s="1"/>
  <c r="Q73" i="27"/>
  <c r="R73" i="27" s="1"/>
  <c r="Q41" i="27"/>
  <c r="R41" i="27" s="1"/>
  <c r="Q114" i="27"/>
  <c r="R114" i="27" s="1"/>
  <c r="Q82" i="27"/>
  <c r="R82" i="27" s="1"/>
  <c r="Q50" i="27"/>
  <c r="R50" i="27" s="1"/>
  <c r="Q127" i="27"/>
  <c r="R127" i="27" s="1"/>
  <c r="Q95" i="27"/>
  <c r="R95" i="27" s="1"/>
  <c r="Q63" i="27"/>
  <c r="R63" i="27" s="1"/>
  <c r="Q31" i="27"/>
  <c r="R31" i="27" s="1"/>
  <c r="Q32" i="27"/>
  <c r="R32" i="27" s="1"/>
  <c r="Q211" i="27"/>
  <c r="R211" i="27" s="1"/>
  <c r="Q48" i="27"/>
  <c r="R48" i="27" s="1"/>
  <c r="Q164" i="27"/>
  <c r="R164" i="27" s="1"/>
  <c r="Q166" i="27"/>
  <c r="R166" i="27" s="1"/>
  <c r="Q170" i="27"/>
  <c r="R170" i="27" s="1"/>
  <c r="Q197" i="27"/>
  <c r="R197" i="27" s="1"/>
  <c r="Q132" i="27"/>
  <c r="R132" i="27" s="1"/>
  <c r="Q37" i="27"/>
  <c r="R37" i="27" s="1"/>
  <c r="Q161" i="27"/>
  <c r="R161" i="27" s="1"/>
  <c r="Q163" i="27"/>
  <c r="R163" i="27" s="1"/>
  <c r="Q167" i="27"/>
  <c r="R167" i="27" s="1"/>
  <c r="Q193" i="27"/>
  <c r="R193" i="27" s="1"/>
  <c r="Q124" i="27"/>
  <c r="R124" i="27" s="1"/>
  <c r="Q139" i="27"/>
  <c r="R139" i="27" s="1"/>
  <c r="Q133" i="27"/>
  <c r="R133" i="27" s="1"/>
  <c r="Q101" i="27"/>
  <c r="R101" i="27" s="1"/>
  <c r="Q69" i="27"/>
  <c r="R69" i="27" s="1"/>
  <c r="Q110" i="27"/>
  <c r="R110" i="27" s="1"/>
  <c r="Q78" i="27"/>
  <c r="R78" i="27" s="1"/>
  <c r="Q46" i="27"/>
  <c r="R46" i="27" s="1"/>
  <c r="Q123" i="27"/>
  <c r="R123" i="27" s="1"/>
  <c r="Q91" i="27"/>
  <c r="R91" i="27" s="1"/>
  <c r="Q59" i="27"/>
  <c r="R59" i="27" s="1"/>
  <c r="Q27" i="27"/>
  <c r="R27" i="27" s="1"/>
  <c r="Q64" i="27"/>
  <c r="R64" i="27" s="1"/>
  <c r="Q142" i="27"/>
  <c r="R142" i="27" s="1"/>
  <c r="Q80" i="27"/>
  <c r="R80" i="27" s="1"/>
  <c r="Q129" i="27"/>
  <c r="R129" i="27" s="1"/>
  <c r="Q97" i="27"/>
  <c r="R97" i="27" s="1"/>
  <c r="Q65" i="27"/>
  <c r="R65" i="27" s="1"/>
  <c r="Q33" i="27"/>
  <c r="R33" i="27" s="1"/>
  <c r="Q106" i="27"/>
  <c r="R106" i="27" s="1"/>
  <c r="Q74" i="27"/>
  <c r="R74" i="27" s="1"/>
  <c r="Q42" i="27"/>
  <c r="R42" i="27" s="1"/>
  <c r="Q119" i="27"/>
  <c r="R119" i="27" s="1"/>
  <c r="Q87" i="27"/>
  <c r="R87" i="27" s="1"/>
  <c r="Q55" i="27"/>
  <c r="R55" i="27" s="1"/>
  <c r="Q96" i="27"/>
  <c r="R96" i="27" s="1"/>
  <c r="Q155" i="27"/>
  <c r="R155" i="27" s="1"/>
  <c r="Q112" i="27"/>
  <c r="R112" i="27" s="1"/>
  <c r="Q120" i="27"/>
  <c r="R120" i="27" s="1"/>
  <c r="Q218" i="27"/>
  <c r="R218" i="27" s="1"/>
  <c r="Q154" i="27"/>
  <c r="R154" i="27" s="1"/>
  <c r="Q181" i="27"/>
  <c r="R181" i="27" s="1"/>
  <c r="Q100" i="27"/>
  <c r="R100" i="27" s="1"/>
  <c r="Q220" i="27"/>
  <c r="R220" i="27" s="1"/>
  <c r="Q125" i="27"/>
  <c r="R125" i="27" s="1"/>
  <c r="Q93" i="27"/>
  <c r="R93" i="27" s="1"/>
  <c r="Q61" i="27"/>
  <c r="R61" i="27" s="1"/>
  <c r="Q29" i="27"/>
  <c r="R29" i="27" s="1"/>
  <c r="Q102" i="27"/>
  <c r="R102" i="27" s="1"/>
  <c r="Q70" i="27"/>
  <c r="R70" i="27" s="1"/>
  <c r="Q38" i="27"/>
  <c r="R38" i="27" s="1"/>
  <c r="Q115" i="27"/>
  <c r="R115" i="27" s="1"/>
  <c r="Q83" i="27"/>
  <c r="R83" i="27" s="1"/>
  <c r="Q51" i="27"/>
  <c r="R51" i="27" s="1"/>
  <c r="Q128" i="27"/>
  <c r="R128" i="27" s="1"/>
  <c r="Q180" i="27"/>
  <c r="R180" i="27" s="1"/>
  <c r="Q137" i="27"/>
  <c r="R137" i="27" s="1"/>
  <c r="Q88" i="27"/>
  <c r="R88" i="27" s="1"/>
  <c r="Q210" i="27"/>
  <c r="R210" i="27" s="1"/>
  <c r="Q146" i="27"/>
  <c r="R146" i="27" s="1"/>
  <c r="Q173" i="27"/>
  <c r="R173" i="27" s="1"/>
  <c r="Y5" i="13"/>
  <c r="AS112" i="13"/>
  <c r="Y128" i="27" s="1"/>
  <c r="AS72" i="13"/>
  <c r="AT87" i="13"/>
  <c r="AT39" i="13"/>
  <c r="AQ90" i="13"/>
  <c r="AQ16" i="18"/>
  <c r="AT129" i="13"/>
  <c r="Z145" i="27" s="1"/>
  <c r="H39" i="27"/>
  <c r="J39" i="27"/>
  <c r="I39" i="27"/>
  <c r="AT113" i="13"/>
  <c r="Z129" i="27" s="1"/>
  <c r="AR54" i="18"/>
  <c r="AT54" i="18"/>
  <c r="AQ54" i="18"/>
  <c r="AS54" i="18"/>
  <c r="AR59" i="18"/>
  <c r="AS59" i="18"/>
  <c r="AQ59" i="18"/>
  <c r="AT59" i="18"/>
  <c r="AQ42" i="18"/>
  <c r="AS42" i="18"/>
  <c r="AR42" i="18"/>
  <c r="AT42" i="18"/>
  <c r="AQ58" i="18"/>
  <c r="AS58" i="18"/>
  <c r="AT58" i="18"/>
  <c r="AR58" i="18"/>
  <c r="AS36" i="18"/>
  <c r="AT36" i="18"/>
  <c r="AQ36" i="18"/>
  <c r="AR36" i="18"/>
  <c r="AQ52" i="18"/>
  <c r="AR52" i="18"/>
  <c r="AT52" i="18"/>
  <c r="AS52" i="18"/>
  <c r="AT39" i="18"/>
  <c r="AS39" i="18"/>
  <c r="AQ39" i="18"/>
  <c r="AR39" i="18"/>
  <c r="AT62" i="18"/>
  <c r="AS62" i="18"/>
  <c r="AQ62" i="18"/>
  <c r="AR62" i="18"/>
  <c r="AR56" i="18"/>
  <c r="AQ56" i="18"/>
  <c r="AT56" i="18"/>
  <c r="AS56" i="18"/>
  <c r="AR44" i="18"/>
  <c r="AS44" i="18"/>
  <c r="AQ44" i="18"/>
  <c r="AT44" i="18"/>
  <c r="AT41" i="18"/>
  <c r="AR41" i="18"/>
  <c r="AQ41" i="18"/>
  <c r="AS41" i="18"/>
  <c r="AT46" i="18"/>
  <c r="AR46" i="18"/>
  <c r="AQ46" i="18"/>
  <c r="AS46" i="18"/>
  <c r="AQ51" i="18"/>
  <c r="AS51" i="18"/>
  <c r="AT51" i="18"/>
  <c r="AR51" i="18"/>
  <c r="AQ61" i="18"/>
  <c r="AS61" i="18"/>
  <c r="AT61" i="18"/>
  <c r="AR61" i="18"/>
  <c r="AT49" i="18"/>
  <c r="AQ49" i="18"/>
  <c r="AR49" i="18"/>
  <c r="AS49" i="18"/>
  <c r="AR57" i="18"/>
  <c r="AS57" i="18"/>
  <c r="AQ57" i="18"/>
  <c r="AT57" i="18"/>
  <c r="AR47" i="18"/>
  <c r="AT47" i="18"/>
  <c r="AQ47" i="18"/>
  <c r="AS47" i="18"/>
  <c r="AQ63" i="18"/>
  <c r="AT63" i="18"/>
  <c r="AS63" i="18"/>
  <c r="AR63" i="18"/>
  <c r="AR48" i="18"/>
  <c r="AT48" i="18"/>
  <c r="AQ48" i="18"/>
  <c r="AS48" i="18"/>
  <c r="AT65" i="18"/>
  <c r="AS65" i="18"/>
  <c r="AR65" i="18"/>
  <c r="AQ65" i="18"/>
  <c r="AS38" i="18"/>
  <c r="AR38" i="18"/>
  <c r="AT38" i="18"/>
  <c r="AQ38" i="18"/>
  <c r="AT43" i="18"/>
  <c r="AR43" i="18"/>
  <c r="AS43" i="18"/>
  <c r="AQ43" i="18"/>
  <c r="AQ64" i="18"/>
  <c r="AS64" i="18"/>
  <c r="AR64" i="18"/>
  <c r="AT64" i="18"/>
  <c r="AT37" i="18"/>
  <c r="AQ37" i="18"/>
  <c r="AR37" i="18"/>
  <c r="AS37" i="18"/>
  <c r="AR53" i="18"/>
  <c r="AQ53" i="18"/>
  <c r="AS53" i="18"/>
  <c r="AT53" i="18"/>
  <c r="AT111" i="13"/>
  <c r="Z127" i="27" s="1"/>
  <c r="AT63" i="13"/>
  <c r="AS27" i="13"/>
  <c r="AT27" i="13"/>
  <c r="AS90" i="13"/>
  <c r="AS96" i="13"/>
  <c r="Y112" i="27" s="1"/>
  <c r="AR72" i="13"/>
  <c r="AS80" i="13"/>
  <c r="AT95" i="13"/>
  <c r="AR80" i="13"/>
  <c r="AT80" i="13"/>
  <c r="AQ80" i="13"/>
  <c r="AT47" i="13"/>
  <c r="AT112" i="13"/>
  <c r="Z128" i="27" s="1"/>
  <c r="AS128" i="13"/>
  <c r="Y144" i="27" s="1"/>
  <c r="AR89" i="13"/>
  <c r="AT122" i="13"/>
  <c r="Z138" i="27" s="1"/>
  <c r="AT145" i="13"/>
  <c r="Z161" i="27" s="1"/>
  <c r="AS104" i="13"/>
  <c r="Y120" i="27" s="1"/>
  <c r="AT152" i="13"/>
  <c r="Z168" i="27" s="1"/>
  <c r="AT114" i="13"/>
  <c r="Z130" i="27" s="1"/>
  <c r="AT88" i="13"/>
  <c r="AS88" i="13"/>
  <c r="AT104" i="13"/>
  <c r="Z120" i="27" s="1"/>
  <c r="AR97" i="13"/>
  <c r="X113" i="27" s="1"/>
  <c r="AQ30" i="18"/>
  <c r="AG6" i="18"/>
  <c r="AG7" i="18" s="1"/>
  <c r="AG8" i="18" s="1"/>
  <c r="AG9" i="18" s="1"/>
  <c r="AG10" i="18" s="1"/>
  <c r="AG11" i="18" s="1"/>
  <c r="AG12" i="18" s="1"/>
  <c r="AG13" i="18" s="1"/>
  <c r="AG14" i="18" s="1"/>
  <c r="AG15" i="18" s="1"/>
  <c r="AG16" i="18" s="1"/>
  <c r="AG17" i="18" s="1"/>
  <c r="AG18" i="18" s="1"/>
  <c r="AG19" i="18" s="1"/>
  <c r="AG20" i="18" s="1"/>
  <c r="AG21" i="18" s="1"/>
  <c r="AG22" i="18" s="1"/>
  <c r="AG23" i="18" s="1"/>
  <c r="AG24" i="18" s="1"/>
  <c r="AG25" i="18" s="1"/>
  <c r="AG26" i="18" s="1"/>
  <c r="AG27" i="18" s="1"/>
  <c r="AG28" i="18" s="1"/>
  <c r="AG29" i="18" s="1"/>
  <c r="AG30" i="18" s="1"/>
  <c r="AG31" i="18" s="1"/>
  <c r="AG32" i="18" s="1"/>
  <c r="AG33" i="18" s="1"/>
  <c r="AG34" i="18" s="1"/>
  <c r="AG35" i="18" s="1"/>
  <c r="AG36" i="18" s="1"/>
  <c r="AG37" i="18" s="1"/>
  <c r="AG38" i="18" s="1"/>
  <c r="AG39" i="18" s="1"/>
  <c r="AG40" i="18" s="1"/>
  <c r="AG41" i="18" s="1"/>
  <c r="AG42" i="18" s="1"/>
  <c r="AG43" i="18" s="1"/>
  <c r="AG44" i="18" s="1"/>
  <c r="AG45" i="18" s="1"/>
  <c r="AG46" i="18" s="1"/>
  <c r="AG47" i="18" s="1"/>
  <c r="AG48" i="18" s="1"/>
  <c r="AG49" i="18" s="1"/>
  <c r="AG50" i="18" s="1"/>
  <c r="AG51" i="18" s="1"/>
  <c r="AG52" i="18" s="1"/>
  <c r="AG53" i="18" s="1"/>
  <c r="AG54" i="18" s="1"/>
  <c r="AG55" i="18" s="1"/>
  <c r="AG56" i="18" s="1"/>
  <c r="AG57" i="18" s="1"/>
  <c r="AG58" i="18" s="1"/>
  <c r="AG59" i="18" s="1"/>
  <c r="AG60" i="18" s="1"/>
  <c r="AG61" i="18" s="1"/>
  <c r="AG62" i="18" s="1"/>
  <c r="AG63" i="18" s="1"/>
  <c r="AG64" i="18" s="1"/>
  <c r="AG65" i="18" s="1"/>
  <c r="AG66" i="18" s="1"/>
  <c r="AG67" i="18" s="1"/>
  <c r="AG68" i="18" s="1"/>
  <c r="AG69" i="18" s="1"/>
  <c r="AG70" i="18" s="1"/>
  <c r="AG71" i="18" s="1"/>
  <c r="AG72" i="18" s="1"/>
  <c r="AG73" i="18" s="1"/>
  <c r="AG74" i="18" s="1"/>
  <c r="AS30" i="18"/>
  <c r="AT20" i="18"/>
  <c r="AS19" i="18"/>
  <c r="AQ12" i="18"/>
  <c r="AR25" i="18"/>
  <c r="AQ20" i="18"/>
  <c r="AR20" i="18"/>
  <c r="AS20" i="18"/>
  <c r="AR27" i="18"/>
  <c r="AT30" i="18"/>
  <c r="AS31" i="18"/>
  <c r="AR28" i="18"/>
  <c r="AR21" i="18"/>
  <c r="AQ26" i="18"/>
  <c r="AR12" i="18"/>
  <c r="AS12" i="18"/>
  <c r="AS29" i="18"/>
  <c r="AR8" i="18"/>
  <c r="AQ17" i="18"/>
  <c r="AS5" i="18"/>
  <c r="AQ44" i="13"/>
  <c r="AS44" i="13"/>
  <c r="AT44" i="13"/>
  <c r="AR44" i="13"/>
  <c r="AS53" i="13"/>
  <c r="AT53" i="13"/>
  <c r="AR53" i="13"/>
  <c r="AQ53" i="13"/>
  <c r="AT40" i="13"/>
  <c r="AQ40" i="13"/>
  <c r="AR40" i="13"/>
  <c r="AS69" i="13"/>
  <c r="AR69" i="13"/>
  <c r="AT69" i="13"/>
  <c r="AQ69" i="13"/>
  <c r="AQ50" i="13"/>
  <c r="AT50" i="13"/>
  <c r="AR50" i="13"/>
  <c r="AS50" i="13"/>
  <c r="AQ45" i="13"/>
  <c r="AR45" i="13"/>
  <c r="AS45" i="13"/>
  <c r="AT45" i="13"/>
  <c r="AQ27" i="13"/>
  <c r="AR150" i="13"/>
  <c r="X166" i="27" s="1"/>
  <c r="AQ150" i="13"/>
  <c r="W166" i="27" s="1"/>
  <c r="AT150" i="13"/>
  <c r="Z166" i="27" s="1"/>
  <c r="AS150" i="13"/>
  <c r="Y166" i="27" s="1"/>
  <c r="AQ65" i="13"/>
  <c r="AT65" i="13"/>
  <c r="AS65" i="13"/>
  <c r="AR65" i="13"/>
  <c r="AQ124" i="13"/>
  <c r="W140" i="27" s="1"/>
  <c r="AT124" i="13"/>
  <c r="Z140" i="27" s="1"/>
  <c r="AS124" i="13"/>
  <c r="Y140" i="27" s="1"/>
  <c r="AR124" i="13"/>
  <c r="X140" i="27" s="1"/>
  <c r="AQ92" i="13"/>
  <c r="AS92" i="13"/>
  <c r="AT92" i="13"/>
  <c r="AR92" i="13"/>
  <c r="AQ151" i="13"/>
  <c r="W167" i="27" s="1"/>
  <c r="AR151" i="13"/>
  <c r="X167" i="27" s="1"/>
  <c r="AS151" i="13"/>
  <c r="Y167" i="27" s="1"/>
  <c r="AR142" i="13"/>
  <c r="X158" i="27" s="1"/>
  <c r="AS142" i="13"/>
  <c r="Y158" i="27" s="1"/>
  <c r="AT142" i="13"/>
  <c r="Z158" i="27" s="1"/>
  <c r="AQ142" i="13"/>
  <c r="W158" i="27" s="1"/>
  <c r="AQ114" i="13"/>
  <c r="W130" i="27" s="1"/>
  <c r="AR114" i="13"/>
  <c r="X130" i="27" s="1"/>
  <c r="AS114" i="13"/>
  <c r="Y130" i="27" s="1"/>
  <c r="AR54" i="13"/>
  <c r="AQ54" i="13"/>
  <c r="AT54" i="13"/>
  <c r="AS54" i="13"/>
  <c r="AQ154" i="13"/>
  <c r="W170" i="27" s="1"/>
  <c r="AT154" i="13"/>
  <c r="Z170" i="27" s="1"/>
  <c r="AS154" i="13"/>
  <c r="Y170" i="27" s="1"/>
  <c r="AR154" i="13"/>
  <c r="X170" i="27" s="1"/>
  <c r="AS117" i="13"/>
  <c r="Y133" i="27" s="1"/>
  <c r="AT117" i="13"/>
  <c r="Z133" i="27" s="1"/>
  <c r="AR117" i="13"/>
  <c r="X133" i="27" s="1"/>
  <c r="AQ117" i="13"/>
  <c r="W133" i="27" s="1"/>
  <c r="AS149" i="13"/>
  <c r="Y165" i="27" s="1"/>
  <c r="AR149" i="13"/>
  <c r="X165" i="27" s="1"/>
  <c r="AT149" i="13"/>
  <c r="Z165" i="27" s="1"/>
  <c r="AQ149" i="13"/>
  <c r="W165" i="27" s="1"/>
  <c r="AQ130" i="13"/>
  <c r="W146" i="27" s="1"/>
  <c r="AS130" i="13"/>
  <c r="Y146" i="27" s="1"/>
  <c r="AR130" i="13"/>
  <c r="X146" i="27" s="1"/>
  <c r="AQ136" i="13"/>
  <c r="W152" i="27" s="1"/>
  <c r="AR136" i="13"/>
  <c r="X152" i="27" s="1"/>
  <c r="AS109" i="13"/>
  <c r="Y125" i="27" s="1"/>
  <c r="AR109" i="13"/>
  <c r="X125" i="27" s="1"/>
  <c r="AT109" i="13"/>
  <c r="Z125" i="27" s="1"/>
  <c r="AQ109" i="13"/>
  <c r="W125" i="27" s="1"/>
  <c r="AQ63" i="13"/>
  <c r="AS63" i="13"/>
  <c r="AR63" i="13"/>
  <c r="AT89" i="13"/>
  <c r="AR46" i="13"/>
  <c r="AQ46" i="13"/>
  <c r="AT46" i="13"/>
  <c r="AS46" i="13"/>
  <c r="AQ66" i="13"/>
  <c r="AT66" i="13"/>
  <c r="AS66" i="13"/>
  <c r="AR66" i="13"/>
  <c r="AQ67" i="13"/>
  <c r="AT67" i="13"/>
  <c r="AR67" i="13"/>
  <c r="AS67" i="13"/>
  <c r="AQ68" i="13"/>
  <c r="AT68" i="13"/>
  <c r="AS68" i="13"/>
  <c r="AR68" i="13"/>
  <c r="AQ143" i="13"/>
  <c r="W159" i="27" s="1"/>
  <c r="AS143" i="13"/>
  <c r="Y159" i="27" s="1"/>
  <c r="AR143" i="13"/>
  <c r="X159" i="27" s="1"/>
  <c r="AQ144" i="13"/>
  <c r="W160" i="27" s="1"/>
  <c r="AR144" i="13"/>
  <c r="X160" i="27" s="1"/>
  <c r="AR126" i="13"/>
  <c r="X142" i="27" s="1"/>
  <c r="AS126" i="13"/>
  <c r="Y142" i="27" s="1"/>
  <c r="AQ126" i="13"/>
  <c r="W142" i="27" s="1"/>
  <c r="AT126" i="13"/>
  <c r="Z142" i="27" s="1"/>
  <c r="AQ76" i="13"/>
  <c r="AS76" i="13"/>
  <c r="AT76" i="13"/>
  <c r="AR76" i="13"/>
  <c r="AQ152" i="13"/>
  <c r="W168" i="27" s="1"/>
  <c r="AR152" i="13"/>
  <c r="X168" i="27" s="1"/>
  <c r="AT144" i="13"/>
  <c r="Z160" i="27" s="1"/>
  <c r="AR121" i="13"/>
  <c r="X137" i="27" s="1"/>
  <c r="AQ121" i="13"/>
  <c r="W137" i="27" s="1"/>
  <c r="AS121" i="13"/>
  <c r="Y137" i="27" s="1"/>
  <c r="AQ88" i="13"/>
  <c r="AQ108" i="13"/>
  <c r="W124" i="27" s="1"/>
  <c r="AS108" i="13"/>
  <c r="Y124" i="27" s="1"/>
  <c r="AT108" i="13"/>
  <c r="Z124" i="27" s="1"/>
  <c r="AR108" i="13"/>
  <c r="X124" i="27" s="1"/>
  <c r="AT151" i="13"/>
  <c r="Z167" i="27" s="1"/>
  <c r="AR137" i="13"/>
  <c r="X153" i="27" s="1"/>
  <c r="AQ137" i="13"/>
  <c r="W153" i="27" s="1"/>
  <c r="AS137" i="13"/>
  <c r="Y153" i="27" s="1"/>
  <c r="AQ82" i="13"/>
  <c r="AT127" i="13"/>
  <c r="Z143" i="27" s="1"/>
  <c r="AQ120" i="13"/>
  <c r="W136" i="27" s="1"/>
  <c r="AR120" i="13"/>
  <c r="X136" i="27" s="1"/>
  <c r="AQ131" i="13"/>
  <c r="W147" i="27" s="1"/>
  <c r="AS131" i="13"/>
  <c r="Y147" i="27" s="1"/>
  <c r="AT131" i="13"/>
  <c r="Z147" i="27" s="1"/>
  <c r="AR131" i="13"/>
  <c r="X147" i="27" s="1"/>
  <c r="AQ122" i="13"/>
  <c r="W138" i="27" s="1"/>
  <c r="AR122" i="13"/>
  <c r="X138" i="27" s="1"/>
  <c r="AS122" i="13"/>
  <c r="Y138" i="27" s="1"/>
  <c r="AQ111" i="13"/>
  <c r="W127" i="27" s="1"/>
  <c r="AS111" i="13"/>
  <c r="Y127" i="27" s="1"/>
  <c r="AR111" i="13"/>
  <c r="X127" i="27" s="1"/>
  <c r="AT98" i="13"/>
  <c r="Z114" i="27" s="1"/>
  <c r="AS85" i="13"/>
  <c r="AR85" i="13"/>
  <c r="AT85" i="13"/>
  <c r="AQ85" i="13"/>
  <c r="AR62" i="13"/>
  <c r="AT62" i="13"/>
  <c r="AS62" i="13"/>
  <c r="AQ62" i="13"/>
  <c r="AT139" i="13"/>
  <c r="Z155" i="27" s="1"/>
  <c r="AQ139" i="13"/>
  <c r="W155" i="27" s="1"/>
  <c r="AS139" i="13"/>
  <c r="Y155" i="27" s="1"/>
  <c r="AR139" i="13"/>
  <c r="X155" i="27" s="1"/>
  <c r="AR129" i="13"/>
  <c r="X145" i="27" s="1"/>
  <c r="AQ129" i="13"/>
  <c r="W145" i="27" s="1"/>
  <c r="AS129" i="13"/>
  <c r="Y145" i="27" s="1"/>
  <c r="AQ116" i="13"/>
  <c r="W132" i="27" s="1"/>
  <c r="AS116" i="13"/>
  <c r="Y132" i="27" s="1"/>
  <c r="AT116" i="13"/>
  <c r="Z132" i="27" s="1"/>
  <c r="AR116" i="13"/>
  <c r="X132" i="27" s="1"/>
  <c r="AR88" i="13"/>
  <c r="AS77" i="13"/>
  <c r="AR77" i="13"/>
  <c r="AT77" i="13"/>
  <c r="AQ77" i="13"/>
  <c r="AQ52" i="13"/>
  <c r="AS52" i="13"/>
  <c r="AT52" i="13"/>
  <c r="AR52" i="13"/>
  <c r="AQ147" i="13"/>
  <c r="W163" i="27" s="1"/>
  <c r="AR147" i="13"/>
  <c r="X163" i="27" s="1"/>
  <c r="AS147" i="13"/>
  <c r="Y163" i="27" s="1"/>
  <c r="AT147" i="13"/>
  <c r="Z163" i="27" s="1"/>
  <c r="AQ64" i="13"/>
  <c r="AT64" i="13"/>
  <c r="AR64" i="13"/>
  <c r="AQ59" i="13"/>
  <c r="AT59" i="13"/>
  <c r="AR59" i="13"/>
  <c r="AS59" i="13"/>
  <c r="AQ98" i="13"/>
  <c r="W114" i="27" s="1"/>
  <c r="AQ135" i="13"/>
  <c r="W151" i="27" s="1"/>
  <c r="AR135" i="13"/>
  <c r="X151" i="27" s="1"/>
  <c r="AS135" i="13"/>
  <c r="Y151" i="27" s="1"/>
  <c r="AS56" i="13"/>
  <c r="AT135" i="13"/>
  <c r="Z151" i="27" s="1"/>
  <c r="AQ99" i="13"/>
  <c r="W115" i="27" s="1"/>
  <c r="AS99" i="13"/>
  <c r="Y115" i="27" s="1"/>
  <c r="AT99" i="13"/>
  <c r="Z115" i="27" s="1"/>
  <c r="AR99" i="13"/>
  <c r="X115" i="27" s="1"/>
  <c r="AS64" i="13"/>
  <c r="AQ132" i="13"/>
  <c r="W148" i="27" s="1"/>
  <c r="AS132" i="13"/>
  <c r="Y148" i="27" s="1"/>
  <c r="AT132" i="13"/>
  <c r="Z148" i="27" s="1"/>
  <c r="AR27" i="13"/>
  <c r="AQ146" i="13"/>
  <c r="W162" i="27" s="1"/>
  <c r="AR146" i="13"/>
  <c r="X162" i="27" s="1"/>
  <c r="AS146" i="13"/>
  <c r="Y162" i="27" s="1"/>
  <c r="AR118" i="13"/>
  <c r="X134" i="27" s="1"/>
  <c r="AQ118" i="13"/>
  <c r="W134" i="27" s="1"/>
  <c r="AT118" i="13"/>
  <c r="Z134" i="27" s="1"/>
  <c r="AS118" i="13"/>
  <c r="Y134" i="27" s="1"/>
  <c r="AQ148" i="13"/>
  <c r="W164" i="27" s="1"/>
  <c r="AS148" i="13"/>
  <c r="Y164" i="27" s="1"/>
  <c r="AT148" i="13"/>
  <c r="Z164" i="27" s="1"/>
  <c r="AR148" i="13"/>
  <c r="X164" i="27" s="1"/>
  <c r="AQ73" i="13"/>
  <c r="AT73" i="13"/>
  <c r="AS73" i="13"/>
  <c r="AR73" i="13"/>
  <c r="AS40" i="13"/>
  <c r="AT128" i="13"/>
  <c r="Z144" i="27" s="1"/>
  <c r="AS93" i="13"/>
  <c r="AR93" i="13"/>
  <c r="AT93" i="13"/>
  <c r="AQ93" i="13"/>
  <c r="AR132" i="13"/>
  <c r="X148" i="27" s="1"/>
  <c r="AT119" i="13"/>
  <c r="Z135" i="27" s="1"/>
  <c r="AR110" i="13"/>
  <c r="X126" i="27" s="1"/>
  <c r="AS110" i="13"/>
  <c r="Y126" i="27" s="1"/>
  <c r="AT110" i="13"/>
  <c r="Z126" i="27" s="1"/>
  <c r="AQ110" i="13"/>
  <c r="W126" i="27" s="1"/>
  <c r="AQ95" i="13"/>
  <c r="AR95" i="13"/>
  <c r="AS95" i="13"/>
  <c r="AQ84" i="13"/>
  <c r="AT84" i="13"/>
  <c r="AS84" i="13"/>
  <c r="AR84" i="13"/>
  <c r="AQ51" i="13"/>
  <c r="AT51" i="13"/>
  <c r="AS51" i="13"/>
  <c r="AR51" i="13"/>
  <c r="AQ39" i="13"/>
  <c r="AS39" i="13"/>
  <c r="AR39" i="13"/>
  <c r="AR112" i="13"/>
  <c r="X128" i="27" s="1"/>
  <c r="AQ112" i="13"/>
  <c r="W128" i="27" s="1"/>
  <c r="AS82" i="13"/>
  <c r="AT72" i="13"/>
  <c r="AQ61" i="13"/>
  <c r="AT61" i="13"/>
  <c r="AS61" i="13"/>
  <c r="AR61" i="13"/>
  <c r="AT137" i="13"/>
  <c r="Z153" i="27" s="1"/>
  <c r="AQ87" i="13"/>
  <c r="AR87" i="13"/>
  <c r="AS87" i="13"/>
  <c r="AQ43" i="13"/>
  <c r="AT43" i="13"/>
  <c r="AR43" i="13"/>
  <c r="AS43" i="13"/>
  <c r="AT143" i="13"/>
  <c r="Z159" i="27" s="1"/>
  <c r="AQ119" i="13"/>
  <c r="W135" i="27" s="1"/>
  <c r="AR119" i="13"/>
  <c r="X135" i="27" s="1"/>
  <c r="AS119" i="13"/>
  <c r="Y135" i="27" s="1"/>
  <c r="AQ83" i="13"/>
  <c r="AT83" i="13"/>
  <c r="AR83" i="13"/>
  <c r="AS83" i="13"/>
  <c r="AR134" i="13"/>
  <c r="X150" i="27" s="1"/>
  <c r="AQ134" i="13"/>
  <c r="W150" i="27" s="1"/>
  <c r="AT134" i="13"/>
  <c r="Z150" i="27" s="1"/>
  <c r="AS134" i="13"/>
  <c r="Y150" i="27" s="1"/>
  <c r="AR82" i="13"/>
  <c r="AT82" i="13"/>
  <c r="AR153" i="13"/>
  <c r="X169" i="27" s="1"/>
  <c r="AQ153" i="13"/>
  <c r="W169" i="27" s="1"/>
  <c r="AS153" i="13"/>
  <c r="Y169" i="27" s="1"/>
  <c r="AS141" i="13"/>
  <c r="Y157" i="27" s="1"/>
  <c r="AR141" i="13"/>
  <c r="X157" i="27" s="1"/>
  <c r="AT141" i="13"/>
  <c r="Z157" i="27" s="1"/>
  <c r="AQ141" i="13"/>
  <c r="W157" i="27" s="1"/>
  <c r="AS133" i="13"/>
  <c r="Y149" i="27" s="1"/>
  <c r="AT133" i="13"/>
  <c r="Z149" i="27" s="1"/>
  <c r="AR133" i="13"/>
  <c r="X149" i="27" s="1"/>
  <c r="AQ133" i="13"/>
  <c r="W149" i="27" s="1"/>
  <c r="AQ107" i="13"/>
  <c r="W123" i="27" s="1"/>
  <c r="AT107" i="13"/>
  <c r="Z123" i="27" s="1"/>
  <c r="AS107" i="13"/>
  <c r="Y123" i="27" s="1"/>
  <c r="AR107" i="13"/>
  <c r="X123" i="27" s="1"/>
  <c r="AQ103" i="13"/>
  <c r="W119" i="27" s="1"/>
  <c r="AR103" i="13"/>
  <c r="X119" i="27" s="1"/>
  <c r="AS103" i="13"/>
  <c r="Y119" i="27" s="1"/>
  <c r="AQ74" i="13"/>
  <c r="AS74" i="13"/>
  <c r="AT74" i="13"/>
  <c r="AR74" i="13"/>
  <c r="AT115" i="13"/>
  <c r="Z131" i="27" s="1"/>
  <c r="AQ115" i="13"/>
  <c r="W131" i="27" s="1"/>
  <c r="AR115" i="13"/>
  <c r="X131" i="27" s="1"/>
  <c r="AS115" i="13"/>
  <c r="Y131" i="27" s="1"/>
  <c r="AT130" i="13"/>
  <c r="Z146" i="27" s="1"/>
  <c r="AR94" i="13"/>
  <c r="AS94" i="13"/>
  <c r="AT94" i="13"/>
  <c r="AQ94" i="13"/>
  <c r="AQ60" i="13"/>
  <c r="AT60" i="13"/>
  <c r="AS60" i="13"/>
  <c r="AR60" i="13"/>
  <c r="AT120" i="13"/>
  <c r="Z136" i="27" s="1"/>
  <c r="AS136" i="13"/>
  <c r="Y152" i="27" s="1"/>
  <c r="AR113" i="13"/>
  <c r="X129" i="27" s="1"/>
  <c r="AQ113" i="13"/>
  <c r="W129" i="27" s="1"/>
  <c r="AS113" i="13"/>
  <c r="Y129" i="27" s="1"/>
  <c r="AS98" i="13"/>
  <c r="Y114" i="27" s="1"/>
  <c r="AR86" i="13"/>
  <c r="AQ86" i="13"/>
  <c r="AS86" i="13"/>
  <c r="AT86" i="13"/>
  <c r="AQ42" i="13"/>
  <c r="AT42" i="13"/>
  <c r="AS42" i="13"/>
  <c r="AR42" i="13"/>
  <c r="AQ91" i="13"/>
  <c r="AT91" i="13"/>
  <c r="AR91" i="13"/>
  <c r="AS91" i="13"/>
  <c r="AT123" i="13"/>
  <c r="Z139" i="27" s="1"/>
  <c r="AQ123" i="13"/>
  <c r="W139" i="27" s="1"/>
  <c r="AR123" i="13"/>
  <c r="X139" i="27" s="1"/>
  <c r="AS123" i="13"/>
  <c r="Y139" i="27" s="1"/>
  <c r="AR70" i="13"/>
  <c r="AQ70" i="13"/>
  <c r="AT70" i="13"/>
  <c r="AS70" i="13"/>
  <c r="AQ127" i="13"/>
  <c r="W143" i="27" s="1"/>
  <c r="AS127" i="13"/>
  <c r="Y143" i="27" s="1"/>
  <c r="AR127" i="13"/>
  <c r="X143" i="27" s="1"/>
  <c r="AQ58" i="13"/>
  <c r="AT58" i="13"/>
  <c r="AS58" i="13"/>
  <c r="AR58" i="13"/>
  <c r="AS37" i="13"/>
  <c r="AR37" i="13"/>
  <c r="AT37" i="13"/>
  <c r="AQ37" i="13"/>
  <c r="AQ79" i="13"/>
  <c r="AS79" i="13"/>
  <c r="AR79" i="13"/>
  <c r="AR78" i="13"/>
  <c r="AT78" i="13"/>
  <c r="AQ78" i="13"/>
  <c r="AS78" i="13"/>
  <c r="AQ71" i="13"/>
  <c r="AS71" i="13"/>
  <c r="AR71" i="13"/>
  <c r="AT146" i="13"/>
  <c r="Z162" i="27" s="1"/>
  <c r="AQ104" i="13"/>
  <c r="W120" i="27" s="1"/>
  <c r="AR104" i="13"/>
  <c r="X120" i="27" s="1"/>
  <c r="AR145" i="13"/>
  <c r="X161" i="27" s="1"/>
  <c r="AQ145" i="13"/>
  <c r="W161" i="27" s="1"/>
  <c r="AS145" i="13"/>
  <c r="Y161" i="27" s="1"/>
  <c r="AR102" i="13"/>
  <c r="X118" i="27" s="1"/>
  <c r="AQ102" i="13"/>
  <c r="W118" i="27" s="1"/>
  <c r="AS102" i="13"/>
  <c r="Y118" i="27" s="1"/>
  <c r="AT102" i="13"/>
  <c r="Z118" i="27" s="1"/>
  <c r="AQ36" i="13"/>
  <c r="AS36" i="13"/>
  <c r="AT36" i="13"/>
  <c r="AR36" i="13"/>
  <c r="AR38" i="13"/>
  <c r="AQ38" i="13"/>
  <c r="AT38" i="13"/>
  <c r="AS38" i="13"/>
  <c r="AR81" i="13"/>
  <c r="AQ106" i="13"/>
  <c r="W122" i="27" s="1"/>
  <c r="AT106" i="13"/>
  <c r="Z122" i="27" s="1"/>
  <c r="AS106" i="13"/>
  <c r="Y122" i="27" s="1"/>
  <c r="AR106" i="13"/>
  <c r="X122" i="27" s="1"/>
  <c r="AT121" i="13"/>
  <c r="Z137" i="27" s="1"/>
  <c r="AQ97" i="13"/>
  <c r="W113" i="27" s="1"/>
  <c r="AS97" i="13"/>
  <c r="Y113" i="27" s="1"/>
  <c r="AQ48" i="13"/>
  <c r="AT48" i="13"/>
  <c r="AR98" i="13"/>
  <c r="X114" i="27" s="1"/>
  <c r="AS125" i="13"/>
  <c r="AR125" i="13"/>
  <c r="AT125" i="13"/>
  <c r="AQ125" i="13"/>
  <c r="AQ138" i="13"/>
  <c r="W154" i="27" s="1"/>
  <c r="AT138" i="13"/>
  <c r="Z154" i="27" s="1"/>
  <c r="AR138" i="13"/>
  <c r="X154" i="27" s="1"/>
  <c r="AS138" i="13"/>
  <c r="Y154" i="27" s="1"/>
  <c r="AQ56" i="13"/>
  <c r="AT56" i="13"/>
  <c r="AR56" i="13"/>
  <c r="AQ81" i="13"/>
  <c r="AT81" i="13"/>
  <c r="AS81" i="13"/>
  <c r="AQ100" i="13"/>
  <c r="W116" i="27" s="1"/>
  <c r="AT100" i="13"/>
  <c r="Z116" i="27" s="1"/>
  <c r="AS100" i="13"/>
  <c r="Y116" i="27" s="1"/>
  <c r="AR100" i="13"/>
  <c r="X116" i="27" s="1"/>
  <c r="AQ49" i="13"/>
  <c r="AT49" i="13"/>
  <c r="AS49" i="13"/>
  <c r="AR49" i="13"/>
  <c r="AS144" i="13"/>
  <c r="Y160" i="27" s="1"/>
  <c r="AQ75" i="13"/>
  <c r="AS75" i="13"/>
  <c r="AR75" i="13"/>
  <c r="AT75" i="13"/>
  <c r="AQ89" i="13"/>
  <c r="AS89" i="13"/>
  <c r="AR128" i="13"/>
  <c r="X144" i="27" s="1"/>
  <c r="AQ128" i="13"/>
  <c r="W144" i="27" s="1"/>
  <c r="AS101" i="13"/>
  <c r="Y117" i="27" s="1"/>
  <c r="AR101" i="13"/>
  <c r="X117" i="27" s="1"/>
  <c r="AT101" i="13"/>
  <c r="Z117" i="27" s="1"/>
  <c r="AQ101" i="13"/>
  <c r="W117" i="27" s="1"/>
  <c r="AQ140" i="13"/>
  <c r="W156" i="27" s="1"/>
  <c r="AS140" i="13"/>
  <c r="Y156" i="27" s="1"/>
  <c r="AT140" i="13"/>
  <c r="Z156" i="27" s="1"/>
  <c r="AR140" i="13"/>
  <c r="X156" i="27" s="1"/>
  <c r="AT79" i="13"/>
  <c r="AQ47" i="13"/>
  <c r="AS47" i="13"/>
  <c r="AR47" i="13"/>
  <c r="AT103" i="13"/>
  <c r="Z119" i="27" s="1"/>
  <c r="AR90" i="13"/>
  <c r="AT90" i="13"/>
  <c r="AQ41" i="13"/>
  <c r="AT41" i="13"/>
  <c r="AR41" i="13"/>
  <c r="AS41" i="13"/>
  <c r="AS120" i="13"/>
  <c r="Y136" i="27" s="1"/>
  <c r="AQ96" i="13"/>
  <c r="W112" i="27" s="1"/>
  <c r="AR96" i="13"/>
  <c r="X112" i="27" s="1"/>
  <c r="AT96" i="13"/>
  <c r="Z112" i="27" s="1"/>
  <c r="AT71" i="13"/>
  <c r="AQ57" i="13"/>
  <c r="AT57" i="13"/>
  <c r="AR57" i="13"/>
  <c r="AS57" i="13"/>
  <c r="AF6" i="18"/>
  <c r="AF7" i="18" s="1"/>
  <c r="AF8" i="18" s="1"/>
  <c r="AF9" i="18" s="1"/>
  <c r="AF10" i="18" s="1"/>
  <c r="AF11" i="18" s="1"/>
  <c r="AF12" i="18" s="1"/>
  <c r="AS28" i="18"/>
  <c r="AT28" i="18"/>
  <c r="AT34" i="18"/>
  <c r="AQ21" i="18"/>
  <c r="AT9" i="18"/>
  <c r="AS33" i="18"/>
  <c r="AT33" i="18"/>
  <c r="AR10" i="18"/>
  <c r="AS8" i="18"/>
  <c r="AR14" i="18"/>
  <c r="AR32" i="18"/>
  <c r="AS6" i="18"/>
  <c r="AR19" i="18"/>
  <c r="AS32" i="18"/>
  <c r="AR18" i="18"/>
  <c r="AQ31" i="18"/>
  <c r="AS15" i="18"/>
  <c r="AT21" i="18"/>
  <c r="AQ5" i="18"/>
  <c r="AR5" i="18"/>
  <c r="AR22" i="18"/>
  <c r="AQ10" i="18"/>
  <c r="AT10" i="18"/>
  <c r="AH6" i="18"/>
  <c r="AH7" i="18" s="1"/>
  <c r="AH8" i="18" s="1"/>
  <c r="AH9" i="18" s="1"/>
  <c r="AH10" i="18" s="1"/>
  <c r="AQ22" i="18"/>
  <c r="AS10" i="18"/>
  <c r="AS22" i="18"/>
  <c r="AQ11" i="18"/>
  <c r="AR9" i="18"/>
  <c r="AR15" i="18"/>
  <c r="AS17" i="18"/>
  <c r="AQ33" i="18"/>
  <c r="AT5" i="18"/>
  <c r="AS18" i="18"/>
  <c r="AR17" i="18"/>
  <c r="AS34" i="18"/>
  <c r="AT32" i="18"/>
  <c r="AQ9" i="18"/>
  <c r="AT18" i="18"/>
  <c r="AT19" i="18"/>
  <c r="AT24" i="18"/>
  <c r="AQ8" i="18"/>
  <c r="AR34" i="18"/>
  <c r="AQ34" i="18"/>
  <c r="AT27" i="18"/>
  <c r="C123" i="18"/>
  <c r="AT17" i="18"/>
  <c r="AQ18" i="18"/>
  <c r="AS9" i="18"/>
  <c r="AS14" i="18"/>
  <c r="AQ27" i="18"/>
  <c r="AS27" i="18"/>
  <c r="AT31" i="18"/>
  <c r="AR6" i="18"/>
  <c r="AQ19" i="18"/>
  <c r="AT29" i="18"/>
  <c r="AR31" i="18"/>
  <c r="AQ6" i="18"/>
  <c r="AR16" i="18"/>
  <c r="AT6" i="18"/>
  <c r="AT12" i="18"/>
  <c r="AT16" i="18"/>
  <c r="AS16" i="18"/>
  <c r="AR29" i="18"/>
  <c r="AR7" i="18"/>
  <c r="AQ29" i="18"/>
  <c r="AT7" i="18"/>
  <c r="AQ7" i="18"/>
  <c r="AS7" i="18"/>
  <c r="AT13" i="18"/>
  <c r="AS25" i="18"/>
  <c r="AQ25" i="18"/>
  <c r="AR13" i="18"/>
  <c r="AT11" i="18"/>
  <c r="AS13" i="18"/>
  <c r="L40" i="27"/>
  <c r="L46" i="27"/>
  <c r="AT26" i="18"/>
  <c r="AS24" i="18"/>
  <c r="Q22" i="18"/>
  <c r="AR26" i="18"/>
  <c r="AR11" i="18"/>
  <c r="AS26" i="18"/>
  <c r="AT14" i="18"/>
  <c r="Q41" i="18"/>
  <c r="L42" i="27"/>
  <c r="AR24" i="18"/>
  <c r="AQ24" i="18"/>
  <c r="Q40" i="18"/>
  <c r="AS11" i="18"/>
  <c r="AQ13" i="18"/>
  <c r="AT22" i="18"/>
  <c r="Q29" i="18"/>
  <c r="Q21" i="18"/>
  <c r="Q43" i="18"/>
  <c r="Q28" i="18"/>
  <c r="Q61" i="18"/>
  <c r="Q62" i="18"/>
  <c r="Q56" i="18"/>
  <c r="Q57" i="18"/>
  <c r="Q30" i="18"/>
  <c r="Q35" i="18"/>
  <c r="Q23" i="18"/>
  <c r="K57" i="27"/>
  <c r="I57" i="27"/>
  <c r="H57" i="27"/>
  <c r="AB194" i="27"/>
  <c r="S32" i="27"/>
  <c r="Q176" i="27"/>
  <c r="R176" i="27" s="1"/>
  <c r="Q72" i="27"/>
  <c r="R72" i="27" s="1"/>
  <c r="Q175" i="27"/>
  <c r="R175" i="27" s="1"/>
  <c r="Q206" i="27"/>
  <c r="R206" i="27" s="1"/>
  <c r="Q174" i="27"/>
  <c r="R174" i="27" s="1"/>
  <c r="Q143" i="27"/>
  <c r="R143" i="27" s="1"/>
  <c r="Q201" i="27"/>
  <c r="R201" i="27" s="1"/>
  <c r="Q168" i="27"/>
  <c r="R168" i="27" s="1"/>
  <c r="Q136" i="27"/>
  <c r="R136" i="27" s="1"/>
  <c r="Q76" i="27"/>
  <c r="R76" i="27" s="1"/>
  <c r="Q158" i="27"/>
  <c r="R158" i="27" s="1"/>
  <c r="Q188" i="27"/>
  <c r="R188" i="27" s="1"/>
  <c r="Q216" i="27"/>
  <c r="R216" i="27" s="1"/>
  <c r="Q148" i="27"/>
  <c r="R148" i="27" s="1"/>
  <c r="Q215" i="27"/>
  <c r="R215" i="27" s="1"/>
  <c r="Q150" i="27"/>
  <c r="R150" i="27" s="1"/>
  <c r="Q194" i="27"/>
  <c r="R194" i="27" s="1"/>
  <c r="Q162" i="27"/>
  <c r="R162" i="27" s="1"/>
  <c r="Q221" i="27"/>
  <c r="R221" i="27" s="1"/>
  <c r="Q189" i="27"/>
  <c r="R189" i="27" s="1"/>
  <c r="Q157" i="27"/>
  <c r="R157" i="27" s="1"/>
  <c r="Q116" i="27"/>
  <c r="R116" i="27" s="1"/>
  <c r="Q52" i="27"/>
  <c r="R52" i="27" s="1"/>
  <c r="Q171" i="27"/>
  <c r="R171" i="27" s="1"/>
  <c r="Q169" i="27"/>
  <c r="R169" i="27" s="1"/>
  <c r="Q208" i="27"/>
  <c r="R208" i="27" s="1"/>
  <c r="Q145" i="27"/>
  <c r="R145" i="27" s="1"/>
  <c r="Q207" i="27"/>
  <c r="R207" i="27" s="1"/>
  <c r="Q147" i="27"/>
  <c r="R147" i="27" s="1"/>
  <c r="Q190" i="27"/>
  <c r="R190" i="27" s="1"/>
  <c r="Q159" i="27"/>
  <c r="R159" i="27" s="1"/>
  <c r="Q217" i="27"/>
  <c r="R217" i="27" s="1"/>
  <c r="Q185" i="27"/>
  <c r="R185" i="27" s="1"/>
  <c r="Q152" i="27"/>
  <c r="R152" i="27" s="1"/>
  <c r="Q108" i="27"/>
  <c r="R108" i="27" s="1"/>
  <c r="Q44" i="27"/>
  <c r="R44" i="27" s="1"/>
  <c r="Q204" i="27"/>
  <c r="R204" i="27" s="1"/>
  <c r="Q192" i="27"/>
  <c r="R192" i="27" s="1"/>
  <c r="Q104" i="27"/>
  <c r="R104" i="27" s="1"/>
  <c r="Q191" i="27"/>
  <c r="R191" i="27" s="1"/>
  <c r="Q214" i="27"/>
  <c r="R214" i="27" s="1"/>
  <c r="Q182" i="27"/>
  <c r="R182" i="27" s="1"/>
  <c r="Q151" i="27"/>
  <c r="R151" i="27" s="1"/>
  <c r="Q209" i="27"/>
  <c r="R209" i="27" s="1"/>
  <c r="Q177" i="27"/>
  <c r="R177" i="27" s="1"/>
  <c r="Q144" i="27"/>
  <c r="R144" i="27" s="1"/>
  <c r="Q92" i="27"/>
  <c r="R92" i="27" s="1"/>
  <c r="Q28" i="27"/>
  <c r="R28" i="27" s="1"/>
  <c r="Q172" i="27"/>
  <c r="R172" i="27" s="1"/>
  <c r="B58" i="27"/>
  <c r="Q44" i="18"/>
  <c r="Q25" i="18"/>
  <c r="Q46" i="18"/>
  <c r="Q45" i="18"/>
  <c r="Q34" i="18"/>
  <c r="Q32" i="18"/>
  <c r="Q31" i="18"/>
  <c r="AQ19" i="13"/>
  <c r="AR19" i="13"/>
  <c r="AT19" i="13"/>
  <c r="AS19" i="13"/>
  <c r="AQ17" i="13"/>
  <c r="AR17" i="13"/>
  <c r="AS17" i="13"/>
  <c r="AT17" i="13"/>
  <c r="AT10" i="13"/>
  <c r="AQ10" i="13"/>
  <c r="AS10" i="13"/>
  <c r="AR10" i="13"/>
  <c r="I35" i="27"/>
  <c r="J35" i="27"/>
  <c r="K35" i="27"/>
  <c r="H35" i="27"/>
  <c r="AS24" i="13"/>
  <c r="AT24" i="13"/>
  <c r="AR24" i="13"/>
  <c r="AQ24" i="13"/>
  <c r="AQ29" i="13"/>
  <c r="AR29" i="13"/>
  <c r="AT29" i="13"/>
  <c r="AS29" i="13"/>
  <c r="AQ21" i="13"/>
  <c r="AR21" i="13"/>
  <c r="AT21" i="13"/>
  <c r="AS21" i="13"/>
  <c r="AT12" i="13"/>
  <c r="AQ12" i="13"/>
  <c r="AS12" i="13"/>
  <c r="AR12" i="13"/>
  <c r="AS16" i="13"/>
  <c r="AT16" i="13"/>
  <c r="AR16" i="13"/>
  <c r="AQ16" i="13"/>
  <c r="AS20" i="13"/>
  <c r="AT20" i="13"/>
  <c r="AR20" i="13"/>
  <c r="AQ20" i="13"/>
  <c r="AS11" i="13"/>
  <c r="AT11" i="13"/>
  <c r="AR11" i="13"/>
  <c r="AQ11" i="13"/>
  <c r="AQ28" i="13"/>
  <c r="AR28" i="13"/>
  <c r="AT28" i="13"/>
  <c r="AS28" i="13"/>
  <c r="AS26" i="13"/>
  <c r="AT26" i="13"/>
  <c r="AR26" i="13"/>
  <c r="AQ26" i="13"/>
  <c r="AS32" i="13"/>
  <c r="AT32" i="13"/>
  <c r="AR32" i="13"/>
  <c r="AQ32" i="13"/>
  <c r="AS6" i="13"/>
  <c r="AT6" i="13"/>
  <c r="AQ6" i="13"/>
  <c r="AR6" i="13"/>
  <c r="AS9" i="13"/>
  <c r="AT9" i="13"/>
  <c r="AR9" i="13"/>
  <c r="AQ9" i="13"/>
  <c r="AQ14" i="13"/>
  <c r="AR14" i="13"/>
  <c r="AS14" i="13"/>
  <c r="AT14" i="13"/>
  <c r="AQ7" i="13"/>
  <c r="AR7" i="13"/>
  <c r="AS7" i="13"/>
  <c r="AT7" i="13"/>
  <c r="AQ8" i="13"/>
  <c r="AR8" i="13"/>
  <c r="AT8" i="13"/>
  <c r="AS8" i="13"/>
  <c r="AT25" i="13"/>
  <c r="AQ25" i="13"/>
  <c r="AR25" i="13"/>
  <c r="AS25" i="13"/>
  <c r="AF6" i="13"/>
  <c r="AG6" i="13"/>
  <c r="AG7" i="13" s="1"/>
  <c r="AG8" i="13" s="1"/>
  <c r="AG9" i="13" s="1"/>
  <c r="AG10" i="13" s="1"/>
  <c r="AG11" i="13" s="1"/>
  <c r="AG12" i="13" s="1"/>
  <c r="AG13" i="13" s="1"/>
  <c r="AG14" i="13" s="1"/>
  <c r="AG15" i="13" s="1"/>
  <c r="AG16" i="13" s="1"/>
  <c r="AG17" i="13" s="1"/>
  <c r="AG18" i="13" s="1"/>
  <c r="AG19" i="13" s="1"/>
  <c r="AG20" i="13" s="1"/>
  <c r="AG21" i="13" s="1"/>
  <c r="AG22" i="13" s="1"/>
  <c r="AG23" i="13" s="1"/>
  <c r="AG24" i="13" s="1"/>
  <c r="AG25" i="13" s="1"/>
  <c r="AG26" i="13" s="1"/>
  <c r="AG27" i="13" s="1"/>
  <c r="AG28" i="13" s="1"/>
  <c r="AG29" i="13" s="1"/>
  <c r="AG30" i="13" s="1"/>
  <c r="AG31" i="13" s="1"/>
  <c r="AG32" i="13" s="1"/>
  <c r="AG33" i="13" s="1"/>
  <c r="AG34" i="13" s="1"/>
  <c r="AG35" i="13" s="1"/>
  <c r="AG36" i="13" s="1"/>
  <c r="AG37" i="13" s="1"/>
  <c r="AG38" i="13" s="1"/>
  <c r="AG39" i="13" s="1"/>
  <c r="AG40" i="13" s="1"/>
  <c r="AG41" i="13" s="1"/>
  <c r="AG42" i="13" s="1"/>
  <c r="AG43" i="13" s="1"/>
  <c r="AG44" i="13" s="1"/>
  <c r="AG45" i="13" s="1"/>
  <c r="AG46" i="13" s="1"/>
  <c r="AG47" i="13" s="1"/>
  <c r="AG48" i="13" s="1"/>
  <c r="AG49" i="13" s="1"/>
  <c r="AG50" i="13" s="1"/>
  <c r="AG51" i="13" s="1"/>
  <c r="AG52" i="13" s="1"/>
  <c r="AG53" i="13" s="1"/>
  <c r="AG54" i="13" s="1"/>
  <c r="AH6" i="13"/>
  <c r="AH7" i="13" s="1"/>
  <c r="AH8" i="13" s="1"/>
  <c r="AH9" i="13" s="1"/>
  <c r="AH10" i="13" s="1"/>
  <c r="AH11" i="13" s="1"/>
  <c r="AH12" i="13" s="1"/>
  <c r="AH13" i="13" s="1"/>
  <c r="AH14" i="13" s="1"/>
  <c r="AH15" i="13" s="1"/>
  <c r="AH16" i="13" s="1"/>
  <c r="AH17" i="13" s="1"/>
  <c r="AH18" i="13" s="1"/>
  <c r="AH19" i="13" s="1"/>
  <c r="AH20" i="13" s="1"/>
  <c r="AH21" i="13" s="1"/>
  <c r="AH22" i="13" s="1"/>
  <c r="AH23" i="13" s="1"/>
  <c r="AH24" i="13" s="1"/>
  <c r="AH25" i="13" s="1"/>
  <c r="AH26" i="13" s="1"/>
  <c r="AH27" i="13" s="1"/>
  <c r="AH28" i="13" s="1"/>
  <c r="AH29" i="13" s="1"/>
  <c r="AH30" i="13" s="1"/>
  <c r="AH31" i="13" s="1"/>
  <c r="AH32" i="13" s="1"/>
  <c r="AH33" i="13" s="1"/>
  <c r="AH34" i="13" s="1"/>
  <c r="AH35" i="13" s="1"/>
  <c r="AH36" i="13" s="1"/>
  <c r="AH37" i="13" s="1"/>
  <c r="AH38" i="13" s="1"/>
  <c r="AH39" i="13" s="1"/>
  <c r="AH40" i="13" s="1"/>
  <c r="AH41" i="13" s="1"/>
  <c r="AH42" i="13" s="1"/>
  <c r="AH43" i="13" s="1"/>
  <c r="AH44" i="13" s="1"/>
  <c r="AH45" i="13" s="1"/>
  <c r="AH46" i="13" s="1"/>
  <c r="AH47" i="13" s="1"/>
  <c r="AH48" i="13" s="1"/>
  <c r="AH49" i="13" s="1"/>
  <c r="AH50" i="13" s="1"/>
  <c r="AH51" i="13" s="1"/>
  <c r="AH52" i="13" s="1"/>
  <c r="AH53" i="13" s="1"/>
  <c r="AH54" i="13" s="1"/>
  <c r="AT35" i="13"/>
  <c r="AS35" i="13"/>
  <c r="AR35" i="13"/>
  <c r="AQ35" i="13"/>
  <c r="AT23" i="13"/>
  <c r="AQ23" i="13"/>
  <c r="AS23" i="13"/>
  <c r="AR23" i="13"/>
  <c r="AT22" i="13"/>
  <c r="AQ22" i="13"/>
  <c r="AR22" i="13"/>
  <c r="AS22" i="13"/>
  <c r="H23" i="27"/>
  <c r="K23" i="27"/>
  <c r="J23" i="27"/>
  <c r="I23" i="27"/>
  <c r="AQ18" i="13"/>
  <c r="AR18" i="13"/>
  <c r="AS18" i="13"/>
  <c r="AT18" i="13"/>
  <c r="AQ13" i="13"/>
  <c r="AR13" i="13"/>
  <c r="AS13" i="13"/>
  <c r="AT13" i="13"/>
  <c r="AS5" i="13"/>
  <c r="AT5" i="13"/>
  <c r="AR5" i="13"/>
  <c r="AQ5" i="13"/>
  <c r="AS33" i="13"/>
  <c r="AT33" i="13"/>
  <c r="AR33" i="13"/>
  <c r="AQ33" i="13"/>
  <c r="AS30" i="13"/>
  <c r="AT30" i="13"/>
  <c r="AR30" i="13"/>
  <c r="AQ30" i="13"/>
  <c r="AS34" i="13"/>
  <c r="AT34" i="13"/>
  <c r="AR34" i="13"/>
  <c r="AQ34" i="13"/>
  <c r="AT15" i="13"/>
  <c r="AQ15" i="13"/>
  <c r="AS15" i="13"/>
  <c r="AR15" i="13"/>
  <c r="AS31" i="13"/>
  <c r="AT31" i="13"/>
  <c r="AR31" i="13"/>
  <c r="AQ31" i="13"/>
  <c r="AB197" i="27"/>
  <c r="AB212" i="27"/>
  <c r="AB219" i="27"/>
  <c r="AB196" i="27"/>
  <c r="AB210" i="27"/>
  <c r="Y5" i="18"/>
  <c r="S43" i="27"/>
  <c r="S107" i="27"/>
  <c r="S85" i="27"/>
  <c r="S96" i="27"/>
  <c r="S75" i="27"/>
  <c r="S128" i="27"/>
  <c r="S64" i="27"/>
  <c r="S117" i="27"/>
  <c r="S53" i="27"/>
  <c r="S123" i="27"/>
  <c r="S59" i="27"/>
  <c r="S112" i="27"/>
  <c r="S48" i="27"/>
  <c r="S101" i="27"/>
  <c r="S37" i="27"/>
  <c r="S91" i="27"/>
  <c r="S27" i="27"/>
  <c r="S80" i="27"/>
  <c r="S133" i="27"/>
  <c r="S69" i="27"/>
  <c r="K6" i="13"/>
  <c r="J7" i="13"/>
  <c r="Q48" i="18"/>
  <c r="Q39" i="18"/>
  <c r="Q37" i="18"/>
  <c r="Q24" i="18"/>
  <c r="Q33" i="18"/>
  <c r="Q47" i="18"/>
  <c r="Q26" i="18"/>
  <c r="D5" i="27"/>
  <c r="P12" i="24" s="1"/>
  <c r="AB206" i="27"/>
  <c r="AB190" i="27"/>
  <c r="AB209" i="27"/>
  <c r="AB193" i="27"/>
  <c r="AB208" i="27"/>
  <c r="AB192" i="27"/>
  <c r="J9" i="19"/>
  <c r="K8" i="19"/>
  <c r="O8" i="19" s="1"/>
  <c r="K7" i="19"/>
  <c r="O7" i="19" s="1"/>
  <c r="K6" i="19"/>
  <c r="O6" i="19" s="1"/>
  <c r="AB183" i="27"/>
  <c r="AB199" i="27"/>
  <c r="AB215" i="27"/>
  <c r="AB187" i="27"/>
  <c r="AB218" i="27"/>
  <c r="AB202" i="27"/>
  <c r="AB186" i="27"/>
  <c r="AB221" i="27"/>
  <c r="AB205" i="27"/>
  <c r="AB189" i="27"/>
  <c r="AB220" i="27"/>
  <c r="AB204" i="27"/>
  <c r="AB188" i="27"/>
  <c r="AB191" i="27"/>
  <c r="AB211" i="27"/>
  <c r="AB203" i="27"/>
  <c r="AB214" i="27"/>
  <c r="AB198" i="27"/>
  <c r="AB182" i="27"/>
  <c r="AB217" i="27"/>
  <c r="AB201" i="27"/>
  <c r="AB185" i="27"/>
  <c r="AB216" i="27"/>
  <c r="AB200" i="27"/>
  <c r="AB184" i="27"/>
  <c r="AB207" i="27"/>
  <c r="L66" i="27"/>
  <c r="L55" i="27"/>
  <c r="L56" i="27"/>
  <c r="S119" i="27"/>
  <c r="S103" i="27"/>
  <c r="S87" i="27"/>
  <c r="S71" i="27"/>
  <c r="S55" i="27"/>
  <c r="S39" i="27"/>
  <c r="S26" i="27"/>
  <c r="S124" i="27"/>
  <c r="S108" i="27"/>
  <c r="S92" i="27"/>
  <c r="S76" i="27"/>
  <c r="S60" i="27"/>
  <c r="S44" i="27"/>
  <c r="S28" i="27"/>
  <c r="S129" i="27"/>
  <c r="S113" i="27"/>
  <c r="S97" i="27"/>
  <c r="S81" i="27"/>
  <c r="S65" i="27"/>
  <c r="S49" i="27"/>
  <c r="S33" i="27"/>
  <c r="S131" i="27"/>
  <c r="S115" i="27"/>
  <c r="S99" i="27"/>
  <c r="S83" i="27"/>
  <c r="S67" i="27"/>
  <c r="S51" i="27"/>
  <c r="S35" i="27"/>
  <c r="S25" i="27"/>
  <c r="S120" i="27"/>
  <c r="S104" i="27"/>
  <c r="S88" i="27"/>
  <c r="S72" i="27"/>
  <c r="S56" i="27"/>
  <c r="S40" i="27"/>
  <c r="S23" i="27"/>
  <c r="S125" i="27"/>
  <c r="S109" i="27"/>
  <c r="S93" i="27"/>
  <c r="S77" i="27"/>
  <c r="S61" i="27"/>
  <c r="S45" i="27"/>
  <c r="S29" i="27"/>
  <c r="S127" i="27"/>
  <c r="S111" i="27"/>
  <c r="S95" i="27"/>
  <c r="S79" i="27"/>
  <c r="S63" i="27"/>
  <c r="S47" i="27"/>
  <c r="S31" i="27"/>
  <c r="S132" i="27"/>
  <c r="S116" i="27"/>
  <c r="S100" i="27"/>
  <c r="S84" i="27"/>
  <c r="S68" i="27"/>
  <c r="S52" i="27"/>
  <c r="S36" i="27"/>
  <c r="S21" i="27"/>
  <c r="S121" i="27"/>
  <c r="S105" i="27"/>
  <c r="S89" i="27"/>
  <c r="S73" i="27"/>
  <c r="S57" i="27"/>
  <c r="S41" i="27"/>
  <c r="S137" i="27"/>
  <c r="S142" i="27"/>
  <c r="S145" i="27"/>
  <c r="S150" i="27"/>
  <c r="S153" i="27"/>
  <c r="S158" i="27"/>
  <c r="S161" i="27"/>
  <c r="S166" i="27"/>
  <c r="S169" i="27"/>
  <c r="S173" i="27"/>
  <c r="S177" i="27"/>
  <c r="S181" i="27"/>
  <c r="S185" i="27"/>
  <c r="S189" i="27"/>
  <c r="S193" i="27"/>
  <c r="S197" i="27"/>
  <c r="S201" i="27"/>
  <c r="S205" i="27"/>
  <c r="S209" i="27"/>
  <c r="S213" i="27"/>
  <c r="S217" i="27"/>
  <c r="S221" i="27"/>
  <c r="S30" i="27"/>
  <c r="S38" i="27"/>
  <c r="S46" i="27"/>
  <c r="S54" i="27"/>
  <c r="S62" i="27"/>
  <c r="S70" i="27"/>
  <c r="S78" i="27"/>
  <c r="S86" i="27"/>
  <c r="S94" i="27"/>
  <c r="S102" i="27"/>
  <c r="S110" i="27"/>
  <c r="S118" i="27"/>
  <c r="S126" i="27"/>
  <c r="S136" i="27"/>
  <c r="S139" i="27"/>
  <c r="S144" i="27"/>
  <c r="S147" i="27"/>
  <c r="S152" i="27"/>
  <c r="S155" i="27"/>
  <c r="S160" i="27"/>
  <c r="S163" i="27"/>
  <c r="S168" i="27"/>
  <c r="S171" i="27"/>
  <c r="S174" i="27"/>
  <c r="S178" i="27"/>
  <c r="S182" i="27"/>
  <c r="S186" i="27"/>
  <c r="S190" i="27"/>
  <c r="S194" i="27"/>
  <c r="S198" i="27"/>
  <c r="S202" i="27"/>
  <c r="S206" i="27"/>
  <c r="S210" i="27"/>
  <c r="S214" i="27"/>
  <c r="S218" i="27"/>
  <c r="S34" i="27"/>
  <c r="S50" i="27"/>
  <c r="S66" i="27"/>
  <c r="S82" i="27"/>
  <c r="S98" i="27"/>
  <c r="S114" i="27"/>
  <c r="S130" i="27"/>
  <c r="S140" i="27"/>
  <c r="S143" i="27"/>
  <c r="S156" i="27"/>
  <c r="S159" i="27"/>
  <c r="S172" i="27"/>
  <c r="S180" i="27"/>
  <c r="S188" i="27"/>
  <c r="S196" i="27"/>
  <c r="S204" i="27"/>
  <c r="S212" i="27"/>
  <c r="S220" i="27"/>
  <c r="S134" i="27"/>
  <c r="S138" i="27"/>
  <c r="S141" i="27"/>
  <c r="S154" i="27"/>
  <c r="S157" i="27"/>
  <c r="S170" i="27"/>
  <c r="S175" i="27"/>
  <c r="S183" i="27"/>
  <c r="S191" i="27"/>
  <c r="S199" i="27"/>
  <c r="S207" i="27"/>
  <c r="S215" i="27"/>
  <c r="S146" i="27"/>
  <c r="S165" i="27"/>
  <c r="S187" i="27"/>
  <c r="S203" i="27"/>
  <c r="S219" i="27"/>
  <c r="S42" i="27"/>
  <c r="S74" i="27"/>
  <c r="S106" i="27"/>
  <c r="S135" i="27"/>
  <c r="S148" i="27"/>
  <c r="S167" i="27"/>
  <c r="S176" i="27"/>
  <c r="S192" i="27"/>
  <c r="S208" i="27"/>
  <c r="S22" i="27"/>
  <c r="S149" i="27"/>
  <c r="S162" i="27"/>
  <c r="S179" i="27"/>
  <c r="S195" i="27"/>
  <c r="S211" i="27"/>
  <c r="S58" i="27"/>
  <c r="S90" i="27"/>
  <c r="S122" i="27"/>
  <c r="S151" i="27"/>
  <c r="S164" i="27"/>
  <c r="S184" i="27"/>
  <c r="S200" i="27"/>
  <c r="S216" i="27"/>
  <c r="L24" i="27"/>
  <c r="L31" i="27"/>
  <c r="L25" i="27"/>
  <c r="L29" i="27"/>
  <c r="L33" i="27"/>
  <c r="L34" i="27"/>
  <c r="L27" i="27"/>
  <c r="L30" i="27"/>
  <c r="L26" i="27"/>
  <c r="L28" i="27"/>
  <c r="L32" i="27"/>
  <c r="Q49" i="18"/>
  <c r="Q53" i="18"/>
  <c r="Q52" i="18"/>
  <c r="Q54" i="18"/>
  <c r="Q51" i="18"/>
  <c r="Q55" i="18"/>
  <c r="Q50" i="18"/>
  <c r="R7" i="18"/>
  <c r="S6" i="18"/>
  <c r="T6" i="18" s="1"/>
  <c r="X6" i="18" s="1"/>
  <c r="K6" i="18"/>
  <c r="O6" i="18" s="1"/>
  <c r="J7" i="18"/>
  <c r="L41" i="27"/>
  <c r="L43" i="27"/>
  <c r="L45" i="27"/>
  <c r="L47" i="27"/>
  <c r="L72" i="27" l="1"/>
  <c r="AT55" i="18"/>
  <c r="L49" i="27"/>
  <c r="AS55" i="18"/>
  <c r="AT105" i="18"/>
  <c r="AS105" i="18"/>
  <c r="AR105" i="18"/>
  <c r="AQ105" i="18"/>
  <c r="AQ55" i="18"/>
  <c r="J9" i="20"/>
  <c r="K8" i="20"/>
  <c r="O8" i="20" s="1"/>
  <c r="Y8" i="20" s="1"/>
  <c r="Y7" i="20"/>
  <c r="L78" i="27"/>
  <c r="AI6" i="20"/>
  <c r="AI7" i="20"/>
  <c r="AF8" i="20"/>
  <c r="AI8" i="20" s="1"/>
  <c r="S86" i="21"/>
  <c r="T86" i="21" s="1"/>
  <c r="X86" i="21" s="1"/>
  <c r="Y86" i="21" s="1"/>
  <c r="R87" i="21"/>
  <c r="AF89" i="21"/>
  <c r="AI88" i="21"/>
  <c r="R9" i="20"/>
  <c r="S9" i="20" s="1"/>
  <c r="X189" i="13"/>
  <c r="X184" i="13"/>
  <c r="X173" i="13"/>
  <c r="X166" i="13"/>
  <c r="X181" i="13"/>
  <c r="X188" i="13"/>
  <c r="O6" i="13"/>
  <c r="AG75" i="18"/>
  <c r="AG76" i="18" s="1"/>
  <c r="AG77" i="18" s="1"/>
  <c r="AG78" i="18" s="1"/>
  <c r="AG79" i="18" s="1"/>
  <c r="AG80" i="18" s="1"/>
  <c r="AG81" i="18" s="1"/>
  <c r="AG82" i="18" s="1"/>
  <c r="AG83" i="18" s="1"/>
  <c r="AG84" i="18" s="1"/>
  <c r="AG85" i="18" s="1"/>
  <c r="AG86" i="18" s="1"/>
  <c r="AG87" i="18" s="1"/>
  <c r="AG88" i="18" s="1"/>
  <c r="AG89" i="18" s="1"/>
  <c r="AG90" i="18" s="1"/>
  <c r="AG91" i="18" s="1"/>
  <c r="AG92" i="18" s="1"/>
  <c r="AG93" i="18" s="1"/>
  <c r="AG94" i="18" s="1"/>
  <c r="AG95" i="18" s="1"/>
  <c r="AG96" i="18" s="1"/>
  <c r="AG97" i="18" s="1"/>
  <c r="AG98" i="18" s="1"/>
  <c r="AG99" i="18" s="1"/>
  <c r="AG100" i="18" s="1"/>
  <c r="AG101" i="18" s="1"/>
  <c r="AG102" i="18" s="1"/>
  <c r="AG103" i="18" s="1"/>
  <c r="AG104" i="18" s="1"/>
  <c r="AG105" i="18" s="1"/>
  <c r="AG106" i="18" s="1"/>
  <c r="AG107" i="18" s="1"/>
  <c r="AG108" i="18" s="1"/>
  <c r="AG109" i="18" s="1"/>
  <c r="AG110" i="18" s="1"/>
  <c r="AG111" i="18" s="1"/>
  <c r="AG112" i="18" s="1"/>
  <c r="AG113" i="18" s="1"/>
  <c r="AG114" i="18" s="1"/>
  <c r="AG115" i="18" s="1"/>
  <c r="AG116" i="18" s="1"/>
  <c r="AG117" i="18" s="1"/>
  <c r="AG118" i="18" s="1"/>
  <c r="AG119" i="18" s="1"/>
  <c r="AG120" i="18" s="1"/>
  <c r="AG121" i="18" s="1"/>
  <c r="AG122" i="18" s="1"/>
  <c r="AG123" i="18" s="1"/>
  <c r="AG124" i="18" s="1"/>
  <c r="AG125" i="18" s="1"/>
  <c r="AG126" i="18" s="1"/>
  <c r="AG127" i="18" s="1"/>
  <c r="AG128" i="18" s="1"/>
  <c r="AG129" i="18" s="1"/>
  <c r="AG130" i="18" s="1"/>
  <c r="AG131" i="18" s="1"/>
  <c r="AG132" i="18" s="1"/>
  <c r="AG133" i="18" s="1"/>
  <c r="AG134" i="18" s="1"/>
  <c r="AG135" i="18" s="1"/>
  <c r="AG136" i="18" s="1"/>
  <c r="AG137" i="18" s="1"/>
  <c r="AG138" i="18" s="1"/>
  <c r="AG139" i="18" s="1"/>
  <c r="AG140" i="18" s="1"/>
  <c r="AG141" i="18" s="1"/>
  <c r="AG142" i="18" s="1"/>
  <c r="AG143" i="18" s="1"/>
  <c r="AG144" i="18" s="1"/>
  <c r="AG145" i="18" s="1"/>
  <c r="AG146" i="18" s="1"/>
  <c r="AG147" i="18" s="1"/>
  <c r="AG148" i="18" s="1"/>
  <c r="AG149" i="18" s="1"/>
  <c r="AG150" i="18" s="1"/>
  <c r="AG151" i="18" s="1"/>
  <c r="AG152" i="18" s="1"/>
  <c r="AG153" i="18" s="1"/>
  <c r="AG154" i="18" s="1"/>
  <c r="AG155" i="18" s="1"/>
  <c r="AG156" i="18" s="1"/>
  <c r="AG157" i="18" s="1"/>
  <c r="AG158" i="18" s="1"/>
  <c r="AG159" i="18" s="1"/>
  <c r="AG160" i="18" s="1"/>
  <c r="AG161" i="18" s="1"/>
  <c r="AG162" i="18" s="1"/>
  <c r="AG163" i="18" s="1"/>
  <c r="AG164" i="18" s="1"/>
  <c r="AG165" i="18" s="1"/>
  <c r="AG166" i="18" s="1"/>
  <c r="AG167" i="18" s="1"/>
  <c r="AG168" i="18" s="1"/>
  <c r="AG169" i="18" s="1"/>
  <c r="AG170" i="18" s="1"/>
  <c r="AG171" i="18" s="1"/>
  <c r="AG172" i="18" s="1"/>
  <c r="AG173" i="18" s="1"/>
  <c r="AG174" i="18" s="1"/>
  <c r="AG175" i="18" s="1"/>
  <c r="AG176" i="18" s="1"/>
  <c r="AG177" i="18" s="1"/>
  <c r="AG178" i="18" s="1"/>
  <c r="AG179" i="18" s="1"/>
  <c r="AG180" i="18" s="1"/>
  <c r="AG181" i="18" s="1"/>
  <c r="AG182" i="18" s="1"/>
  <c r="AG183" i="18" s="1"/>
  <c r="AG184" i="18" s="1"/>
  <c r="AG185" i="18" s="1"/>
  <c r="AG186" i="18" s="1"/>
  <c r="AG187" i="18" s="1"/>
  <c r="AG188" i="18" s="1"/>
  <c r="AG189" i="18" s="1"/>
  <c r="AG190" i="18" s="1"/>
  <c r="AG191" i="18" s="1"/>
  <c r="AG192" i="18" s="1"/>
  <c r="AG193" i="18" s="1"/>
  <c r="AG194" i="18" s="1"/>
  <c r="AG195" i="18" s="1"/>
  <c r="AG196" i="18" s="1"/>
  <c r="AG197" i="18" s="1"/>
  <c r="AG198" i="18" s="1"/>
  <c r="AG199" i="18" s="1"/>
  <c r="AG200" i="18" s="1"/>
  <c r="AG201" i="18" s="1"/>
  <c r="AG202" i="18" s="1"/>
  <c r="AG203" i="18" s="1"/>
  <c r="AG204" i="18" s="1"/>
  <c r="AG205" i="18" s="1"/>
  <c r="K8" i="26"/>
  <c r="O8" i="26" s="1"/>
  <c r="J9" i="26"/>
  <c r="S8" i="26"/>
  <c r="T8" i="26" s="1"/>
  <c r="X8" i="26" s="1"/>
  <c r="R9" i="26"/>
  <c r="T7" i="26"/>
  <c r="X7" i="26" s="1"/>
  <c r="B97" i="27"/>
  <c r="B96" i="27"/>
  <c r="L95" i="27"/>
  <c r="L80" i="27"/>
  <c r="R10" i="20"/>
  <c r="X199" i="13"/>
  <c r="X202" i="13"/>
  <c r="X182" i="13"/>
  <c r="X177" i="13"/>
  <c r="X196" i="13"/>
  <c r="X170" i="13"/>
  <c r="X180" i="13"/>
  <c r="X191" i="13"/>
  <c r="X183" i="13"/>
  <c r="X185" i="13"/>
  <c r="X186" i="13"/>
  <c r="X204" i="13"/>
  <c r="X176" i="13"/>
  <c r="X195" i="13"/>
  <c r="X198" i="13"/>
  <c r="X190" i="13"/>
  <c r="X174" i="13"/>
  <c r="X192" i="13"/>
  <c r="X168" i="13"/>
  <c r="X187" i="13"/>
  <c r="X194" i="13"/>
  <c r="X200" i="13"/>
  <c r="L39" i="27"/>
  <c r="W21" i="27"/>
  <c r="Y21" i="27"/>
  <c r="V145" i="27"/>
  <c r="V144" i="27"/>
  <c r="V155" i="27"/>
  <c r="V138" i="27"/>
  <c r="V124" i="27"/>
  <c r="V149" i="27"/>
  <c r="V143" i="27"/>
  <c r="V131" i="27"/>
  <c r="V140" i="27"/>
  <c r="X21" i="27"/>
  <c r="V166" i="27"/>
  <c r="V156" i="27"/>
  <c r="V113" i="27"/>
  <c r="V170" i="27"/>
  <c r="V158" i="27"/>
  <c r="V117" i="27"/>
  <c r="V118" i="27"/>
  <c r="V123" i="27"/>
  <c r="V150" i="27"/>
  <c r="V135" i="27"/>
  <c r="V128" i="27"/>
  <c r="V126" i="27"/>
  <c r="V151" i="27"/>
  <c r="V160" i="27"/>
  <c r="V125" i="27"/>
  <c r="V152" i="27"/>
  <c r="V133" i="27"/>
  <c r="V114" i="27"/>
  <c r="V169" i="27"/>
  <c r="V162" i="27"/>
  <c r="V137" i="27"/>
  <c r="V132" i="27"/>
  <c r="V161" i="27"/>
  <c r="V139" i="27"/>
  <c r="V129" i="27"/>
  <c r="V164" i="27"/>
  <c r="V115" i="27"/>
  <c r="V147" i="27"/>
  <c r="V159" i="27"/>
  <c r="V146" i="27"/>
  <c r="V153" i="27"/>
  <c r="V116" i="27"/>
  <c r="V122" i="27"/>
  <c r="V119" i="27"/>
  <c r="V163" i="27"/>
  <c r="V127" i="27"/>
  <c r="V142" i="27"/>
  <c r="V165" i="27"/>
  <c r="V157" i="27"/>
  <c r="V136" i="27"/>
  <c r="V167" i="27"/>
  <c r="V112" i="27"/>
  <c r="V154" i="27"/>
  <c r="V120" i="27"/>
  <c r="V134" i="27"/>
  <c r="V148" i="27"/>
  <c r="V168" i="27"/>
  <c r="V130" i="27"/>
  <c r="Z21" i="27"/>
  <c r="AI6" i="18"/>
  <c r="AI9" i="18"/>
  <c r="AI7" i="18"/>
  <c r="AI8" i="18"/>
  <c r="L23" i="27"/>
  <c r="L57" i="27"/>
  <c r="B59" i="27"/>
  <c r="J58" i="27"/>
  <c r="K58" i="27"/>
  <c r="H58" i="27"/>
  <c r="I58" i="27"/>
  <c r="Q165" i="13"/>
  <c r="C95" i="13"/>
  <c r="Q126" i="13"/>
  <c r="Q130" i="13"/>
  <c r="Q134" i="13"/>
  <c r="Q138" i="13"/>
  <c r="Q142" i="13"/>
  <c r="Q146" i="13"/>
  <c r="Q13" i="13"/>
  <c r="Q29" i="13"/>
  <c r="Q45" i="13"/>
  <c r="Q61" i="13"/>
  <c r="Q77" i="13"/>
  <c r="Q93" i="13"/>
  <c r="Q12" i="13"/>
  <c r="Q28" i="13"/>
  <c r="Q44" i="13"/>
  <c r="Q60" i="13"/>
  <c r="Q76" i="13"/>
  <c r="Q92" i="13"/>
  <c r="Q11" i="13"/>
  <c r="Q27" i="13"/>
  <c r="Q43" i="13"/>
  <c r="Q59" i="13"/>
  <c r="Q75" i="13"/>
  <c r="Q18" i="13"/>
  <c r="Q113" i="13"/>
  <c r="Q22" i="13"/>
  <c r="Q120" i="13"/>
  <c r="Q42" i="13"/>
  <c r="Q102" i="13"/>
  <c r="Q119" i="13"/>
  <c r="Q14" i="13"/>
  <c r="Q123" i="13"/>
  <c r="Q94" i="13"/>
  <c r="Q110" i="13"/>
  <c r="Q133" i="13"/>
  <c r="Q141" i="13"/>
  <c r="Q127" i="13"/>
  <c r="Q131" i="13"/>
  <c r="Q135" i="13"/>
  <c r="Q139" i="13"/>
  <c r="Q143" i="13"/>
  <c r="Q17" i="13"/>
  <c r="Q33" i="13"/>
  <c r="Q49" i="13"/>
  <c r="Q65" i="13"/>
  <c r="Q81" i="13"/>
  <c r="Q97" i="13"/>
  <c r="Q16" i="13"/>
  <c r="Q32" i="13"/>
  <c r="Q48" i="13"/>
  <c r="Q64" i="13"/>
  <c r="Q80" i="13"/>
  <c r="Q96" i="13"/>
  <c r="Q15" i="13"/>
  <c r="Q31" i="13"/>
  <c r="Q47" i="13"/>
  <c r="Q63" i="13"/>
  <c r="Q79" i="13"/>
  <c r="Q95" i="13"/>
  <c r="Q34" i="13"/>
  <c r="Q98" i="13"/>
  <c r="Q117" i="13"/>
  <c r="Q38" i="13"/>
  <c r="Q108" i="13"/>
  <c r="Q124" i="13"/>
  <c r="Q58" i="13"/>
  <c r="Q107" i="13"/>
  <c r="Q62" i="13"/>
  <c r="Q78" i="13"/>
  <c r="Q46" i="13"/>
  <c r="Q106" i="13"/>
  <c r="Q118" i="13"/>
  <c r="Q129" i="13"/>
  <c r="Q145" i="13"/>
  <c r="Q9" i="13"/>
  <c r="Q128" i="13"/>
  <c r="Q132" i="13"/>
  <c r="Q136" i="13"/>
  <c r="Q140" i="13"/>
  <c r="Q144" i="13"/>
  <c r="Q6" i="13"/>
  <c r="Q21" i="13"/>
  <c r="Q37" i="13"/>
  <c r="Q53" i="13"/>
  <c r="Q69" i="13"/>
  <c r="Q101" i="13"/>
  <c r="Q20" i="13"/>
  <c r="Q36" i="13"/>
  <c r="Q52" i="13"/>
  <c r="Q68" i="13"/>
  <c r="Q100" i="13"/>
  <c r="Q19" i="13"/>
  <c r="Q35" i="13"/>
  <c r="Q51" i="13"/>
  <c r="Q67" i="13"/>
  <c r="Q99" i="13"/>
  <c r="Q50" i="13"/>
  <c r="Q105" i="13"/>
  <c r="Q121" i="13"/>
  <c r="Q54" i="13"/>
  <c r="Q112" i="13"/>
  <c r="Q10" i="13"/>
  <c r="Q74" i="13"/>
  <c r="Q111" i="13"/>
  <c r="Q114" i="13"/>
  <c r="Q137" i="13"/>
  <c r="Q25" i="13"/>
  <c r="Q56" i="13"/>
  <c r="Q23" i="13"/>
  <c r="Q125" i="13"/>
  <c r="Q30" i="13"/>
  <c r="Q40" i="13"/>
  <c r="Q71" i="13"/>
  <c r="Q26" i="13"/>
  <c r="Q41" i="13"/>
  <c r="Q8" i="13"/>
  <c r="Q72" i="13"/>
  <c r="Q39" i="13"/>
  <c r="Q103" i="13"/>
  <c r="Q70" i="13"/>
  <c r="Q115" i="13"/>
  <c r="Q73" i="13"/>
  <c r="Q109" i="13"/>
  <c r="Q122" i="13"/>
  <c r="Q57" i="13"/>
  <c r="Q24" i="13"/>
  <c r="Q55" i="13"/>
  <c r="Q66" i="13"/>
  <c r="Q116" i="13"/>
  <c r="Q104" i="13"/>
  <c r="Q7" i="13"/>
  <c r="Q149" i="13"/>
  <c r="AF7" i="13"/>
  <c r="AI6" i="13"/>
  <c r="K7" i="13"/>
  <c r="J8" i="13"/>
  <c r="Y6" i="18"/>
  <c r="K9" i="19"/>
  <c r="O9" i="19" s="1"/>
  <c r="J10" i="19"/>
  <c r="R8" i="18"/>
  <c r="S7" i="18"/>
  <c r="T7" i="18" s="1"/>
  <c r="X7" i="18" s="1"/>
  <c r="K7" i="18"/>
  <c r="O7" i="18" s="1"/>
  <c r="J8" i="18"/>
  <c r="AF13" i="18"/>
  <c r="AH11" i="18"/>
  <c r="AI10" i="18"/>
  <c r="AB105" i="13" l="1"/>
  <c r="AL105" i="13"/>
  <c r="K9" i="20"/>
  <c r="J10" i="20"/>
  <c r="O9" i="20"/>
  <c r="AL55" i="13"/>
  <c r="AB55" i="13"/>
  <c r="Q85" i="13"/>
  <c r="Q84" i="13"/>
  <c r="Q83" i="13"/>
  <c r="Q82" i="13"/>
  <c r="AF9" i="20"/>
  <c r="AI9" i="20" s="1"/>
  <c r="Q86" i="13"/>
  <c r="Q88" i="13"/>
  <c r="Q91" i="13"/>
  <c r="S87" i="21"/>
  <c r="T87" i="21" s="1"/>
  <c r="X87" i="21" s="1"/>
  <c r="Y87" i="21" s="1"/>
  <c r="R88" i="21"/>
  <c r="AF90" i="21"/>
  <c r="AI89" i="21"/>
  <c r="Q87" i="13"/>
  <c r="Q89" i="13"/>
  <c r="Q90" i="13"/>
  <c r="O7" i="13"/>
  <c r="Y8" i="26"/>
  <c r="J10" i="26"/>
  <c r="K9" i="26"/>
  <c r="O9" i="26" s="1"/>
  <c r="Y7" i="26"/>
  <c r="S9" i="26"/>
  <c r="T9" i="26" s="1"/>
  <c r="X9" i="26" s="1"/>
  <c r="R10" i="26"/>
  <c r="H96" i="27"/>
  <c r="I96" i="27"/>
  <c r="J96" i="27"/>
  <c r="K96" i="27"/>
  <c r="I97" i="27"/>
  <c r="J97" i="27"/>
  <c r="K97" i="27"/>
  <c r="H97" i="27"/>
  <c r="AE13" i="26"/>
  <c r="AN5" i="26"/>
  <c r="AP5" i="26"/>
  <c r="AO5" i="26"/>
  <c r="S10" i="20"/>
  <c r="T10" i="20" s="1"/>
  <c r="X10" i="20" s="1"/>
  <c r="R11" i="20"/>
  <c r="T9" i="20"/>
  <c r="X9" i="20" s="1"/>
  <c r="R6" i="13"/>
  <c r="R7" i="13" s="1"/>
  <c r="V21" i="27"/>
  <c r="AL155" i="13"/>
  <c r="AB155" i="13"/>
  <c r="Q163" i="13"/>
  <c r="Q153" i="13"/>
  <c r="Q162" i="13"/>
  <c r="Q152" i="13"/>
  <c r="Q159" i="13"/>
  <c r="Q160" i="13"/>
  <c r="Q164" i="13"/>
  <c r="Q161" i="13"/>
  <c r="Q147" i="13"/>
  <c r="Q154" i="13"/>
  <c r="L58" i="27"/>
  <c r="B60" i="27"/>
  <c r="J59" i="27"/>
  <c r="K59" i="27"/>
  <c r="H59" i="27"/>
  <c r="I59" i="27"/>
  <c r="Q157" i="13"/>
  <c r="Q150" i="13"/>
  <c r="AB165" i="13"/>
  <c r="C35" i="27"/>
  <c r="L35" i="27" s="1"/>
  <c r="H95" i="13"/>
  <c r="Q148" i="13"/>
  <c r="Q155" i="13"/>
  <c r="Q158" i="13"/>
  <c r="Q156" i="13"/>
  <c r="Q151" i="13"/>
  <c r="AI7" i="13"/>
  <c r="AF8" i="13"/>
  <c r="K8" i="13"/>
  <c r="J9" i="13"/>
  <c r="K10" i="19"/>
  <c r="O10" i="19" s="1"/>
  <c r="J11" i="19"/>
  <c r="R9" i="18"/>
  <c r="S8" i="18"/>
  <c r="T8" i="18" s="1"/>
  <c r="X8" i="18" s="1"/>
  <c r="Y7" i="18"/>
  <c r="K8" i="18"/>
  <c r="O8" i="18" s="1"/>
  <c r="J9" i="18"/>
  <c r="AH12" i="18"/>
  <c r="AI11" i="18"/>
  <c r="AF14" i="18"/>
  <c r="AF10" i="20" l="1"/>
  <c r="AR105" i="13"/>
  <c r="AQ105" i="13"/>
  <c r="AS105" i="13"/>
  <c r="AT105" i="13"/>
  <c r="K10" i="20"/>
  <c r="O10" i="20" s="1"/>
  <c r="Y10" i="20" s="1"/>
  <c r="J11" i="20"/>
  <c r="AG55" i="13"/>
  <c r="AG56" i="13" s="1"/>
  <c r="AG57" i="13" s="1"/>
  <c r="AG58" i="13" s="1"/>
  <c r="AG59" i="13" s="1"/>
  <c r="AG60" i="13" s="1"/>
  <c r="AG61" i="13" s="1"/>
  <c r="AG62" i="13" s="1"/>
  <c r="AG63" i="13" s="1"/>
  <c r="AG64" i="13" s="1"/>
  <c r="AG65" i="13" s="1"/>
  <c r="AG66" i="13" s="1"/>
  <c r="AG67" i="13" s="1"/>
  <c r="AG68" i="13" s="1"/>
  <c r="AG69" i="13" s="1"/>
  <c r="AG70" i="13" s="1"/>
  <c r="AG71" i="13" s="1"/>
  <c r="AG72" i="13" s="1"/>
  <c r="AG73" i="13" s="1"/>
  <c r="AG74" i="13" s="1"/>
  <c r="AG75" i="13" s="1"/>
  <c r="AG76" i="13" s="1"/>
  <c r="AG77" i="13" s="1"/>
  <c r="AG78" i="13" s="1"/>
  <c r="AG79" i="13" s="1"/>
  <c r="AG80" i="13" s="1"/>
  <c r="AG81" i="13" s="1"/>
  <c r="AG82" i="13" s="1"/>
  <c r="AG83" i="13" s="1"/>
  <c r="AG84" i="13" s="1"/>
  <c r="AG85" i="13" s="1"/>
  <c r="AG86" i="13" s="1"/>
  <c r="AG87" i="13" s="1"/>
  <c r="AG88" i="13" s="1"/>
  <c r="AG89" i="13" s="1"/>
  <c r="AG90" i="13" s="1"/>
  <c r="AG91" i="13" s="1"/>
  <c r="AG92" i="13" s="1"/>
  <c r="AG93" i="13" s="1"/>
  <c r="AG94" i="13" s="1"/>
  <c r="AG95" i="13" s="1"/>
  <c r="AG96" i="13" s="1"/>
  <c r="AG97" i="13" s="1"/>
  <c r="AG98" i="13" s="1"/>
  <c r="AG99" i="13" s="1"/>
  <c r="AG100" i="13" s="1"/>
  <c r="AG101" i="13" s="1"/>
  <c r="AG102" i="13" s="1"/>
  <c r="AG103" i="13" s="1"/>
  <c r="AG104" i="13" s="1"/>
  <c r="AG105" i="13" s="1"/>
  <c r="AG106" i="13" s="1"/>
  <c r="AG107" i="13" s="1"/>
  <c r="AG108" i="13" s="1"/>
  <c r="AG109" i="13" s="1"/>
  <c r="AG110" i="13" s="1"/>
  <c r="AG111" i="13" s="1"/>
  <c r="AG112" i="13" s="1"/>
  <c r="AG113" i="13" s="1"/>
  <c r="AG114" i="13" s="1"/>
  <c r="AG115" i="13" s="1"/>
  <c r="AG116" i="13" s="1"/>
  <c r="AG117" i="13" s="1"/>
  <c r="AG118" i="13" s="1"/>
  <c r="AG119" i="13" s="1"/>
  <c r="AG120" i="13" s="1"/>
  <c r="AG121" i="13" s="1"/>
  <c r="AG122" i="13" s="1"/>
  <c r="AG123" i="13" s="1"/>
  <c r="AG124" i="13" s="1"/>
  <c r="AG125" i="13" s="1"/>
  <c r="AG126" i="13" s="1"/>
  <c r="AG127" i="13" s="1"/>
  <c r="AG128" i="13" s="1"/>
  <c r="AG129" i="13" s="1"/>
  <c r="AG130" i="13" s="1"/>
  <c r="AG131" i="13" s="1"/>
  <c r="AG132" i="13" s="1"/>
  <c r="AG133" i="13" s="1"/>
  <c r="AG134" i="13" s="1"/>
  <c r="AG135" i="13" s="1"/>
  <c r="AG136" i="13" s="1"/>
  <c r="AG137" i="13" s="1"/>
  <c r="AG138" i="13" s="1"/>
  <c r="AG139" i="13" s="1"/>
  <c r="AG140" i="13" s="1"/>
  <c r="AG141" i="13" s="1"/>
  <c r="AG142" i="13" s="1"/>
  <c r="AG143" i="13" s="1"/>
  <c r="AG144" i="13" s="1"/>
  <c r="AG145" i="13" s="1"/>
  <c r="AG146" i="13" s="1"/>
  <c r="AG147" i="13" s="1"/>
  <c r="AG148" i="13" s="1"/>
  <c r="AG149" i="13" s="1"/>
  <c r="AG150" i="13" s="1"/>
  <c r="AG151" i="13" s="1"/>
  <c r="AG152" i="13" s="1"/>
  <c r="AG153" i="13" s="1"/>
  <c r="AG154" i="13" s="1"/>
  <c r="AH55" i="13"/>
  <c r="AH56" i="13" s="1"/>
  <c r="AH57" i="13" s="1"/>
  <c r="AH58" i="13" s="1"/>
  <c r="AH59" i="13" s="1"/>
  <c r="AH60" i="13" s="1"/>
  <c r="AH61" i="13" s="1"/>
  <c r="AH62" i="13" s="1"/>
  <c r="AH63" i="13" s="1"/>
  <c r="AH64" i="13" s="1"/>
  <c r="AH65" i="13" s="1"/>
  <c r="AH66" i="13" s="1"/>
  <c r="AH67" i="13" s="1"/>
  <c r="AH68" i="13" s="1"/>
  <c r="AH69" i="13" s="1"/>
  <c r="AH70" i="13" s="1"/>
  <c r="AH71" i="13" s="1"/>
  <c r="AH72" i="13" s="1"/>
  <c r="AH73" i="13" s="1"/>
  <c r="AH74" i="13" s="1"/>
  <c r="AH75" i="13" s="1"/>
  <c r="AH76" i="13" s="1"/>
  <c r="AH77" i="13" s="1"/>
  <c r="AH78" i="13" s="1"/>
  <c r="AH79" i="13" s="1"/>
  <c r="AH80" i="13" s="1"/>
  <c r="AH81" i="13" s="1"/>
  <c r="AH82" i="13" s="1"/>
  <c r="AH83" i="13" s="1"/>
  <c r="AH84" i="13" s="1"/>
  <c r="AH85" i="13" s="1"/>
  <c r="AH86" i="13" s="1"/>
  <c r="AH87" i="13" s="1"/>
  <c r="AH88" i="13" s="1"/>
  <c r="AH89" i="13" s="1"/>
  <c r="AH90" i="13" s="1"/>
  <c r="AH91" i="13" s="1"/>
  <c r="AH92" i="13" s="1"/>
  <c r="AH93" i="13" s="1"/>
  <c r="AH94" i="13" s="1"/>
  <c r="AH95" i="13" s="1"/>
  <c r="AH96" i="13" s="1"/>
  <c r="AH97" i="13" s="1"/>
  <c r="AH98" i="13" s="1"/>
  <c r="AH99" i="13" s="1"/>
  <c r="AH100" i="13" s="1"/>
  <c r="AH101" i="13" s="1"/>
  <c r="AH102" i="13" s="1"/>
  <c r="AH103" i="13" s="1"/>
  <c r="AH104" i="13" s="1"/>
  <c r="AH105" i="13" s="1"/>
  <c r="AH106" i="13" s="1"/>
  <c r="AH107" i="13" s="1"/>
  <c r="AH108" i="13" s="1"/>
  <c r="AH109" i="13" s="1"/>
  <c r="AH110" i="13" s="1"/>
  <c r="AH111" i="13" s="1"/>
  <c r="AH112" i="13" s="1"/>
  <c r="AH113" i="13" s="1"/>
  <c r="AH114" i="13" s="1"/>
  <c r="AH115" i="13" s="1"/>
  <c r="AH116" i="13" s="1"/>
  <c r="AH117" i="13" s="1"/>
  <c r="AH118" i="13" s="1"/>
  <c r="AH119" i="13" s="1"/>
  <c r="AH120" i="13" s="1"/>
  <c r="AH121" i="13" s="1"/>
  <c r="AH122" i="13" s="1"/>
  <c r="AH123" i="13" s="1"/>
  <c r="AH124" i="13" s="1"/>
  <c r="AH125" i="13" s="1"/>
  <c r="AH126" i="13" s="1"/>
  <c r="AH127" i="13" s="1"/>
  <c r="AH128" i="13" s="1"/>
  <c r="AH129" i="13" s="1"/>
  <c r="AH130" i="13" s="1"/>
  <c r="AH131" i="13" s="1"/>
  <c r="AH132" i="13" s="1"/>
  <c r="AH133" i="13" s="1"/>
  <c r="AH134" i="13" s="1"/>
  <c r="AH135" i="13" s="1"/>
  <c r="AH136" i="13" s="1"/>
  <c r="AH137" i="13" s="1"/>
  <c r="AH138" i="13" s="1"/>
  <c r="AH139" i="13" s="1"/>
  <c r="AH140" i="13" s="1"/>
  <c r="AH141" i="13" s="1"/>
  <c r="AH142" i="13" s="1"/>
  <c r="AH143" i="13" s="1"/>
  <c r="AH144" i="13" s="1"/>
  <c r="AH145" i="13" s="1"/>
  <c r="AH146" i="13" s="1"/>
  <c r="AH147" i="13" s="1"/>
  <c r="AH148" i="13" s="1"/>
  <c r="AH149" i="13" s="1"/>
  <c r="AH150" i="13" s="1"/>
  <c r="AH151" i="13" s="1"/>
  <c r="AH152" i="13" s="1"/>
  <c r="AH153" i="13" s="1"/>
  <c r="AH154" i="13" s="1"/>
  <c r="AR55" i="13"/>
  <c r="AT55" i="13"/>
  <c r="AS55" i="13"/>
  <c r="AQ55" i="13"/>
  <c r="R89" i="21"/>
  <c r="S88" i="21"/>
  <c r="T88" i="21" s="1"/>
  <c r="X88" i="21" s="1"/>
  <c r="Y88" i="21" s="1"/>
  <c r="AF91" i="21"/>
  <c r="AI90" i="21"/>
  <c r="O8" i="13"/>
  <c r="Y9" i="26"/>
  <c r="AN7" i="26"/>
  <c r="AD59" i="26"/>
  <c r="AB57" i="26"/>
  <c r="AB6" i="26"/>
  <c r="AM24" i="26"/>
  <c r="AD62" i="26"/>
  <c r="AO30" i="26"/>
  <c r="AD51" i="26"/>
  <c r="AM9" i="26"/>
  <c r="AD39" i="26"/>
  <c r="AD20" i="26"/>
  <c r="AD45" i="26"/>
  <c r="AE11" i="26"/>
  <c r="AN18" i="26"/>
  <c r="AE9" i="26"/>
  <c r="AE37" i="26"/>
  <c r="AM32" i="26"/>
  <c r="AL8" i="26"/>
  <c r="AP31" i="26"/>
  <c r="AB22" i="26"/>
  <c r="AP7" i="26"/>
  <c r="AD36" i="26"/>
  <c r="AN8" i="26"/>
  <c r="AO13" i="26"/>
  <c r="AB11" i="26"/>
  <c r="AC8" i="26"/>
  <c r="AC16" i="26"/>
  <c r="AE30" i="26"/>
  <c r="AC24" i="26"/>
  <c r="AL19" i="26"/>
  <c r="AE17" i="26"/>
  <c r="AC28" i="26"/>
  <c r="AE33" i="26"/>
  <c r="AM10" i="26"/>
  <c r="AE46" i="26"/>
  <c r="J11" i="26"/>
  <c r="K10" i="26"/>
  <c r="O10" i="26" s="1"/>
  <c r="AM21" i="26"/>
  <c r="AM18" i="26"/>
  <c r="AC58" i="26"/>
  <c r="AB51" i="26"/>
  <c r="AD21" i="26"/>
  <c r="AO32" i="26"/>
  <c r="AM13" i="26"/>
  <c r="AB16" i="26"/>
  <c r="AB42" i="26"/>
  <c r="AD17" i="26"/>
  <c r="AC64" i="26"/>
  <c r="AM30" i="26"/>
  <c r="AL15" i="26"/>
  <c r="AE16" i="26"/>
  <c r="AD9" i="26"/>
  <c r="AB59" i="26"/>
  <c r="AL21" i="26"/>
  <c r="AP12" i="26"/>
  <c r="AC13" i="26"/>
  <c r="AC48" i="26"/>
  <c r="AD28" i="26"/>
  <c r="AE63" i="26"/>
  <c r="AL9" i="26"/>
  <c r="AP9" i="26"/>
  <c r="AC7" i="26"/>
  <c r="AE44" i="26"/>
  <c r="AL14" i="26"/>
  <c r="AP24" i="26"/>
  <c r="AP25" i="26"/>
  <c r="AC20" i="26"/>
  <c r="AC55" i="26"/>
  <c r="AB34" i="26"/>
  <c r="AL34" i="26"/>
  <c r="AM6" i="26"/>
  <c r="AB43" i="26"/>
  <c r="AE49" i="26"/>
  <c r="AC15" i="26"/>
  <c r="AL10" i="26"/>
  <c r="AP17" i="26"/>
  <c r="AE52" i="26"/>
  <c r="AC11" i="26"/>
  <c r="AB44" i="26"/>
  <c r="AO21" i="26"/>
  <c r="AP16" i="26"/>
  <c r="AD16" i="26"/>
  <c r="AD43" i="26"/>
  <c r="AE64" i="26"/>
  <c r="AD37" i="26"/>
  <c r="AM19" i="26"/>
  <c r="AM14" i="26"/>
  <c r="AB10" i="26"/>
  <c r="AE60" i="26"/>
  <c r="AB12" i="26"/>
  <c r="AN27" i="26"/>
  <c r="AO16" i="26"/>
  <c r="AD19" i="26"/>
  <c r="AC37" i="26"/>
  <c r="AE15" i="26"/>
  <c r="AL22" i="26"/>
  <c r="AP34" i="26"/>
  <c r="AO7" i="26"/>
  <c r="AD57" i="26"/>
  <c r="AB13" i="26"/>
  <c r="AO27" i="26"/>
  <c r="AC62" i="26"/>
  <c r="AC44" i="26"/>
  <c r="AB61" i="26"/>
  <c r="AD55" i="26"/>
  <c r="AD40" i="26"/>
  <c r="AL32" i="26"/>
  <c r="AP21" i="26"/>
  <c r="AD54" i="26"/>
  <c r="AB32" i="26"/>
  <c r="AB21" i="26"/>
  <c r="AL16" i="26"/>
  <c r="AO15" i="26"/>
  <c r="AB54" i="26"/>
  <c r="AE7" i="26"/>
  <c r="AD50" i="26"/>
  <c r="AN30" i="26"/>
  <c r="AP27" i="26"/>
  <c r="AE19" i="26"/>
  <c r="AC31" i="26"/>
  <c r="AB36" i="26"/>
  <c r="S10" i="26"/>
  <c r="R11" i="26"/>
  <c r="AL25" i="26"/>
  <c r="AP13" i="26"/>
  <c r="AB62" i="26"/>
  <c r="AD31" i="26"/>
  <c r="AE31" i="26"/>
  <c r="AL28" i="26"/>
  <c r="AO18" i="26"/>
  <c r="AC34" i="26"/>
  <c r="AC60" i="26"/>
  <c r="AB37" i="26"/>
  <c r="AO28" i="26"/>
  <c r="AM7" i="26"/>
  <c r="AC12" i="26"/>
  <c r="AC21" i="26"/>
  <c r="AC61" i="26"/>
  <c r="AN34" i="26"/>
  <c r="AP8" i="26"/>
  <c r="AE18" i="26"/>
  <c r="AE56" i="26"/>
  <c r="AE22" i="26"/>
  <c r="AL6" i="26"/>
  <c r="AY6" i="26" s="1"/>
  <c r="AP19" i="26"/>
  <c r="AN17" i="26"/>
  <c r="AB55" i="26"/>
  <c r="AD42" i="26"/>
  <c r="AD10" i="26"/>
  <c r="AO33" i="26"/>
  <c r="AM15" i="26"/>
  <c r="AC19" i="26"/>
  <c r="AE62" i="26"/>
  <c r="AC33" i="26"/>
  <c r="AC30" i="26"/>
  <c r="AN19" i="26"/>
  <c r="AL31" i="26"/>
  <c r="AB39" i="26"/>
  <c r="AD61" i="26"/>
  <c r="AD46" i="26"/>
  <c r="AE14" i="26"/>
  <c r="AO11" i="26"/>
  <c r="AB24" i="26"/>
  <c r="AB63" i="26"/>
  <c r="AC42" i="26"/>
  <c r="AM28" i="26"/>
  <c r="AP20" i="26"/>
  <c r="AE58" i="26"/>
  <c r="AE43" i="26"/>
  <c r="AE36" i="26"/>
  <c r="AL13" i="26"/>
  <c r="AP10" i="26"/>
  <c r="AC50" i="26"/>
  <c r="AE12" i="26"/>
  <c r="AD64" i="26"/>
  <c r="AN24" i="26"/>
  <c r="AO12" i="26"/>
  <c r="AB19" i="26"/>
  <c r="AE61" i="26"/>
  <c r="AD7" i="26"/>
  <c r="AO25" i="26"/>
  <c r="AP33" i="26"/>
  <c r="AE8" i="26"/>
  <c r="AE39" i="26"/>
  <c r="AC18" i="26"/>
  <c r="AN32" i="26"/>
  <c r="AP28" i="26"/>
  <c r="AE54" i="26"/>
  <c r="AD18" i="26"/>
  <c r="AE45" i="26"/>
  <c r="AB64" i="26"/>
  <c r="AM33" i="26"/>
  <c r="AP22" i="26"/>
  <c r="AD49" i="26"/>
  <c r="AB28" i="26"/>
  <c r="AC56" i="26"/>
  <c r="AD63" i="26"/>
  <c r="AN21" i="26"/>
  <c r="AP30" i="26"/>
  <c r="AD48" i="26"/>
  <c r="AD12" i="26"/>
  <c r="AE25" i="26"/>
  <c r="AB8" i="26"/>
  <c r="AM22" i="26"/>
  <c r="AN10" i="26"/>
  <c r="AB40" i="26"/>
  <c r="AE24" i="26"/>
  <c r="AD14" i="26"/>
  <c r="AC38" i="26"/>
  <c r="AD15" i="26"/>
  <c r="AE59" i="26"/>
  <c r="AC51" i="26"/>
  <c r="AB15" i="26"/>
  <c r="AL18" i="26"/>
  <c r="AB14" i="26"/>
  <c r="AB17" i="26"/>
  <c r="AO24" i="26"/>
  <c r="AM17" i="26"/>
  <c r="AO8" i="26"/>
  <c r="AN13" i="26"/>
  <c r="AD27" i="26"/>
  <c r="AC14" i="26"/>
  <c r="AE6" i="26"/>
  <c r="AH6" i="26" s="1"/>
  <c r="AO34" i="26"/>
  <c r="AL24" i="26"/>
  <c r="AN9" i="26"/>
  <c r="AO17" i="26"/>
  <c r="AC17" i="26"/>
  <c r="AD38" i="26"/>
  <c r="AD11" i="26"/>
  <c r="AC63" i="26"/>
  <c r="AO22" i="26"/>
  <c r="AO19" i="26"/>
  <c r="AB33" i="26"/>
  <c r="AB48" i="26"/>
  <c r="AE28" i="26"/>
  <c r="AB49" i="26"/>
  <c r="AM31" i="26"/>
  <c r="AN6" i="26"/>
  <c r="AC52" i="26"/>
  <c r="AC25" i="26"/>
  <c r="AC22" i="26"/>
  <c r="AO31" i="26"/>
  <c r="AM11" i="26"/>
  <c r="AB52" i="26"/>
  <c r="AD32" i="26"/>
  <c r="AE51" i="26"/>
  <c r="AE40" i="26"/>
  <c r="AL27" i="26"/>
  <c r="AM12" i="26"/>
  <c r="AC45" i="26"/>
  <c r="AB38" i="26"/>
  <c r="AC9" i="26"/>
  <c r="AN25" i="26"/>
  <c r="AO14" i="26"/>
  <c r="AE48" i="26"/>
  <c r="AD44" i="26"/>
  <c r="AC32" i="26"/>
  <c r="AL12" i="26"/>
  <c r="AN14" i="26"/>
  <c r="AB20" i="26"/>
  <c r="AB9" i="26"/>
  <c r="AE55" i="26"/>
  <c r="AN33" i="26"/>
  <c r="AP6" i="26"/>
  <c r="AC6" i="26"/>
  <c r="AF6" i="26" s="1"/>
  <c r="AB31" i="26"/>
  <c r="AE50" i="26"/>
  <c r="AN31" i="26"/>
  <c r="AP32" i="26"/>
  <c r="AD34" i="26"/>
  <c r="AD56" i="26"/>
  <c r="AC46" i="26"/>
  <c r="AM20" i="26"/>
  <c r="AM16" i="26"/>
  <c r="AE34" i="26"/>
  <c r="AE20" i="26"/>
  <c r="AD13" i="26"/>
  <c r="AO20" i="26"/>
  <c r="AP14" i="26"/>
  <c r="AD58" i="26"/>
  <c r="AC10" i="26"/>
  <c r="AC43" i="26"/>
  <c r="AD8" i="26"/>
  <c r="AL17" i="26"/>
  <c r="AP11" i="26"/>
  <c r="AD52" i="26"/>
  <c r="AE10" i="26"/>
  <c r="AC36" i="26"/>
  <c r="AL20" i="26"/>
  <c r="AN16" i="26"/>
  <c r="AE57" i="26"/>
  <c r="AE32" i="26"/>
  <c r="AD25" i="26"/>
  <c r="AM25" i="26"/>
  <c r="AN11" i="26"/>
  <c r="AD24" i="26"/>
  <c r="AB56" i="26"/>
  <c r="AB46" i="26"/>
  <c r="AN22" i="26"/>
  <c r="AO10" i="26"/>
  <c r="AC59" i="26"/>
  <c r="AC54" i="26"/>
  <c r="AE42" i="26"/>
  <c r="AN20" i="26"/>
  <c r="AO6" i="26"/>
  <c r="AC27" i="26"/>
  <c r="AD6" i="26"/>
  <c r="AG6" i="26" s="1"/>
  <c r="AB58" i="26"/>
  <c r="AL33" i="26"/>
  <c r="AP15" i="26"/>
  <c r="AB27" i="26"/>
  <c r="AC49" i="26"/>
  <c r="AD30" i="26"/>
  <c r="AN28" i="26"/>
  <c r="AP18" i="26"/>
  <c r="AC40" i="26"/>
  <c r="AB25" i="26"/>
  <c r="AD22" i="26"/>
  <c r="AL30" i="26"/>
  <c r="AL7" i="26"/>
  <c r="AO9" i="26"/>
  <c r="AE38" i="26"/>
  <c r="AD33" i="26"/>
  <c r="AM27" i="26"/>
  <c r="AN15" i="26"/>
  <c r="AC39" i="26"/>
  <c r="AB18" i="26"/>
  <c r="AB7" i="26"/>
  <c r="AL11" i="26"/>
  <c r="AM8" i="26"/>
  <c r="AE27" i="26"/>
  <c r="AD60" i="26"/>
  <c r="AE21" i="26"/>
  <c r="AM34" i="26"/>
  <c r="AN12" i="26"/>
  <c r="AC57" i="26"/>
  <c r="AB30" i="26"/>
  <c r="L97" i="27"/>
  <c r="B98" i="27"/>
  <c r="AE5" i="26"/>
  <c r="AM5" i="26"/>
  <c r="AD5" i="26"/>
  <c r="AC5" i="26"/>
  <c r="L96" i="27"/>
  <c r="Y9" i="20"/>
  <c r="S11" i="20"/>
  <c r="T11" i="20" s="1"/>
  <c r="X11" i="20" s="1"/>
  <c r="R12" i="20"/>
  <c r="AF11" i="20"/>
  <c r="AI10" i="20"/>
  <c r="S7" i="13"/>
  <c r="R8" i="13"/>
  <c r="R9" i="13" s="1"/>
  <c r="S6" i="13"/>
  <c r="AG155" i="13"/>
  <c r="AG156" i="13" s="1"/>
  <c r="AG157" i="13" s="1"/>
  <c r="AG158" i="13" s="1"/>
  <c r="AG159" i="13" s="1"/>
  <c r="AG160" i="13" s="1"/>
  <c r="AG161" i="13" s="1"/>
  <c r="AG162" i="13" s="1"/>
  <c r="AG163" i="13" s="1"/>
  <c r="AG164" i="13" s="1"/>
  <c r="AH155" i="13"/>
  <c r="AH156" i="13" s="1"/>
  <c r="AH157" i="13" s="1"/>
  <c r="AH158" i="13" s="1"/>
  <c r="AH159" i="13" s="1"/>
  <c r="AH160" i="13" s="1"/>
  <c r="AH161" i="13" s="1"/>
  <c r="AH162" i="13" s="1"/>
  <c r="AH163" i="13" s="1"/>
  <c r="AH164" i="13" s="1"/>
  <c r="AT155" i="13"/>
  <c r="Z171" i="27" s="1"/>
  <c r="AR155" i="13"/>
  <c r="X171" i="27" s="1"/>
  <c r="AS155" i="13"/>
  <c r="Y171" i="27" s="1"/>
  <c r="AQ155" i="13"/>
  <c r="W171" i="27" s="1"/>
  <c r="L59" i="27"/>
  <c r="I60" i="27"/>
  <c r="K60" i="27"/>
  <c r="J60" i="27"/>
  <c r="H60" i="27"/>
  <c r="AH165" i="13"/>
  <c r="AG165" i="13"/>
  <c r="AF9" i="13"/>
  <c r="AI8" i="13"/>
  <c r="K9" i="13"/>
  <c r="J10" i="13"/>
  <c r="K11" i="19"/>
  <c r="O11" i="19" s="1"/>
  <c r="J12" i="19"/>
  <c r="Y8" i="18"/>
  <c r="R10" i="18"/>
  <c r="S9" i="18"/>
  <c r="T9" i="18" s="1"/>
  <c r="X9" i="18" s="1"/>
  <c r="K9" i="18"/>
  <c r="O9" i="18" s="1"/>
  <c r="J10" i="18"/>
  <c r="AF15" i="18"/>
  <c r="AH13" i="18"/>
  <c r="AI12" i="18"/>
  <c r="AY7" i="26" l="1"/>
  <c r="AY8" i="26" s="1"/>
  <c r="AY9" i="26" s="1"/>
  <c r="AY10" i="26" s="1"/>
  <c r="AY11" i="26" s="1"/>
  <c r="AY12" i="26" s="1"/>
  <c r="AY13" i="26" s="1"/>
  <c r="AY14" i="26" s="1"/>
  <c r="AY15" i="26" s="1"/>
  <c r="AY16" i="26" s="1"/>
  <c r="AY17" i="26" s="1"/>
  <c r="AY18" i="26" s="1"/>
  <c r="AY19" i="26" s="1"/>
  <c r="AY20" i="26" s="1"/>
  <c r="AY21" i="26" s="1"/>
  <c r="AY22" i="26" s="1"/>
  <c r="AY23" i="26" s="1"/>
  <c r="AY24" i="26" s="1"/>
  <c r="AY25" i="26" s="1"/>
  <c r="AY26" i="26" s="1"/>
  <c r="AY27" i="26" s="1"/>
  <c r="AY28" i="26" s="1"/>
  <c r="AY29" i="26" s="1"/>
  <c r="AY30" i="26" s="1"/>
  <c r="AY31" i="26" s="1"/>
  <c r="AY32" i="26" s="1"/>
  <c r="AY33" i="26" s="1"/>
  <c r="AY34" i="26" s="1"/>
  <c r="AY35" i="26" s="1"/>
  <c r="C123" i="26" s="1"/>
  <c r="K11" i="20"/>
  <c r="O11" i="20" s="1"/>
  <c r="Y11" i="20" s="1"/>
  <c r="J12" i="20"/>
  <c r="R90" i="21"/>
  <c r="S89" i="21"/>
  <c r="T89" i="21" s="1"/>
  <c r="X89" i="21" s="1"/>
  <c r="Y89" i="21" s="1"/>
  <c r="AI91" i="21"/>
  <c r="AF92" i="21"/>
  <c r="O9" i="13"/>
  <c r="AQ19" i="26"/>
  <c r="AR19" i="26"/>
  <c r="AS19" i="26"/>
  <c r="AT19" i="26"/>
  <c r="AG7" i="26"/>
  <c r="AG8" i="26" s="1"/>
  <c r="AG9" i="26" s="1"/>
  <c r="AG10" i="26" s="1"/>
  <c r="AG11" i="26" s="1"/>
  <c r="AG12" i="26" s="1"/>
  <c r="AG13" i="26" s="1"/>
  <c r="AG14" i="26" s="1"/>
  <c r="AG15" i="26" s="1"/>
  <c r="AG16" i="26" s="1"/>
  <c r="AG17" i="26" s="1"/>
  <c r="AG18" i="26" s="1"/>
  <c r="AG19" i="26" s="1"/>
  <c r="AG20" i="26" s="1"/>
  <c r="AG21" i="26" s="1"/>
  <c r="AG22" i="26" s="1"/>
  <c r="AG23" i="26" s="1"/>
  <c r="AG24" i="26" s="1"/>
  <c r="AG25" i="26" s="1"/>
  <c r="AG26" i="26" s="1"/>
  <c r="AG27" i="26" s="1"/>
  <c r="AG28" i="26" s="1"/>
  <c r="AG29" i="26" s="1"/>
  <c r="AG30" i="26" s="1"/>
  <c r="AG31" i="26" s="1"/>
  <c r="AG32" i="26" s="1"/>
  <c r="AG33" i="26" s="1"/>
  <c r="AG34" i="26" s="1"/>
  <c r="AG35" i="26" s="1"/>
  <c r="AG36" i="26" s="1"/>
  <c r="AG37" i="26" s="1"/>
  <c r="AG38" i="26" s="1"/>
  <c r="AG39" i="26" s="1"/>
  <c r="AG40" i="26" s="1"/>
  <c r="AG41" i="26" s="1"/>
  <c r="AG42" i="26" s="1"/>
  <c r="AG43" i="26" s="1"/>
  <c r="AG44" i="26" s="1"/>
  <c r="AR8" i="26"/>
  <c r="AQ8" i="26"/>
  <c r="AT8" i="26"/>
  <c r="AS8" i="26"/>
  <c r="K11" i="26"/>
  <c r="O11" i="26" s="1"/>
  <c r="J12" i="26"/>
  <c r="AT22" i="26"/>
  <c r="AS22" i="26"/>
  <c r="AR22" i="26"/>
  <c r="AQ22" i="26"/>
  <c r="AT11" i="26"/>
  <c r="AS11" i="26"/>
  <c r="AR11" i="26"/>
  <c r="AQ11" i="26"/>
  <c r="AF7" i="26"/>
  <c r="AI6" i="26"/>
  <c r="AT16" i="26"/>
  <c r="AS16" i="26"/>
  <c r="AR16" i="26"/>
  <c r="AQ16" i="26"/>
  <c r="AT14" i="26"/>
  <c r="AS14" i="26"/>
  <c r="AR14" i="26"/>
  <c r="AQ14" i="26"/>
  <c r="AT17" i="26"/>
  <c r="AS17" i="26"/>
  <c r="AR17" i="26"/>
  <c r="AQ17" i="26"/>
  <c r="AH7" i="26"/>
  <c r="AH8" i="26" s="1"/>
  <c r="AH9" i="26" s="1"/>
  <c r="AH10" i="26" s="1"/>
  <c r="AH11" i="26" s="1"/>
  <c r="AH12" i="26" s="1"/>
  <c r="AH13" i="26" s="1"/>
  <c r="AH14" i="26" s="1"/>
  <c r="AH15" i="26" s="1"/>
  <c r="AH16" i="26" s="1"/>
  <c r="AH17" i="26" s="1"/>
  <c r="AH18" i="26" s="1"/>
  <c r="AH19" i="26" s="1"/>
  <c r="AH20" i="26" s="1"/>
  <c r="AH21" i="26" s="1"/>
  <c r="AH22" i="26" s="1"/>
  <c r="AH23" i="26" s="1"/>
  <c r="AH24" i="26" s="1"/>
  <c r="AH25" i="26" s="1"/>
  <c r="AH26" i="26" s="1"/>
  <c r="AH27" i="26" s="1"/>
  <c r="AH28" i="26" s="1"/>
  <c r="AH29" i="26" s="1"/>
  <c r="AH30" i="26" s="1"/>
  <c r="AH31" i="26" s="1"/>
  <c r="AH32" i="26" s="1"/>
  <c r="AH33" i="26" s="1"/>
  <c r="AH34" i="26" s="1"/>
  <c r="AH35" i="26" s="1"/>
  <c r="AH36" i="26" s="1"/>
  <c r="AH37" i="26" s="1"/>
  <c r="AH38" i="26" s="1"/>
  <c r="AH39" i="26" s="1"/>
  <c r="AH40" i="26" s="1"/>
  <c r="AH41" i="26" s="1"/>
  <c r="AH42" i="26" s="1"/>
  <c r="AH43" i="26" s="1"/>
  <c r="AH44" i="26" s="1"/>
  <c r="AT18" i="26"/>
  <c r="AS18" i="26"/>
  <c r="AR18" i="26"/>
  <c r="AQ18" i="26"/>
  <c r="AT34" i="26"/>
  <c r="AS34" i="26"/>
  <c r="AR34" i="26"/>
  <c r="AQ34" i="26"/>
  <c r="AT21" i="26"/>
  <c r="AS21" i="26"/>
  <c r="AR21" i="26"/>
  <c r="AQ21" i="26"/>
  <c r="AT6" i="26"/>
  <c r="AS6" i="26"/>
  <c r="AR6" i="26"/>
  <c r="AQ6" i="26"/>
  <c r="AT31" i="26"/>
  <c r="AS31" i="26"/>
  <c r="AR31" i="26"/>
  <c r="AQ31" i="26"/>
  <c r="AT30" i="26"/>
  <c r="AS30" i="26"/>
  <c r="AR30" i="26"/>
  <c r="AQ30" i="26"/>
  <c r="AT25" i="26"/>
  <c r="AS25" i="26"/>
  <c r="AR25" i="26"/>
  <c r="AQ25" i="26"/>
  <c r="AT9" i="26"/>
  <c r="AS9" i="26"/>
  <c r="AR9" i="26"/>
  <c r="AQ9" i="26"/>
  <c r="AT20" i="26"/>
  <c r="AS20" i="26"/>
  <c r="AR20" i="26"/>
  <c r="AQ20" i="26"/>
  <c r="AT12" i="26"/>
  <c r="AS12" i="26"/>
  <c r="AR12" i="26"/>
  <c r="AQ12" i="26"/>
  <c r="AT13" i="26"/>
  <c r="AS13" i="26"/>
  <c r="AR13" i="26"/>
  <c r="AQ13" i="26"/>
  <c r="S11" i="26"/>
  <c r="T11" i="26" s="1"/>
  <c r="X11" i="26" s="1"/>
  <c r="R12" i="26"/>
  <c r="AT32" i="26"/>
  <c r="AS32" i="26"/>
  <c r="AR32" i="26"/>
  <c r="AQ32" i="26"/>
  <c r="AT10" i="26"/>
  <c r="AS10" i="26"/>
  <c r="AR10" i="26"/>
  <c r="AQ10" i="26"/>
  <c r="AT33" i="26"/>
  <c r="AS33" i="26"/>
  <c r="AR33" i="26"/>
  <c r="AQ33" i="26"/>
  <c r="T10" i="26"/>
  <c r="X10" i="26" s="1"/>
  <c r="AT15" i="26"/>
  <c r="AS15" i="26"/>
  <c r="AR15" i="26"/>
  <c r="AQ15" i="26"/>
  <c r="AT7" i="26"/>
  <c r="AS7" i="26"/>
  <c r="AR7" i="26"/>
  <c r="AQ7" i="26"/>
  <c r="AT27" i="26"/>
  <c r="AS27" i="26"/>
  <c r="AR27" i="26"/>
  <c r="AQ27" i="26"/>
  <c r="AT24" i="26"/>
  <c r="AS24" i="26"/>
  <c r="AR24" i="26"/>
  <c r="AQ24" i="26"/>
  <c r="AT28" i="26"/>
  <c r="AS28" i="26"/>
  <c r="AR28" i="26"/>
  <c r="AQ28" i="26"/>
  <c r="K98" i="27"/>
  <c r="H98" i="27"/>
  <c r="I98" i="27"/>
  <c r="J98" i="27"/>
  <c r="AB60" i="26"/>
  <c r="S12" i="20"/>
  <c r="R13" i="20"/>
  <c r="AI11" i="20"/>
  <c r="AF12" i="20"/>
  <c r="T6" i="13"/>
  <c r="S8" i="13"/>
  <c r="T7" i="13"/>
  <c r="V171" i="27"/>
  <c r="S9" i="13"/>
  <c r="R10" i="13"/>
  <c r="L60" i="27"/>
  <c r="B62" i="27"/>
  <c r="B61" i="27"/>
  <c r="AI9" i="13"/>
  <c r="AF10" i="13"/>
  <c r="K10" i="13"/>
  <c r="J11" i="13"/>
  <c r="Q7" i="19"/>
  <c r="Q11" i="19"/>
  <c r="Q15" i="19"/>
  <c r="Q19" i="19"/>
  <c r="Q22" i="19"/>
  <c r="Q30" i="19"/>
  <c r="Q31" i="19"/>
  <c r="Q33" i="19"/>
  <c r="Q36" i="19"/>
  <c r="Q38" i="19"/>
  <c r="Q41" i="19"/>
  <c r="Q44" i="19"/>
  <c r="Q10" i="19"/>
  <c r="Q14" i="19"/>
  <c r="Q18" i="19"/>
  <c r="Q21" i="19"/>
  <c r="Q25" i="19"/>
  <c r="Q26" i="19"/>
  <c r="Q29" i="19"/>
  <c r="Q32" i="19"/>
  <c r="Q43" i="19"/>
  <c r="Q6" i="19"/>
  <c r="R6" i="19" s="1"/>
  <c r="S6" i="19" s="1"/>
  <c r="T6" i="19" s="1"/>
  <c r="X6" i="19" s="1"/>
  <c r="Y6" i="19" s="1"/>
  <c r="Q9" i="19"/>
  <c r="Q13" i="19"/>
  <c r="Q17" i="19"/>
  <c r="Q24" i="19"/>
  <c r="Q28" i="19"/>
  <c r="Q35" i="19"/>
  <c r="Q40" i="19"/>
  <c r="Q42" i="19"/>
  <c r="Q8" i="19"/>
  <c r="Q12" i="19"/>
  <c r="Q16" i="19"/>
  <c r="Q20" i="19"/>
  <c r="Q23" i="19"/>
  <c r="Q27" i="19"/>
  <c r="Q34" i="19"/>
  <c r="Q37" i="19"/>
  <c r="Q39" i="19"/>
  <c r="Q45" i="19"/>
  <c r="Q47" i="19"/>
  <c r="J13" i="19"/>
  <c r="K12" i="19"/>
  <c r="O12" i="19" s="1"/>
  <c r="Y9" i="18"/>
  <c r="S10" i="18"/>
  <c r="R11" i="18"/>
  <c r="K10" i="18"/>
  <c r="O10" i="18" s="1"/>
  <c r="J11" i="18"/>
  <c r="AH14" i="18"/>
  <c r="AI13" i="18"/>
  <c r="AF16" i="18"/>
  <c r="K12" i="20" l="1"/>
  <c r="O12" i="20" s="1"/>
  <c r="J13" i="20"/>
  <c r="S90" i="21"/>
  <c r="T90" i="21" s="1"/>
  <c r="X90" i="21" s="1"/>
  <c r="Y90" i="21" s="1"/>
  <c r="R91" i="21"/>
  <c r="AI92" i="21"/>
  <c r="AF93" i="21"/>
  <c r="O10" i="13"/>
  <c r="Y11" i="26"/>
  <c r="AB50" i="26"/>
  <c r="AB45" i="26"/>
  <c r="AH45" i="26" s="1"/>
  <c r="AH46" i="26" s="1"/>
  <c r="AH47" i="26" s="1"/>
  <c r="AH48" i="26" s="1"/>
  <c r="AH49" i="26" s="1"/>
  <c r="K12" i="26"/>
  <c r="O12" i="26" s="1"/>
  <c r="J13" i="26"/>
  <c r="Y10" i="26"/>
  <c r="AF8" i="26"/>
  <c r="AI7" i="26"/>
  <c r="S12" i="26"/>
  <c r="R13" i="26"/>
  <c r="H94" i="26"/>
  <c r="C99" i="27"/>
  <c r="L99" i="27" s="1"/>
  <c r="AB5" i="26"/>
  <c r="AL5" i="26"/>
  <c r="L98" i="27"/>
  <c r="S13" i="20"/>
  <c r="T13" i="20" s="1"/>
  <c r="X13" i="20" s="1"/>
  <c r="R14" i="20"/>
  <c r="T12" i="20"/>
  <c r="X12" i="20" s="1"/>
  <c r="AI12" i="20"/>
  <c r="AF13" i="20"/>
  <c r="X7" i="13"/>
  <c r="Y7" i="13" s="1"/>
  <c r="T8" i="13"/>
  <c r="X6" i="13"/>
  <c r="Y6" i="13" s="1"/>
  <c r="T9" i="13"/>
  <c r="AM35" i="19"/>
  <c r="AN50" i="19"/>
  <c r="AO35" i="19"/>
  <c r="AL40" i="19"/>
  <c r="AN40" i="19"/>
  <c r="Q46" i="19"/>
  <c r="S10" i="13"/>
  <c r="R11" i="13"/>
  <c r="J62" i="27"/>
  <c r="K62" i="27"/>
  <c r="I62" i="27"/>
  <c r="H62" i="27"/>
  <c r="H61" i="27"/>
  <c r="K61" i="27"/>
  <c r="I61" i="27"/>
  <c r="J61" i="27"/>
  <c r="AO40" i="19"/>
  <c r="AI10" i="13"/>
  <c r="AF11" i="13"/>
  <c r="K11" i="13"/>
  <c r="J12" i="13"/>
  <c r="R7" i="19"/>
  <c r="S7" i="19" s="1"/>
  <c r="T7" i="19" s="1"/>
  <c r="X7" i="19" s="1"/>
  <c r="Y7" i="19" s="1"/>
  <c r="K13" i="19"/>
  <c r="O13" i="19" s="1"/>
  <c r="J14" i="19"/>
  <c r="S11" i="18"/>
  <c r="T11" i="18" s="1"/>
  <c r="X11" i="18" s="1"/>
  <c r="R12" i="18"/>
  <c r="T10" i="18"/>
  <c r="X10" i="18" s="1"/>
  <c r="Y10" i="18" s="1"/>
  <c r="K11" i="18"/>
  <c r="O11" i="18" s="1"/>
  <c r="J12" i="18"/>
  <c r="AF17" i="18"/>
  <c r="AH15" i="18"/>
  <c r="AI14" i="18"/>
  <c r="J14" i="20" l="1"/>
  <c r="K13" i="20"/>
  <c r="O13" i="20" s="1"/>
  <c r="Y13" i="20" s="1"/>
  <c r="S91" i="21"/>
  <c r="T91" i="21" s="1"/>
  <c r="X91" i="21" s="1"/>
  <c r="R92" i="21"/>
  <c r="AI93" i="21"/>
  <c r="AF94" i="21"/>
  <c r="O11" i="13"/>
  <c r="AG45" i="26"/>
  <c r="AG46" i="26" s="1"/>
  <c r="AG47" i="26" s="1"/>
  <c r="AG48" i="26" s="1"/>
  <c r="AG49" i="26" s="1"/>
  <c r="AG50" i="26" s="1"/>
  <c r="AG51" i="26" s="1"/>
  <c r="AG52" i="26" s="1"/>
  <c r="AG53" i="26" s="1"/>
  <c r="AG54" i="26" s="1"/>
  <c r="AG55" i="26" s="1"/>
  <c r="AG56" i="26" s="1"/>
  <c r="AG57" i="26" s="1"/>
  <c r="AG58" i="26" s="1"/>
  <c r="AG59" i="26" s="1"/>
  <c r="AG60" i="26" s="1"/>
  <c r="AG61" i="26" s="1"/>
  <c r="AG62" i="26" s="1"/>
  <c r="AG63" i="26" s="1"/>
  <c r="AG64" i="26" s="1"/>
  <c r="AG65" i="26" s="1"/>
  <c r="AG66" i="26" s="1"/>
  <c r="AG67" i="26" s="1"/>
  <c r="AG68" i="26" s="1"/>
  <c r="AG69" i="26" s="1"/>
  <c r="AG70" i="26" s="1"/>
  <c r="AG71" i="26" s="1"/>
  <c r="AG72" i="26" s="1"/>
  <c r="AG73" i="26" s="1"/>
  <c r="AG74" i="26" s="1"/>
  <c r="AG75" i="26" s="1"/>
  <c r="AG76" i="26" s="1"/>
  <c r="AG77" i="26" s="1"/>
  <c r="AG78" i="26" s="1"/>
  <c r="AG79" i="26" s="1"/>
  <c r="AG80" i="26" s="1"/>
  <c r="AG81" i="26" s="1"/>
  <c r="AG82" i="26" s="1"/>
  <c r="AG83" i="26" s="1"/>
  <c r="AG84" i="26" s="1"/>
  <c r="AG85" i="26" s="1"/>
  <c r="AG86" i="26" s="1"/>
  <c r="AG87" i="26" s="1"/>
  <c r="AG88" i="26" s="1"/>
  <c r="AG89" i="26" s="1"/>
  <c r="AG90" i="26" s="1"/>
  <c r="AG91" i="26" s="1"/>
  <c r="AG92" i="26" s="1"/>
  <c r="AG93" i="26" s="1"/>
  <c r="AG94" i="26" s="1"/>
  <c r="AG95" i="26" s="1"/>
  <c r="AG96" i="26" s="1"/>
  <c r="AG97" i="26" s="1"/>
  <c r="AG98" i="26" s="1"/>
  <c r="AG99" i="26" s="1"/>
  <c r="AG100" i="26" s="1"/>
  <c r="AG101" i="26" s="1"/>
  <c r="AG102" i="26" s="1"/>
  <c r="AG103" i="26" s="1"/>
  <c r="AG104" i="26" s="1"/>
  <c r="AG105" i="26" s="1"/>
  <c r="AG106" i="26" s="1"/>
  <c r="AG107" i="26" s="1"/>
  <c r="AG108" i="26" s="1"/>
  <c r="AG109" i="26" s="1"/>
  <c r="AG110" i="26" s="1"/>
  <c r="AG111" i="26" s="1"/>
  <c r="AG112" i="26" s="1"/>
  <c r="AG113" i="26" s="1"/>
  <c r="AG114" i="26" s="1"/>
  <c r="AG115" i="26" s="1"/>
  <c r="AG116" i="26" s="1"/>
  <c r="AG117" i="26" s="1"/>
  <c r="AG118" i="26" s="1"/>
  <c r="AG119" i="26" s="1"/>
  <c r="AG120" i="26" s="1"/>
  <c r="AG121" i="26" s="1"/>
  <c r="AG122" i="26" s="1"/>
  <c r="AG123" i="26" s="1"/>
  <c r="AG124" i="26" s="1"/>
  <c r="AG125" i="26" s="1"/>
  <c r="AG126" i="26" s="1"/>
  <c r="AG127" i="26" s="1"/>
  <c r="AG128" i="26" s="1"/>
  <c r="AG129" i="26" s="1"/>
  <c r="AG130" i="26" s="1"/>
  <c r="AG131" i="26" s="1"/>
  <c r="AG132" i="26" s="1"/>
  <c r="AG133" i="26" s="1"/>
  <c r="AG134" i="26" s="1"/>
  <c r="AG135" i="26" s="1"/>
  <c r="AG136" i="26" s="1"/>
  <c r="AG137" i="26" s="1"/>
  <c r="AG138" i="26" s="1"/>
  <c r="AG139" i="26" s="1"/>
  <c r="AG140" i="26" s="1"/>
  <c r="AG141" i="26" s="1"/>
  <c r="AG142" i="26" s="1"/>
  <c r="AG143" i="26" s="1"/>
  <c r="AG144" i="26" s="1"/>
  <c r="AG145" i="26" s="1"/>
  <c r="AG146" i="26" s="1"/>
  <c r="AG147" i="26" s="1"/>
  <c r="AG148" i="26" s="1"/>
  <c r="AG149" i="26" s="1"/>
  <c r="AG150" i="26" s="1"/>
  <c r="AG151" i="26" s="1"/>
  <c r="AG152" i="26" s="1"/>
  <c r="AG153" i="26" s="1"/>
  <c r="AG154" i="26" s="1"/>
  <c r="AG155" i="26" s="1"/>
  <c r="AH50" i="26"/>
  <c r="AH51" i="26" s="1"/>
  <c r="AH52" i="26" s="1"/>
  <c r="AH53" i="26" s="1"/>
  <c r="AH54" i="26" s="1"/>
  <c r="AH55" i="26" s="1"/>
  <c r="AH56" i="26" s="1"/>
  <c r="AH57" i="26" s="1"/>
  <c r="AH58" i="26" s="1"/>
  <c r="AH59" i="26" s="1"/>
  <c r="AH60" i="26" s="1"/>
  <c r="AH61" i="26" s="1"/>
  <c r="AH62" i="26" s="1"/>
  <c r="AH63" i="26" s="1"/>
  <c r="AH64" i="26" s="1"/>
  <c r="AH65" i="26" s="1"/>
  <c r="AH66" i="26" s="1"/>
  <c r="AH67" i="26" s="1"/>
  <c r="AH68" i="26" s="1"/>
  <c r="AH69" i="26" s="1"/>
  <c r="AH70" i="26" s="1"/>
  <c r="AH71" i="26" s="1"/>
  <c r="AH72" i="26" s="1"/>
  <c r="AH73" i="26" s="1"/>
  <c r="AH74" i="26" s="1"/>
  <c r="AH75" i="26" s="1"/>
  <c r="AH76" i="26" s="1"/>
  <c r="AH77" i="26" s="1"/>
  <c r="AH78" i="26" s="1"/>
  <c r="AH79" i="26" s="1"/>
  <c r="AH80" i="26" s="1"/>
  <c r="AH81" i="26" s="1"/>
  <c r="AH82" i="26" s="1"/>
  <c r="AH83" i="26" s="1"/>
  <c r="AH84" i="26" s="1"/>
  <c r="AH85" i="26" s="1"/>
  <c r="AH86" i="26" s="1"/>
  <c r="AH87" i="26" s="1"/>
  <c r="AH88" i="26" s="1"/>
  <c r="AH89" i="26" s="1"/>
  <c r="AH90" i="26" s="1"/>
  <c r="AH91" i="26" s="1"/>
  <c r="AH92" i="26" s="1"/>
  <c r="AH93" i="26" s="1"/>
  <c r="AH94" i="26" s="1"/>
  <c r="AH95" i="26" s="1"/>
  <c r="AH96" i="26" s="1"/>
  <c r="AH97" i="26" s="1"/>
  <c r="AH98" i="26" s="1"/>
  <c r="AH99" i="26" s="1"/>
  <c r="AH100" i="26" s="1"/>
  <c r="AH101" i="26" s="1"/>
  <c r="AH102" i="26" s="1"/>
  <c r="AH103" i="26" s="1"/>
  <c r="AH104" i="26" s="1"/>
  <c r="AH105" i="26" s="1"/>
  <c r="AH106" i="26" s="1"/>
  <c r="AH107" i="26" s="1"/>
  <c r="AH108" i="26" s="1"/>
  <c r="AH109" i="26" s="1"/>
  <c r="AH110" i="26" s="1"/>
  <c r="AH111" i="26" s="1"/>
  <c r="AH112" i="26" s="1"/>
  <c r="AH113" i="26" s="1"/>
  <c r="AH114" i="26" s="1"/>
  <c r="AH115" i="26" s="1"/>
  <c r="AH116" i="26" s="1"/>
  <c r="AH117" i="26" s="1"/>
  <c r="AH118" i="26" s="1"/>
  <c r="AH119" i="26" s="1"/>
  <c r="AH120" i="26" s="1"/>
  <c r="AH121" i="26" s="1"/>
  <c r="AH122" i="26" s="1"/>
  <c r="AH123" i="26" s="1"/>
  <c r="AH124" i="26" s="1"/>
  <c r="AH125" i="26" s="1"/>
  <c r="AH126" i="26" s="1"/>
  <c r="AH127" i="26" s="1"/>
  <c r="AH128" i="26" s="1"/>
  <c r="AH129" i="26" s="1"/>
  <c r="AH130" i="26" s="1"/>
  <c r="AH131" i="26" s="1"/>
  <c r="AH132" i="26" s="1"/>
  <c r="AH133" i="26" s="1"/>
  <c r="AH134" i="26" s="1"/>
  <c r="AH135" i="26" s="1"/>
  <c r="AH136" i="26" s="1"/>
  <c r="AH137" i="26" s="1"/>
  <c r="AH138" i="26" s="1"/>
  <c r="AH139" i="26" s="1"/>
  <c r="AH140" i="26" s="1"/>
  <c r="AH141" i="26" s="1"/>
  <c r="AH142" i="26" s="1"/>
  <c r="AH143" i="26" s="1"/>
  <c r="AH144" i="26" s="1"/>
  <c r="AH145" i="26" s="1"/>
  <c r="AH146" i="26" s="1"/>
  <c r="AH147" i="26" s="1"/>
  <c r="AH148" i="26" s="1"/>
  <c r="AH149" i="26" s="1"/>
  <c r="AH150" i="26" s="1"/>
  <c r="AH151" i="26" s="1"/>
  <c r="AH152" i="26" s="1"/>
  <c r="AH153" i="26" s="1"/>
  <c r="AH154" i="26" s="1"/>
  <c r="AH155" i="26" s="1"/>
  <c r="K13" i="26"/>
  <c r="O13" i="26" s="1"/>
  <c r="J14" i="26"/>
  <c r="AF9" i="26"/>
  <c r="AI8" i="26"/>
  <c r="T12" i="26"/>
  <c r="X12" i="26" s="1"/>
  <c r="S13" i="26"/>
  <c r="T13" i="26" s="1"/>
  <c r="X13" i="26" s="1"/>
  <c r="R14" i="26"/>
  <c r="Y12" i="20"/>
  <c r="S14" i="20"/>
  <c r="T14" i="20" s="1"/>
  <c r="X14" i="20" s="1"/>
  <c r="R15" i="20"/>
  <c r="AF14" i="20"/>
  <c r="AI13" i="20"/>
  <c r="X8" i="13"/>
  <c r="Y8" i="13" s="1"/>
  <c r="T10" i="13"/>
  <c r="X9" i="13"/>
  <c r="Y9" i="13" s="1"/>
  <c r="AM45" i="19"/>
  <c r="AL55" i="19"/>
  <c r="AN35" i="19"/>
  <c r="AP35" i="19"/>
  <c r="AL50" i="19"/>
  <c r="AR40" i="19"/>
  <c r="X56" i="27" s="1"/>
  <c r="AS40" i="19"/>
  <c r="Y56" i="27" s="1"/>
  <c r="AM40" i="19"/>
  <c r="AQ40" i="19" s="1"/>
  <c r="W56" i="27" s="1"/>
  <c r="AL45" i="19"/>
  <c r="AP40" i="19"/>
  <c r="AT40" i="19" s="1"/>
  <c r="Z56" i="27" s="1"/>
  <c r="AN45" i="19"/>
  <c r="AL35" i="19"/>
  <c r="AP45" i="19"/>
  <c r="AP50" i="19"/>
  <c r="AO45" i="19"/>
  <c r="S11" i="13"/>
  <c r="R12" i="13"/>
  <c r="AE69" i="19"/>
  <c r="L62" i="27"/>
  <c r="B65" i="27"/>
  <c r="B63" i="27"/>
  <c r="L61" i="27"/>
  <c r="AI11" i="13"/>
  <c r="AF12" i="13"/>
  <c r="K12" i="13"/>
  <c r="J13" i="13"/>
  <c r="R8" i="19"/>
  <c r="K14" i="19"/>
  <c r="O14" i="19" s="1"/>
  <c r="J15" i="19"/>
  <c r="S12" i="18"/>
  <c r="T12" i="18" s="1"/>
  <c r="X12" i="18" s="1"/>
  <c r="R13" i="18"/>
  <c r="Y11" i="18"/>
  <c r="K12" i="18"/>
  <c r="O12" i="18" s="1"/>
  <c r="J13" i="18"/>
  <c r="AH16" i="18"/>
  <c r="AI15" i="18"/>
  <c r="AF18" i="18"/>
  <c r="K14" i="20" l="1"/>
  <c r="O14" i="20" s="1"/>
  <c r="Y14" i="20" s="1"/>
  <c r="J15" i="20"/>
  <c r="R93" i="21"/>
  <c r="S92" i="21"/>
  <c r="T92" i="21" s="1"/>
  <c r="X92" i="21" s="1"/>
  <c r="Y92" i="21" s="1"/>
  <c r="Y91" i="21"/>
  <c r="AF95" i="21"/>
  <c r="AI95" i="21" s="1"/>
  <c r="AI94" i="21"/>
  <c r="O12" i="13"/>
  <c r="J15" i="26"/>
  <c r="K14" i="26"/>
  <c r="O14" i="26" s="1"/>
  <c r="Y13" i="26"/>
  <c r="Y12" i="26"/>
  <c r="AI9" i="26"/>
  <c r="AF10" i="26"/>
  <c r="S14" i="26"/>
  <c r="R15" i="26"/>
  <c r="S15" i="20"/>
  <c r="T15" i="20" s="1"/>
  <c r="X15" i="20" s="1"/>
  <c r="R16" i="20"/>
  <c r="AF15" i="20"/>
  <c r="AI14" i="20"/>
  <c r="T11" i="13"/>
  <c r="X10" i="13"/>
  <c r="Y10" i="13" s="1"/>
  <c r="AT35" i="19"/>
  <c r="AQ35" i="19"/>
  <c r="AR35" i="19"/>
  <c r="AS35" i="19"/>
  <c r="AT50" i="19"/>
  <c r="Z66" i="27" s="1"/>
  <c r="AR50" i="19"/>
  <c r="X66" i="27" s="1"/>
  <c r="AT45" i="19"/>
  <c r="Z61" i="27" s="1"/>
  <c r="AR45" i="19"/>
  <c r="X61" i="27" s="1"/>
  <c r="AS45" i="19"/>
  <c r="Y61" i="27" s="1"/>
  <c r="AQ45" i="19"/>
  <c r="W61" i="27" s="1"/>
  <c r="V56" i="27"/>
  <c r="AE30" i="19"/>
  <c r="AD35" i="19"/>
  <c r="AE50" i="19"/>
  <c r="AD55" i="19"/>
  <c r="AC55" i="19"/>
  <c r="AB45" i="19"/>
  <c r="AC45" i="19"/>
  <c r="AD45" i="19"/>
  <c r="AD50" i="19"/>
  <c r="AE40" i="19"/>
  <c r="AD40" i="19"/>
  <c r="AN30" i="19"/>
  <c r="AD30" i="19"/>
  <c r="AB50" i="19"/>
  <c r="AB40" i="19"/>
  <c r="AC40" i="19"/>
  <c r="AE35" i="19"/>
  <c r="AE45" i="19"/>
  <c r="AC50" i="19"/>
  <c r="S12" i="13"/>
  <c r="R13" i="13"/>
  <c r="AO25" i="19"/>
  <c r="AP24" i="19"/>
  <c r="AE10" i="19"/>
  <c r="AL31" i="19"/>
  <c r="AP9" i="19"/>
  <c r="AE61" i="19"/>
  <c r="AN24" i="19"/>
  <c r="AL28" i="19"/>
  <c r="AM29" i="19"/>
  <c r="AE11" i="19"/>
  <c r="AB53" i="19"/>
  <c r="AM32" i="19"/>
  <c r="AE42" i="19"/>
  <c r="AB49" i="19"/>
  <c r="AD58" i="19"/>
  <c r="AL22" i="19"/>
  <c r="AC31" i="19"/>
  <c r="AM23" i="19"/>
  <c r="AO6" i="19"/>
  <c r="AM10" i="19"/>
  <c r="AO27" i="19"/>
  <c r="AE21" i="19"/>
  <c r="AP19" i="19"/>
  <c r="AE64" i="19"/>
  <c r="AO31" i="19"/>
  <c r="AP7" i="19"/>
  <c r="AC52" i="19"/>
  <c r="AM31" i="19"/>
  <c r="AL20" i="19"/>
  <c r="AB64" i="19"/>
  <c r="AD32" i="19"/>
  <c r="AN26" i="19"/>
  <c r="AP28" i="19"/>
  <c r="AD43" i="19"/>
  <c r="AN34" i="19"/>
  <c r="AL6" i="19"/>
  <c r="AY6" i="19" s="1"/>
  <c r="AP6" i="19"/>
  <c r="AB60" i="19"/>
  <c r="AO18" i="19"/>
  <c r="AE8" i="19"/>
  <c r="AE18" i="19"/>
  <c r="AP10" i="19"/>
  <c r="AB46" i="19"/>
  <c r="AB47" i="19"/>
  <c r="AB58" i="19"/>
  <c r="AP33" i="19"/>
  <c r="AL7" i="19"/>
  <c r="AO24" i="19"/>
  <c r="AE28" i="19"/>
  <c r="AL18" i="19"/>
  <c r="AN21" i="19"/>
  <c r="AM18" i="19"/>
  <c r="AM9" i="19"/>
  <c r="AD34" i="19"/>
  <c r="AO7" i="19"/>
  <c r="AS7" i="19" s="1"/>
  <c r="Y23" i="27" s="1"/>
  <c r="AB19" i="19"/>
  <c r="AO16" i="19"/>
  <c r="AL34" i="19"/>
  <c r="AM15" i="19"/>
  <c r="AN18" i="19"/>
  <c r="H63" i="27"/>
  <c r="I63" i="27"/>
  <c r="J63" i="27"/>
  <c r="K63" i="27"/>
  <c r="Q57" i="19"/>
  <c r="Q58" i="19"/>
  <c r="Q63" i="19"/>
  <c r="Q59" i="19"/>
  <c r="Q61" i="19"/>
  <c r="Q62" i="19"/>
  <c r="Q60" i="19"/>
  <c r="Q50" i="19"/>
  <c r="Q56" i="19"/>
  <c r="Q49" i="19"/>
  <c r="Q48" i="19"/>
  <c r="Q51" i="19"/>
  <c r="Q52" i="19"/>
  <c r="B64" i="27"/>
  <c r="AA157" i="27" s="1"/>
  <c r="AB157" i="27" s="1"/>
  <c r="AL26" i="19"/>
  <c r="AM34" i="19"/>
  <c r="AB55" i="19"/>
  <c r="AO15" i="19"/>
  <c r="AN27" i="19"/>
  <c r="AN15" i="19"/>
  <c r="AD27" i="19"/>
  <c r="J65" i="27"/>
  <c r="K65" i="27"/>
  <c r="H65" i="27"/>
  <c r="I65" i="27"/>
  <c r="AF13" i="13"/>
  <c r="AI12" i="13"/>
  <c r="K13" i="13"/>
  <c r="J14" i="13"/>
  <c r="Q54" i="19"/>
  <c r="Q53" i="19"/>
  <c r="S8" i="19"/>
  <c r="T8" i="19" s="1"/>
  <c r="X8" i="19" s="1"/>
  <c r="Y8" i="19" s="1"/>
  <c r="R9" i="19"/>
  <c r="C94" i="19"/>
  <c r="Q55" i="19"/>
  <c r="K15" i="19"/>
  <c r="O15" i="19" s="1"/>
  <c r="J16" i="19"/>
  <c r="Y12" i="18"/>
  <c r="R14" i="18"/>
  <c r="S13" i="18"/>
  <c r="T13" i="18" s="1"/>
  <c r="X13" i="18" s="1"/>
  <c r="K13" i="18"/>
  <c r="O13" i="18" s="1"/>
  <c r="J14" i="18"/>
  <c r="AF19" i="18"/>
  <c r="AH17" i="18"/>
  <c r="AI16" i="18"/>
  <c r="AL105" i="19" l="1"/>
  <c r="AB105" i="19"/>
  <c r="AY7" i="19"/>
  <c r="J16" i="20"/>
  <c r="K15" i="20"/>
  <c r="O15" i="20" s="1"/>
  <c r="Y15" i="20" s="1"/>
  <c r="AL125" i="19"/>
  <c r="AB125" i="19"/>
  <c r="R94" i="21"/>
  <c r="S93" i="21"/>
  <c r="T93" i="21" s="1"/>
  <c r="X93" i="21" s="1"/>
  <c r="O13" i="13"/>
  <c r="J16" i="26"/>
  <c r="K15" i="26"/>
  <c r="O15" i="26" s="1"/>
  <c r="T14" i="26"/>
  <c r="X14" i="26" s="1"/>
  <c r="AF11" i="26"/>
  <c r="AI10" i="26"/>
  <c r="S15" i="26"/>
  <c r="T15" i="26" s="1"/>
  <c r="X15" i="26" s="1"/>
  <c r="R16" i="26"/>
  <c r="S16" i="20"/>
  <c r="T16" i="20" s="1"/>
  <c r="X16" i="20" s="1"/>
  <c r="R17" i="20"/>
  <c r="AI15" i="20"/>
  <c r="AF16" i="20"/>
  <c r="T12" i="13"/>
  <c r="X11" i="13"/>
  <c r="Y11" i="13" s="1"/>
  <c r="AL94" i="19"/>
  <c r="AO69" i="19"/>
  <c r="AM72" i="19"/>
  <c r="AL85" i="19"/>
  <c r="AL80" i="19"/>
  <c r="AO86" i="19"/>
  <c r="AP95" i="19"/>
  <c r="AN75" i="19"/>
  <c r="AP79" i="19"/>
  <c r="AM69" i="19"/>
  <c r="AP71" i="19"/>
  <c r="AL81" i="19"/>
  <c r="AL95" i="19"/>
  <c r="AO95" i="19"/>
  <c r="AL66" i="19"/>
  <c r="AP81" i="19"/>
  <c r="AM84" i="19"/>
  <c r="AM74" i="19"/>
  <c r="AM79" i="19"/>
  <c r="AL71" i="19"/>
  <c r="AN79" i="19"/>
  <c r="AO88" i="19"/>
  <c r="AM75" i="19"/>
  <c r="AO67" i="19"/>
  <c r="AN74" i="19"/>
  <c r="AP78" i="19"/>
  <c r="AN93" i="19"/>
  <c r="AN90" i="19"/>
  <c r="AM67" i="19"/>
  <c r="AL70" i="19"/>
  <c r="AO74" i="19"/>
  <c r="AN77" i="19"/>
  <c r="AO77" i="19"/>
  <c r="AN91" i="19"/>
  <c r="AP74" i="19"/>
  <c r="AM90" i="19"/>
  <c r="AP82" i="19"/>
  <c r="AL78" i="19"/>
  <c r="AO76" i="19"/>
  <c r="AN85" i="19"/>
  <c r="AN87" i="19"/>
  <c r="AL82" i="19"/>
  <c r="AO78" i="19"/>
  <c r="AL88" i="19"/>
  <c r="AM83" i="19"/>
  <c r="AO80" i="19"/>
  <c r="AL83" i="19"/>
  <c r="AL69" i="19"/>
  <c r="AP84" i="19"/>
  <c r="AN68" i="19"/>
  <c r="AP75" i="19"/>
  <c r="AM68" i="19"/>
  <c r="AM76" i="19"/>
  <c r="AP86" i="19"/>
  <c r="AM78" i="19"/>
  <c r="AL74" i="19"/>
  <c r="AO71" i="19"/>
  <c r="AL90" i="19"/>
  <c r="AP77" i="19"/>
  <c r="AM94" i="19"/>
  <c r="AL73" i="19"/>
  <c r="AP67" i="19"/>
  <c r="AL84" i="19"/>
  <c r="AN69" i="19"/>
  <c r="AL67" i="19"/>
  <c r="AM77" i="19"/>
  <c r="AN71" i="19"/>
  <c r="AO66" i="19"/>
  <c r="AO79" i="19"/>
  <c r="AM66" i="19"/>
  <c r="AM91" i="19"/>
  <c r="AO72" i="19"/>
  <c r="AO82" i="19"/>
  <c r="AM92" i="19"/>
  <c r="AL72" i="19"/>
  <c r="AM93" i="19"/>
  <c r="AM71" i="19"/>
  <c r="AN82" i="19"/>
  <c r="AM89" i="19"/>
  <c r="AM73" i="19"/>
  <c r="AN66" i="19"/>
  <c r="AL87" i="19"/>
  <c r="AM81" i="19"/>
  <c r="AN80" i="19"/>
  <c r="AP83" i="19"/>
  <c r="AL93" i="19"/>
  <c r="AM86" i="19"/>
  <c r="AO91" i="19"/>
  <c r="AL76" i="19"/>
  <c r="AL77" i="19"/>
  <c r="AN83" i="19"/>
  <c r="AO92" i="19"/>
  <c r="AN94" i="19"/>
  <c r="AO81" i="19"/>
  <c r="AN67" i="19"/>
  <c r="AP73" i="19"/>
  <c r="AN92" i="19"/>
  <c r="AN84" i="19"/>
  <c r="AM80" i="19"/>
  <c r="AN86" i="19"/>
  <c r="AO84" i="19"/>
  <c r="AP69" i="19"/>
  <c r="AO73" i="19"/>
  <c r="AP94" i="19"/>
  <c r="AO89" i="19"/>
  <c r="AM70" i="19"/>
  <c r="AO90" i="19"/>
  <c r="AM87" i="19"/>
  <c r="AP88" i="19"/>
  <c r="AN70" i="19"/>
  <c r="AL91" i="19"/>
  <c r="AN89" i="19"/>
  <c r="AP85" i="19"/>
  <c r="AN88" i="19"/>
  <c r="AM85" i="19"/>
  <c r="AP87" i="19"/>
  <c r="AO68" i="19"/>
  <c r="AP80" i="19"/>
  <c r="AP89" i="19"/>
  <c r="AP76" i="19"/>
  <c r="AN76" i="19"/>
  <c r="AN81" i="19"/>
  <c r="AP70" i="19"/>
  <c r="AP92" i="19"/>
  <c r="AN73" i="19"/>
  <c r="AL92" i="19"/>
  <c r="AL89" i="19"/>
  <c r="AO85" i="19"/>
  <c r="AO75" i="19"/>
  <c r="AP68" i="19"/>
  <c r="AO93" i="19"/>
  <c r="AM82" i="19"/>
  <c r="AL75" i="19"/>
  <c r="AP93" i="19"/>
  <c r="AO83" i="19"/>
  <c r="AO70" i="19"/>
  <c r="AN72" i="19"/>
  <c r="AL86" i="19"/>
  <c r="AO87" i="19"/>
  <c r="AP90" i="19"/>
  <c r="AM88" i="19"/>
  <c r="AL68" i="19"/>
  <c r="AM95" i="19"/>
  <c r="AP66" i="19"/>
  <c r="AN95" i="19"/>
  <c r="AP91" i="19"/>
  <c r="AN78" i="19"/>
  <c r="AL79" i="19"/>
  <c r="AO94" i="19"/>
  <c r="AP72" i="19"/>
  <c r="V61" i="27"/>
  <c r="AN65" i="19"/>
  <c r="AO37" i="19"/>
  <c r="AN52" i="19"/>
  <c r="AP36" i="19"/>
  <c r="AL37" i="19"/>
  <c r="AN64" i="19"/>
  <c r="AP52" i="19"/>
  <c r="AO36" i="19"/>
  <c r="AO43" i="19"/>
  <c r="AN37" i="19"/>
  <c r="AN38" i="19"/>
  <c r="AP47" i="19"/>
  <c r="AN59" i="19"/>
  <c r="AN63" i="19"/>
  <c r="AM51" i="19"/>
  <c r="AP39" i="19"/>
  <c r="AP38" i="19"/>
  <c r="AO58" i="19"/>
  <c r="AN58" i="19"/>
  <c r="AL36" i="19"/>
  <c r="AO50" i="19"/>
  <c r="AS50" i="19" s="1"/>
  <c r="Y66" i="27" s="1"/>
  <c r="AM59" i="19"/>
  <c r="AP61" i="19"/>
  <c r="AL47" i="19"/>
  <c r="AP49" i="19"/>
  <c r="AM47" i="19"/>
  <c r="AL42" i="19"/>
  <c r="AL59" i="19"/>
  <c r="AM52" i="19"/>
  <c r="AN56" i="19"/>
  <c r="AN51" i="19"/>
  <c r="AM64" i="19"/>
  <c r="AN62" i="19"/>
  <c r="AO49" i="19"/>
  <c r="AO46" i="19"/>
  <c r="AL54" i="19"/>
  <c r="AN47" i="19"/>
  <c r="AL60" i="19"/>
  <c r="AO56" i="19"/>
  <c r="AP44" i="19"/>
  <c r="AN60" i="19"/>
  <c r="AN46" i="19"/>
  <c r="AN44" i="19"/>
  <c r="AN43" i="19"/>
  <c r="AL51" i="19"/>
  <c r="AN39" i="19"/>
  <c r="AM63" i="19"/>
  <c r="AM50" i="19"/>
  <c r="AQ50" i="19" s="1"/>
  <c r="W66" i="27" s="1"/>
  <c r="AO39" i="19"/>
  <c r="AP59" i="19"/>
  <c r="AO62" i="19"/>
  <c r="AL61" i="19"/>
  <c r="AL63" i="19"/>
  <c r="AL65" i="19"/>
  <c r="AM36" i="19"/>
  <c r="AO52" i="19"/>
  <c r="AO57" i="19"/>
  <c r="AM38" i="19"/>
  <c r="AO53" i="19"/>
  <c r="AM41" i="19"/>
  <c r="AP55" i="19"/>
  <c r="AT55" i="19" s="1"/>
  <c r="Z71" i="27" s="1"/>
  <c r="AM58" i="19"/>
  <c r="AO65" i="19"/>
  <c r="AN53" i="19"/>
  <c r="AP60" i="19"/>
  <c r="AM56" i="19"/>
  <c r="AP48" i="19"/>
  <c r="AO59" i="19"/>
  <c r="AP43" i="19"/>
  <c r="AN54" i="19"/>
  <c r="AL48" i="19"/>
  <c r="AM61" i="19"/>
  <c r="AP37" i="19"/>
  <c r="AP65" i="19"/>
  <c r="AN41" i="19"/>
  <c r="AO54" i="19"/>
  <c r="AM46" i="19"/>
  <c r="AO63" i="19"/>
  <c r="AN57" i="19"/>
  <c r="AP46" i="19"/>
  <c r="AN36" i="19"/>
  <c r="AN55" i="19"/>
  <c r="AR55" i="19" s="1"/>
  <c r="X71" i="27" s="1"/>
  <c r="AO47" i="19"/>
  <c r="AO41" i="19"/>
  <c r="AL57" i="19"/>
  <c r="AM48" i="19"/>
  <c r="AL64" i="19"/>
  <c r="AO48" i="19"/>
  <c r="AM49" i="19"/>
  <c r="AM44" i="19"/>
  <c r="AM53" i="19"/>
  <c r="AN49" i="19"/>
  <c r="AM54" i="19"/>
  <c r="AL58" i="19"/>
  <c r="AN42" i="19"/>
  <c r="AM43" i="19"/>
  <c r="AL49" i="19"/>
  <c r="AM42" i="19"/>
  <c r="AO42" i="19"/>
  <c r="AM60" i="19"/>
  <c r="AM65" i="19"/>
  <c r="AM57" i="19"/>
  <c r="AO44" i="19"/>
  <c r="AM39" i="19"/>
  <c r="AO51" i="19"/>
  <c r="AL38" i="19"/>
  <c r="AP54" i="19"/>
  <c r="AP53" i="19"/>
  <c r="AP57" i="19"/>
  <c r="AN48" i="19"/>
  <c r="AL56" i="19"/>
  <c r="AL46" i="19"/>
  <c r="AM37" i="19"/>
  <c r="AP51" i="19"/>
  <c r="AP42" i="19"/>
  <c r="AN61" i="19"/>
  <c r="AO60" i="19"/>
  <c r="AP58" i="19"/>
  <c r="AP63" i="19"/>
  <c r="AO38" i="19"/>
  <c r="AL41" i="19"/>
  <c r="AL44" i="19"/>
  <c r="AO61" i="19"/>
  <c r="AL52" i="19"/>
  <c r="AM62" i="19"/>
  <c r="AP64" i="19"/>
  <c r="AP41" i="19"/>
  <c r="AL39" i="19"/>
  <c r="AM55" i="19"/>
  <c r="AQ55" i="19" s="1"/>
  <c r="W71" i="27" s="1"/>
  <c r="AO55" i="19"/>
  <c r="AS55" i="19" s="1"/>
  <c r="Y71" i="27" s="1"/>
  <c r="AL62" i="19"/>
  <c r="AP62" i="19"/>
  <c r="AO64" i="19"/>
  <c r="AP56" i="19"/>
  <c r="AL43" i="19"/>
  <c r="AL53" i="19"/>
  <c r="AC30" i="19"/>
  <c r="AP30" i="19"/>
  <c r="AM30" i="19"/>
  <c r="AC35" i="19"/>
  <c r="AB30" i="19"/>
  <c r="AO30" i="19"/>
  <c r="AL30" i="19"/>
  <c r="AB35" i="19"/>
  <c r="R14" i="13"/>
  <c r="S13" i="13"/>
  <c r="AC82" i="19"/>
  <c r="AC79" i="19"/>
  <c r="AC71" i="19"/>
  <c r="AC90" i="19"/>
  <c r="AD90" i="19"/>
  <c r="AD70" i="19"/>
  <c r="AB71" i="19"/>
  <c r="AB68" i="19"/>
  <c r="AB91" i="19"/>
  <c r="AD78" i="19"/>
  <c r="AB94" i="19"/>
  <c r="AD94" i="19"/>
  <c r="AB92" i="19"/>
  <c r="AB84" i="19"/>
  <c r="AC95" i="19"/>
  <c r="AB70" i="19"/>
  <c r="AD68" i="19"/>
  <c r="AD74" i="19"/>
  <c r="AC89" i="19"/>
  <c r="AD88" i="19"/>
  <c r="AB66" i="19"/>
  <c r="AD92" i="19"/>
  <c r="AC78" i="19"/>
  <c r="AB74" i="19"/>
  <c r="AC72" i="19"/>
  <c r="AB83" i="19"/>
  <c r="AC76" i="19"/>
  <c r="AB90" i="19"/>
  <c r="AD76" i="19"/>
  <c r="AB72" i="19"/>
  <c r="AB95" i="19"/>
  <c r="AB75" i="19"/>
  <c r="AD69" i="19"/>
  <c r="AC69" i="19"/>
  <c r="AD80" i="19"/>
  <c r="AD79" i="19"/>
  <c r="AD93" i="19"/>
  <c r="AB78" i="19"/>
  <c r="AD89" i="19"/>
  <c r="AD95" i="19"/>
  <c r="AB76" i="19"/>
  <c r="AD82" i="19"/>
  <c r="AB73" i="19"/>
  <c r="AD71" i="19"/>
  <c r="AB88" i="19"/>
  <c r="AC85" i="19"/>
  <c r="AC80" i="19"/>
  <c r="AD73" i="19"/>
  <c r="AE73" i="19"/>
  <c r="AC84" i="19"/>
  <c r="AC77" i="19"/>
  <c r="AE82" i="19"/>
  <c r="AB86" i="19"/>
  <c r="AD67" i="19"/>
  <c r="AB81" i="19"/>
  <c r="AC93" i="19"/>
  <c r="AD81" i="19"/>
  <c r="AC81" i="19"/>
  <c r="AC86" i="19"/>
  <c r="AD83" i="19"/>
  <c r="AE66" i="19"/>
  <c r="AE78" i="19"/>
  <c r="AC70" i="19"/>
  <c r="AD75" i="19"/>
  <c r="AC73" i="19"/>
  <c r="AD85" i="19"/>
  <c r="AC92" i="19"/>
  <c r="AC75" i="19"/>
  <c r="AE91" i="19"/>
  <c r="AD66" i="19"/>
  <c r="AE87" i="19"/>
  <c r="AE70" i="19"/>
  <c r="AC87" i="19"/>
  <c r="AD87" i="19"/>
  <c r="AB67" i="19"/>
  <c r="AC83" i="19"/>
  <c r="AC68" i="19"/>
  <c r="AE79" i="19"/>
  <c r="AE89" i="19"/>
  <c r="AE67" i="19"/>
  <c r="AB89" i="19"/>
  <c r="AB82" i="19"/>
  <c r="AD77" i="19"/>
  <c r="AE81" i="19"/>
  <c r="AB85" i="19"/>
  <c r="AC94" i="19"/>
  <c r="AD91" i="19"/>
  <c r="AE75" i="19"/>
  <c r="AE74" i="19"/>
  <c r="AC74" i="19"/>
  <c r="AE86" i="19"/>
  <c r="AB79" i="19"/>
  <c r="AE83" i="19"/>
  <c r="AC67" i="19"/>
  <c r="AB77" i="19"/>
  <c r="AD72" i="19"/>
  <c r="AE94" i="19"/>
  <c r="AD86" i="19"/>
  <c r="AC66" i="19"/>
  <c r="AD84" i="19"/>
  <c r="AB87" i="19"/>
  <c r="AB93" i="19"/>
  <c r="AE95" i="19"/>
  <c r="AC91" i="19"/>
  <c r="AB69" i="19"/>
  <c r="AB80" i="19"/>
  <c r="AE90" i="19"/>
  <c r="AE71" i="19"/>
  <c r="AE77" i="19"/>
  <c r="AE93" i="19"/>
  <c r="AE85" i="19"/>
  <c r="AE84" i="19"/>
  <c r="AE88" i="19"/>
  <c r="AE76" i="19"/>
  <c r="AE92" i="19"/>
  <c r="AE68" i="19"/>
  <c r="AE80" i="19"/>
  <c r="AC88" i="19"/>
  <c r="AE72" i="19"/>
  <c r="AQ31" i="19"/>
  <c r="W47" i="27" s="1"/>
  <c r="AS31" i="19"/>
  <c r="Y47" i="27" s="1"/>
  <c r="AR34" i="19"/>
  <c r="X50" i="27" s="1"/>
  <c r="AT6" i="19"/>
  <c r="Z22" i="27" s="1"/>
  <c r="AS18" i="19"/>
  <c r="Y34" i="27" s="1"/>
  <c r="AT7" i="19"/>
  <c r="Z23" i="27" s="1"/>
  <c r="AA190" i="27"/>
  <c r="AT28" i="19"/>
  <c r="Z44" i="27" s="1"/>
  <c r="AQ34" i="19"/>
  <c r="W50" i="27" s="1"/>
  <c r="AD22" i="19"/>
  <c r="AE22" i="19"/>
  <c r="AP25" i="19"/>
  <c r="AN25" i="19"/>
  <c r="AL25" i="19"/>
  <c r="AC25" i="19"/>
  <c r="AB22" i="19"/>
  <c r="AN22" i="19"/>
  <c r="AR22" i="19" s="1"/>
  <c r="X38" i="27" s="1"/>
  <c r="AC22" i="19"/>
  <c r="AP22" i="19"/>
  <c r="AT22" i="19" s="1"/>
  <c r="Z38" i="27" s="1"/>
  <c r="AM22" i="19"/>
  <c r="AQ22" i="19" s="1"/>
  <c r="W38" i="27" s="1"/>
  <c r="AD25" i="19"/>
  <c r="AE25" i="19"/>
  <c r="AM25" i="19"/>
  <c r="AB25" i="19"/>
  <c r="AO22" i="19"/>
  <c r="AS22" i="19" s="1"/>
  <c r="Y38" i="27" s="1"/>
  <c r="AR18" i="19"/>
  <c r="X34" i="27" s="1"/>
  <c r="AQ18" i="19"/>
  <c r="W34" i="27" s="1"/>
  <c r="AA66" i="27"/>
  <c r="AB66" i="27" s="1"/>
  <c r="AA193" i="27"/>
  <c r="AA38" i="27"/>
  <c r="AB38" i="27" s="1"/>
  <c r="AA25" i="27"/>
  <c r="AB25" i="27" s="1"/>
  <c r="AA36" i="27"/>
  <c r="AB36" i="27" s="1"/>
  <c r="AA23" i="27"/>
  <c r="AB23" i="27" s="1"/>
  <c r="AA221" i="27"/>
  <c r="AA151" i="27"/>
  <c r="AB151" i="27" s="1"/>
  <c r="AA194" i="27"/>
  <c r="AA115" i="27"/>
  <c r="AB115" i="27" s="1"/>
  <c r="AA54" i="27"/>
  <c r="AB54" i="27" s="1"/>
  <c r="AA96" i="27"/>
  <c r="AB96" i="27" s="1"/>
  <c r="AA206" i="27"/>
  <c r="AA145" i="27"/>
  <c r="AB145" i="27" s="1"/>
  <c r="AA147" i="27"/>
  <c r="AB147" i="27" s="1"/>
  <c r="AA215" i="27"/>
  <c r="AA196" i="27"/>
  <c r="AA160" i="27"/>
  <c r="AB160" i="27" s="1"/>
  <c r="AA102" i="27"/>
  <c r="AB102" i="27" s="1"/>
  <c r="AA217" i="27"/>
  <c r="AA166" i="27"/>
  <c r="AB166" i="27" s="1"/>
  <c r="AA207" i="27"/>
  <c r="AA60" i="27"/>
  <c r="AB60" i="27" s="1"/>
  <c r="AS6" i="19"/>
  <c r="Y22" i="27" s="1"/>
  <c r="AA202" i="27"/>
  <c r="AA127" i="27"/>
  <c r="AB127" i="27" s="1"/>
  <c r="AA176" i="27"/>
  <c r="AB176" i="27" s="1"/>
  <c r="AA40" i="27"/>
  <c r="AB40" i="27" s="1"/>
  <c r="AA203" i="27"/>
  <c r="AA197" i="27"/>
  <c r="AA178" i="27"/>
  <c r="AB178" i="27" s="1"/>
  <c r="AA214" i="27"/>
  <c r="AA88" i="27"/>
  <c r="AB88" i="27" s="1"/>
  <c r="AA94" i="27"/>
  <c r="AB94" i="27" s="1"/>
  <c r="AA50" i="27"/>
  <c r="AB50" i="27" s="1"/>
  <c r="AA148" i="27"/>
  <c r="AB148" i="27" s="1"/>
  <c r="AA49" i="27"/>
  <c r="AB49" i="27" s="1"/>
  <c r="AA198" i="27"/>
  <c r="AA83" i="27"/>
  <c r="AB83" i="27" s="1"/>
  <c r="AA61" i="27"/>
  <c r="AB61" i="27" s="1"/>
  <c r="AA205" i="27"/>
  <c r="AA110" i="27"/>
  <c r="AB110" i="27" s="1"/>
  <c r="AA165" i="27"/>
  <c r="AB165" i="27" s="1"/>
  <c r="AA93" i="27"/>
  <c r="AB93" i="27" s="1"/>
  <c r="AA133" i="27"/>
  <c r="AB133" i="27" s="1"/>
  <c r="AA164" i="27"/>
  <c r="AB164" i="27" s="1"/>
  <c r="AR26" i="19"/>
  <c r="X42" i="27" s="1"/>
  <c r="AA187" i="27"/>
  <c r="AA218" i="27"/>
  <c r="AA130" i="27"/>
  <c r="AB130" i="27" s="1"/>
  <c r="AA123" i="27"/>
  <c r="AB123" i="27" s="1"/>
  <c r="AA117" i="27"/>
  <c r="AB117" i="27" s="1"/>
  <c r="AA34" i="27"/>
  <c r="AB34" i="27" s="1"/>
  <c r="AA32" i="27"/>
  <c r="AB32" i="27" s="1"/>
  <c r="AA100" i="27"/>
  <c r="AB100" i="27" s="1"/>
  <c r="AA44" i="27"/>
  <c r="AB44" i="27" s="1"/>
  <c r="AA53" i="27"/>
  <c r="AB53" i="27" s="1"/>
  <c r="AA179" i="27"/>
  <c r="AB179" i="27" s="1"/>
  <c r="AA89" i="27"/>
  <c r="AB89" i="27" s="1"/>
  <c r="AA56" i="27"/>
  <c r="AB56" i="27" s="1"/>
  <c r="AA158" i="27"/>
  <c r="AB158" i="27" s="1"/>
  <c r="AA189" i="27"/>
  <c r="AA159" i="27"/>
  <c r="AB159" i="27" s="1"/>
  <c r="AA68" i="27"/>
  <c r="AB68" i="27" s="1"/>
  <c r="AA65" i="27"/>
  <c r="AB65" i="27" s="1"/>
  <c r="AA70" i="27"/>
  <c r="AB70" i="27" s="1"/>
  <c r="AA135" i="27"/>
  <c r="AB135" i="27" s="1"/>
  <c r="AA137" i="27"/>
  <c r="AB137" i="27" s="1"/>
  <c r="AA167" i="27"/>
  <c r="AB167" i="27" s="1"/>
  <c r="AA46" i="27"/>
  <c r="AB46" i="27" s="1"/>
  <c r="AA48" i="27"/>
  <c r="AB48" i="27" s="1"/>
  <c r="AA191" i="27"/>
  <c r="AA185" i="27"/>
  <c r="AA122" i="27"/>
  <c r="AB122" i="27" s="1"/>
  <c r="AA186" i="27"/>
  <c r="AA98" i="27"/>
  <c r="AB98" i="27" s="1"/>
  <c r="AA35" i="27"/>
  <c r="AB35" i="27" s="1"/>
  <c r="AA78" i="27"/>
  <c r="AB78" i="27" s="1"/>
  <c r="AA55" i="27"/>
  <c r="AB55" i="27" s="1"/>
  <c r="AA152" i="27"/>
  <c r="AB152" i="27" s="1"/>
  <c r="AA124" i="27"/>
  <c r="AB124" i="27" s="1"/>
  <c r="AA59" i="27"/>
  <c r="AB59" i="27" s="1"/>
  <c r="AA213" i="27"/>
  <c r="AA142" i="27"/>
  <c r="AB142" i="27" s="1"/>
  <c r="AA26" i="27"/>
  <c r="AB26" i="27" s="1"/>
  <c r="AA200" i="27"/>
  <c r="AA182" i="27"/>
  <c r="AC65" i="19"/>
  <c r="AB32" i="19"/>
  <c r="AB65" i="19"/>
  <c r="AD8" i="19"/>
  <c r="AC9" i="19"/>
  <c r="AE46" i="19"/>
  <c r="AE20" i="19"/>
  <c r="AC36" i="19"/>
  <c r="AD19" i="19"/>
  <c r="AD17" i="19"/>
  <c r="AB59" i="19"/>
  <c r="AE26" i="19"/>
  <c r="AE55" i="19"/>
  <c r="AE33" i="19"/>
  <c r="AD5" i="19"/>
  <c r="AC8" i="19"/>
  <c r="AE14" i="19"/>
  <c r="AC27" i="19"/>
  <c r="AD31" i="19"/>
  <c r="AD54" i="19"/>
  <c r="AC49" i="19"/>
  <c r="AC26" i="19"/>
  <c r="AE29" i="19"/>
  <c r="AE34" i="19"/>
  <c r="AC61" i="19"/>
  <c r="AE58" i="19"/>
  <c r="AD42" i="19"/>
  <c r="AC14" i="19"/>
  <c r="AB57" i="19"/>
  <c r="AB62" i="19"/>
  <c r="AB16" i="19"/>
  <c r="AB48" i="19"/>
  <c r="AD47" i="19"/>
  <c r="AD41" i="19"/>
  <c r="AC62" i="19"/>
  <c r="AC15" i="19"/>
  <c r="AC18" i="19"/>
  <c r="AC41" i="19"/>
  <c r="AD24" i="19"/>
  <c r="AE9" i="19"/>
  <c r="AE5" i="19"/>
  <c r="AC16" i="19"/>
  <c r="AB14" i="19"/>
  <c r="AE36" i="19"/>
  <c r="AD39" i="19"/>
  <c r="AD36" i="19"/>
  <c r="AD53" i="19"/>
  <c r="AC64" i="19"/>
  <c r="AD23" i="19"/>
  <c r="AB34" i="19"/>
  <c r="AB10" i="19"/>
  <c r="AE52" i="19"/>
  <c r="AC17" i="19"/>
  <c r="AC29" i="19"/>
  <c r="AD44" i="19"/>
  <c r="AE49" i="19"/>
  <c r="AD21" i="19"/>
  <c r="AC7" i="19"/>
  <c r="AC44" i="19"/>
  <c r="AC34" i="19"/>
  <c r="AC60" i="19"/>
  <c r="AN7" i="19"/>
  <c r="AR7" i="19" s="1"/>
  <c r="X23" i="27" s="1"/>
  <c r="AC54" i="19"/>
  <c r="AE41" i="19"/>
  <c r="AC24" i="19"/>
  <c r="H94" i="19"/>
  <c r="AD49" i="19"/>
  <c r="AB26" i="19"/>
  <c r="AC10" i="19"/>
  <c r="AE62" i="19"/>
  <c r="AB24" i="19"/>
  <c r="AE12" i="19"/>
  <c r="AD28" i="19"/>
  <c r="AB42" i="19"/>
  <c r="AB44" i="19"/>
  <c r="AC19" i="19"/>
  <c r="AB63" i="19"/>
  <c r="C67" i="27"/>
  <c r="L67" i="27" s="1"/>
  <c r="AA111" i="27" s="1"/>
  <c r="AB111" i="27" s="1"/>
  <c r="AC6" i="19"/>
  <c r="AC23" i="19"/>
  <c r="AC56" i="19"/>
  <c r="AC51" i="19"/>
  <c r="AB36" i="19"/>
  <c r="AB61" i="19"/>
  <c r="AC48" i="19"/>
  <c r="AC58" i="19"/>
  <c r="AC11" i="19"/>
  <c r="AB18" i="19"/>
  <c r="AD46" i="19"/>
  <c r="AD11" i="19"/>
  <c r="AE57" i="19"/>
  <c r="AB8" i="19"/>
  <c r="AE39" i="19"/>
  <c r="AC43" i="19"/>
  <c r="AC53" i="19"/>
  <c r="AE16" i="19"/>
  <c r="AD16" i="19"/>
  <c r="AC42" i="19"/>
  <c r="AD52" i="19"/>
  <c r="AD9" i="19"/>
  <c r="AB5" i="19"/>
  <c r="AC57" i="19"/>
  <c r="AC32" i="19"/>
  <c r="AC37" i="19"/>
  <c r="AB28" i="19"/>
  <c r="AE17" i="19"/>
  <c r="AE63" i="19"/>
  <c r="AE6" i="19"/>
  <c r="AE65" i="19"/>
  <c r="AE51" i="19"/>
  <c r="AC33" i="19"/>
  <c r="AC28" i="19"/>
  <c r="AE53" i="19"/>
  <c r="AE13" i="19"/>
  <c r="AP17" i="19"/>
  <c r="AO28" i="19"/>
  <c r="AS28" i="19" s="1"/>
  <c r="Y44" i="27" s="1"/>
  <c r="AN29" i="19"/>
  <c r="AM28" i="19"/>
  <c r="AQ28" i="19" s="1"/>
  <c r="W44" i="27" s="1"/>
  <c r="AE15" i="19"/>
  <c r="AP31" i="19"/>
  <c r="AT31" i="19" s="1"/>
  <c r="Z47" i="27" s="1"/>
  <c r="AM16" i="19"/>
  <c r="AB27" i="19"/>
  <c r="AP34" i="19"/>
  <c r="AT34" i="19" s="1"/>
  <c r="Z50" i="27" s="1"/>
  <c r="AM17" i="19"/>
  <c r="AP11" i="19"/>
  <c r="AL24" i="19"/>
  <c r="AD6" i="19"/>
  <c r="AO29" i="19"/>
  <c r="AO20" i="19"/>
  <c r="AS20" i="19" s="1"/>
  <c r="Y36" i="27" s="1"/>
  <c r="AE24" i="19"/>
  <c r="AC63" i="19"/>
  <c r="AB51" i="19"/>
  <c r="AO32" i="19"/>
  <c r="AM26" i="19"/>
  <c r="AQ26" i="19" s="1"/>
  <c r="W42" i="27" s="1"/>
  <c r="AE23" i="19"/>
  <c r="AO12" i="19"/>
  <c r="AN23" i="19"/>
  <c r="AE32" i="19"/>
  <c r="AL19" i="19"/>
  <c r="AM27" i="19"/>
  <c r="AP15" i="19"/>
  <c r="AD10" i="19"/>
  <c r="AB38" i="19"/>
  <c r="AE43" i="19"/>
  <c r="AC46" i="19"/>
  <c r="AD14" i="19"/>
  <c r="AL13" i="19"/>
  <c r="AP5" i="19"/>
  <c r="AD48" i="19"/>
  <c r="AB13" i="19"/>
  <c r="AD29" i="19"/>
  <c r="AD26" i="19"/>
  <c r="AD57" i="19"/>
  <c r="AL21" i="19"/>
  <c r="AB43" i="19"/>
  <c r="AO14" i="19"/>
  <c r="AE27" i="19"/>
  <c r="AL9" i="19"/>
  <c r="AP29" i="19"/>
  <c r="AN14" i="19"/>
  <c r="AD15" i="19"/>
  <c r="AL5" i="19"/>
  <c r="AO13" i="19"/>
  <c r="AB33" i="19"/>
  <c r="AP13" i="19"/>
  <c r="AL32" i="19"/>
  <c r="AP18" i="19"/>
  <c r="AT18" i="19" s="1"/>
  <c r="Z34" i="27" s="1"/>
  <c r="AN17" i="19"/>
  <c r="AE60" i="19"/>
  <c r="AB31" i="19"/>
  <c r="AN10" i="19"/>
  <c r="AB56" i="19"/>
  <c r="AP32" i="19"/>
  <c r="AN32" i="19"/>
  <c r="AO26" i="19"/>
  <c r="AS26" i="19" s="1"/>
  <c r="Y42" i="27" s="1"/>
  <c r="AP20" i="19"/>
  <c r="AT20" i="19" s="1"/>
  <c r="Z36" i="27" s="1"/>
  <c r="AD59" i="19"/>
  <c r="AD13" i="19"/>
  <c r="AD37" i="19"/>
  <c r="AO8" i="19"/>
  <c r="AB29" i="19"/>
  <c r="AN9" i="19"/>
  <c r="AN20" i="19"/>
  <c r="AR20" i="19" s="1"/>
  <c r="X36" i="27" s="1"/>
  <c r="AD65" i="19"/>
  <c r="AN31" i="19"/>
  <c r="AR31" i="19" s="1"/>
  <c r="X47" i="27" s="1"/>
  <c r="AB11" i="19"/>
  <c r="AD63" i="19"/>
  <c r="AD60" i="19"/>
  <c r="AB21" i="19"/>
  <c r="AL27" i="19"/>
  <c r="AB37" i="19"/>
  <c r="AL10" i="19"/>
  <c r="AC5" i="19"/>
  <c r="AE44" i="19"/>
  <c r="AD61" i="19"/>
  <c r="AN5" i="19"/>
  <c r="AD64" i="19"/>
  <c r="AP12" i="19"/>
  <c r="AE31" i="19"/>
  <c r="AP16" i="19"/>
  <c r="AN6" i="19"/>
  <c r="AR6" i="19" s="1"/>
  <c r="X22" i="27" s="1"/>
  <c r="AP21" i="19"/>
  <c r="AB20" i="19"/>
  <c r="AL15" i="19"/>
  <c r="AM20" i="19"/>
  <c r="AQ20" i="19" s="1"/>
  <c r="W36" i="27" s="1"/>
  <c r="AD18" i="19"/>
  <c r="AB39" i="19"/>
  <c r="AN11" i="19"/>
  <c r="AM6" i="19"/>
  <c r="AQ6" i="19" s="1"/>
  <c r="W22" i="27" s="1"/>
  <c r="AP8" i="19"/>
  <c r="AL16" i="19"/>
  <c r="AB17" i="19"/>
  <c r="AP27" i="19"/>
  <c r="AN16" i="19"/>
  <c r="AC12" i="19"/>
  <c r="AO10" i="19"/>
  <c r="AE48" i="19"/>
  <c r="AP14" i="19"/>
  <c r="AD56" i="19"/>
  <c r="AN28" i="19"/>
  <c r="AR28" i="19" s="1"/>
  <c r="X44" i="27" s="1"/>
  <c r="AM19" i="19"/>
  <c r="AO11" i="19"/>
  <c r="AM21" i="19"/>
  <c r="AC39" i="19"/>
  <c r="AD38" i="19"/>
  <c r="AL33" i="19"/>
  <c r="AN19" i="19"/>
  <c r="AE37" i="19"/>
  <c r="AE54" i="19"/>
  <c r="AB9" i="19"/>
  <c r="AO23" i="19"/>
  <c r="AM33" i="19"/>
  <c r="AC38" i="19"/>
  <c r="AO9" i="19"/>
  <c r="AP26" i="19"/>
  <c r="AT26" i="19" s="1"/>
  <c r="Z42" i="27" s="1"/>
  <c r="AE7" i="19"/>
  <c r="AE19" i="19"/>
  <c r="AN8" i="19"/>
  <c r="AM11" i="19"/>
  <c r="AC20" i="19"/>
  <c r="AC47" i="19"/>
  <c r="AE47" i="19"/>
  <c r="AN12" i="19"/>
  <c r="AD12" i="19"/>
  <c r="AC21" i="19"/>
  <c r="AM5" i="19"/>
  <c r="AM13" i="19"/>
  <c r="AP23" i="19"/>
  <c r="AD20" i="19"/>
  <c r="AL11" i="19"/>
  <c r="AM14" i="19"/>
  <c r="AB15" i="19"/>
  <c r="AL23" i="19"/>
  <c r="AD7" i="19"/>
  <c r="AL8" i="19"/>
  <c r="AO21" i="19"/>
  <c r="AL17" i="19"/>
  <c r="AO34" i="19"/>
  <c r="AS34" i="19" s="1"/>
  <c r="Y50" i="27" s="1"/>
  <c r="AB52" i="19"/>
  <c r="AO33" i="19"/>
  <c r="AB6" i="19"/>
  <c r="AM24" i="19"/>
  <c r="AB23" i="19"/>
  <c r="AB12" i="19"/>
  <c r="AL29" i="19"/>
  <c r="AB41" i="19"/>
  <c r="AC59" i="19"/>
  <c r="AB7" i="19"/>
  <c r="AN13" i="19"/>
  <c r="AN33" i="19"/>
  <c r="AO19" i="19"/>
  <c r="AD62" i="19"/>
  <c r="AC13" i="19"/>
  <c r="AL14" i="19"/>
  <c r="AO17" i="19"/>
  <c r="AE56" i="19"/>
  <c r="AE59" i="19"/>
  <c r="AB54" i="19"/>
  <c r="AO5" i="19"/>
  <c r="AD51" i="19"/>
  <c r="AM8" i="19"/>
  <c r="AM7" i="19"/>
  <c r="AQ7" i="19" s="1"/>
  <c r="W23" i="27" s="1"/>
  <c r="AM12" i="19"/>
  <c r="AD33" i="19"/>
  <c r="AE38" i="19"/>
  <c r="AL12" i="19"/>
  <c r="L65" i="27"/>
  <c r="AA103" i="27" s="1"/>
  <c r="AB103" i="27" s="1"/>
  <c r="I64" i="27"/>
  <c r="K64" i="27"/>
  <c r="H64" i="27"/>
  <c r="J64" i="27"/>
  <c r="AA99" i="27"/>
  <c r="AB99" i="27" s="1"/>
  <c r="AA62" i="27"/>
  <c r="AB62" i="27" s="1"/>
  <c r="AA73" i="27"/>
  <c r="AB73" i="27" s="1"/>
  <c r="AA114" i="27"/>
  <c r="AB114" i="27" s="1"/>
  <c r="AA39" i="27"/>
  <c r="AB39" i="27" s="1"/>
  <c r="AA184" i="27"/>
  <c r="AA201" i="27"/>
  <c r="AA172" i="27"/>
  <c r="AB172" i="27" s="1"/>
  <c r="AA161" i="27"/>
  <c r="AB161" i="27" s="1"/>
  <c r="AA72" i="27"/>
  <c r="AB72" i="27" s="1"/>
  <c r="AA144" i="27"/>
  <c r="AB144" i="27" s="1"/>
  <c r="AA24" i="27"/>
  <c r="AB24" i="27" s="1"/>
  <c r="AA192" i="27"/>
  <c r="AA105" i="27"/>
  <c r="AB105" i="27" s="1"/>
  <c r="AA154" i="27"/>
  <c r="AB154" i="27" s="1"/>
  <c r="AA199" i="27"/>
  <c r="AA97" i="27"/>
  <c r="AB97" i="27" s="1"/>
  <c r="AA139" i="27"/>
  <c r="AB139" i="27" s="1"/>
  <c r="AA143" i="27"/>
  <c r="AB143" i="27" s="1"/>
  <c r="AA52" i="27"/>
  <c r="AB52" i="27" s="1"/>
  <c r="AA51" i="27"/>
  <c r="AB51" i="27" s="1"/>
  <c r="AA128" i="27"/>
  <c r="AB128" i="27" s="1"/>
  <c r="AA175" i="27"/>
  <c r="AB175" i="27" s="1"/>
  <c r="AA134" i="27"/>
  <c r="AB134" i="27" s="1"/>
  <c r="AA209" i="27"/>
  <c r="AA173" i="27"/>
  <c r="AB173" i="27" s="1"/>
  <c r="AA107" i="27"/>
  <c r="AB107" i="27" s="1"/>
  <c r="AA109" i="27"/>
  <c r="AB109" i="27" s="1"/>
  <c r="AA208" i="27"/>
  <c r="AA140" i="27"/>
  <c r="AB140" i="27" s="1"/>
  <c r="AA45" i="27"/>
  <c r="AB45" i="27" s="1"/>
  <c r="AA64" i="27"/>
  <c r="AB64" i="27" s="1"/>
  <c r="AA22" i="27"/>
  <c r="AB22" i="27" s="1"/>
  <c r="AA113" i="27"/>
  <c r="AB113" i="27" s="1"/>
  <c r="AA219" i="27"/>
  <c r="AA69" i="27"/>
  <c r="AB69" i="27" s="1"/>
  <c r="AA119" i="27"/>
  <c r="AB119" i="27" s="1"/>
  <c r="AA71" i="27"/>
  <c r="AB71" i="27" s="1"/>
  <c r="AA33" i="27"/>
  <c r="AB33" i="27" s="1"/>
  <c r="AA57" i="27"/>
  <c r="AB57" i="27" s="1"/>
  <c r="AA112" i="27"/>
  <c r="AB112" i="27" s="1"/>
  <c r="AA84" i="27"/>
  <c r="AB84" i="27" s="1"/>
  <c r="AA163" i="27"/>
  <c r="AB163" i="27" s="1"/>
  <c r="AA162" i="27"/>
  <c r="AB162" i="27" s="1"/>
  <c r="AA120" i="27"/>
  <c r="AB120" i="27" s="1"/>
  <c r="AA170" i="27"/>
  <c r="AB170" i="27" s="1"/>
  <c r="AA169" i="27"/>
  <c r="AB169" i="27" s="1"/>
  <c r="AA104" i="27"/>
  <c r="AB104" i="27" s="1"/>
  <c r="AA174" i="27"/>
  <c r="AB174" i="27" s="1"/>
  <c r="AA42" i="27"/>
  <c r="AB42" i="27" s="1"/>
  <c r="AA155" i="27"/>
  <c r="AB155" i="27" s="1"/>
  <c r="AA132" i="27"/>
  <c r="AB132" i="27" s="1"/>
  <c r="AA181" i="27"/>
  <c r="AB181" i="27" s="1"/>
  <c r="AA138" i="27"/>
  <c r="AB138" i="27" s="1"/>
  <c r="AA28" i="27"/>
  <c r="AB28" i="27" s="1"/>
  <c r="AA121" i="27"/>
  <c r="AB121" i="27" s="1"/>
  <c r="AA29" i="27"/>
  <c r="AB29" i="27" s="1"/>
  <c r="AA216" i="27"/>
  <c r="AA156" i="27"/>
  <c r="AB156" i="27" s="1"/>
  <c r="AA58" i="27"/>
  <c r="AB58" i="27" s="1"/>
  <c r="AA150" i="27"/>
  <c r="AB150" i="27" s="1"/>
  <c r="AA43" i="27"/>
  <c r="AB43" i="27" s="1"/>
  <c r="AA27" i="27"/>
  <c r="AB27" i="27" s="1"/>
  <c r="AA180" i="27"/>
  <c r="AB180" i="27" s="1"/>
  <c r="AA168" i="27"/>
  <c r="AB168" i="27" s="1"/>
  <c r="AA106" i="27"/>
  <c r="AB106" i="27" s="1"/>
  <c r="AA183" i="27"/>
  <c r="AA116" i="27"/>
  <c r="AB116" i="27" s="1"/>
  <c r="AA146" i="27"/>
  <c r="AB146" i="27" s="1"/>
  <c r="AA37" i="27"/>
  <c r="AB37" i="27" s="1"/>
  <c r="AA131" i="27"/>
  <c r="AB131" i="27" s="1"/>
  <c r="AA67" i="27"/>
  <c r="AB67" i="27" s="1"/>
  <c r="AA47" i="27"/>
  <c r="AB47" i="27" s="1"/>
  <c r="AA220" i="27"/>
  <c r="AA177" i="27"/>
  <c r="AB177" i="27" s="1"/>
  <c r="AA125" i="27"/>
  <c r="AB125" i="27" s="1"/>
  <c r="AA149" i="27"/>
  <c r="AB149" i="27" s="1"/>
  <c r="AA126" i="27"/>
  <c r="AB126" i="27" s="1"/>
  <c r="AA211" i="27"/>
  <c r="AA129" i="27"/>
  <c r="AB129" i="27" s="1"/>
  <c r="AA118" i="27"/>
  <c r="AB118" i="27" s="1"/>
  <c r="AA41" i="27"/>
  <c r="AB41" i="27" s="1"/>
  <c r="AA30" i="27"/>
  <c r="AB30" i="27" s="1"/>
  <c r="AA212" i="27"/>
  <c r="AA108" i="27"/>
  <c r="AB108" i="27" s="1"/>
  <c r="AA171" i="27"/>
  <c r="AB171" i="27" s="1"/>
  <c r="AA210" i="27"/>
  <c r="AA204" i="27"/>
  <c r="AA195" i="27"/>
  <c r="AA188" i="27"/>
  <c r="AA63" i="27"/>
  <c r="AB63" i="27" s="1"/>
  <c r="AA31" i="27"/>
  <c r="AB31" i="27" s="1"/>
  <c r="AA153" i="27"/>
  <c r="AB153" i="27" s="1"/>
  <c r="L63" i="27"/>
  <c r="AA76" i="27" s="1"/>
  <c r="AB76" i="27" s="1"/>
  <c r="AI13" i="13"/>
  <c r="AF14" i="13"/>
  <c r="K14" i="13"/>
  <c r="J15" i="13"/>
  <c r="Q64" i="19"/>
  <c r="S9" i="19"/>
  <c r="T9" i="19" s="1"/>
  <c r="X9" i="19" s="1"/>
  <c r="Y9" i="19" s="1"/>
  <c r="R10" i="19"/>
  <c r="K16" i="19"/>
  <c r="O16" i="19" s="1"/>
  <c r="J17" i="19"/>
  <c r="Y13" i="18"/>
  <c r="R15" i="18"/>
  <c r="S14" i="18"/>
  <c r="T14" i="18" s="1"/>
  <c r="X14" i="18" s="1"/>
  <c r="K14" i="18"/>
  <c r="O14" i="18" s="1"/>
  <c r="J15" i="18"/>
  <c r="AH18" i="18"/>
  <c r="AI17" i="18"/>
  <c r="AF20" i="18"/>
  <c r="AT105" i="19" l="1"/>
  <c r="Z121" i="27" s="1"/>
  <c r="AQ105" i="19"/>
  <c r="W121" i="27" s="1"/>
  <c r="AR105" i="19"/>
  <c r="X121" i="27" s="1"/>
  <c r="AS105" i="19"/>
  <c r="Y121" i="27" s="1"/>
  <c r="AA136" i="27"/>
  <c r="AB136" i="27" s="1"/>
  <c r="AY8" i="19"/>
  <c r="AY9" i="19" s="1"/>
  <c r="AY10" i="19" s="1"/>
  <c r="AY11" i="19" s="1"/>
  <c r="AY12" i="19" s="1"/>
  <c r="AY13" i="19" s="1"/>
  <c r="AY14" i="19" s="1"/>
  <c r="AY15" i="19" s="1"/>
  <c r="AY16" i="19" s="1"/>
  <c r="AY17" i="19" s="1"/>
  <c r="AY18" i="19" s="1"/>
  <c r="AY19" i="19" s="1"/>
  <c r="AY20" i="19" s="1"/>
  <c r="AY21" i="19" s="1"/>
  <c r="AY22" i="19" s="1"/>
  <c r="AY23" i="19" s="1"/>
  <c r="AY24" i="19" s="1"/>
  <c r="AY25" i="19" s="1"/>
  <c r="AY26" i="19" s="1"/>
  <c r="AY27" i="19" s="1"/>
  <c r="AY28" i="19" s="1"/>
  <c r="AY29" i="19" s="1"/>
  <c r="AY30" i="19" s="1"/>
  <c r="AY31" i="19" s="1"/>
  <c r="AY32" i="19" s="1"/>
  <c r="AY33" i="19" s="1"/>
  <c r="AY34" i="19" s="1"/>
  <c r="AY35" i="19" s="1"/>
  <c r="C123" i="19" s="1"/>
  <c r="J17" i="20"/>
  <c r="K16" i="20"/>
  <c r="O16" i="20" s="1"/>
  <c r="Y16" i="20" s="1"/>
  <c r="AA141" i="27"/>
  <c r="AB141" i="27" s="1"/>
  <c r="AT125" i="19"/>
  <c r="Z141" i="27" s="1"/>
  <c r="AS125" i="19"/>
  <c r="Y141" i="27" s="1"/>
  <c r="AR125" i="19"/>
  <c r="X141" i="27" s="1"/>
  <c r="AQ125" i="19"/>
  <c r="W141" i="27" s="1"/>
  <c r="AA82" i="27"/>
  <c r="AB82" i="27" s="1"/>
  <c r="AA92" i="27"/>
  <c r="AB92" i="27" s="1"/>
  <c r="AA90" i="27"/>
  <c r="AB90" i="27" s="1"/>
  <c r="AA91" i="27"/>
  <c r="AB91" i="27" s="1"/>
  <c r="Y93" i="21"/>
  <c r="R95" i="21"/>
  <c r="S95" i="21" s="1"/>
  <c r="T95" i="21" s="1"/>
  <c r="X95" i="21" s="1"/>
  <c r="Y95" i="21" s="1"/>
  <c r="S94" i="21"/>
  <c r="T94" i="21" s="1"/>
  <c r="X94" i="21" s="1"/>
  <c r="Y94" i="21" s="1"/>
  <c r="O14" i="13"/>
  <c r="Y15" i="26"/>
  <c r="K16" i="26"/>
  <c r="O16" i="26" s="1"/>
  <c r="J17" i="26"/>
  <c r="AI11" i="26"/>
  <c r="AF12" i="26"/>
  <c r="Y14" i="26"/>
  <c r="S16" i="26"/>
  <c r="R17" i="26"/>
  <c r="AQ61" i="19"/>
  <c r="W77" i="27" s="1"/>
  <c r="S17" i="20"/>
  <c r="T17" i="20" s="1"/>
  <c r="X17" i="20" s="1"/>
  <c r="R18" i="20"/>
  <c r="AF17" i="20"/>
  <c r="AI16" i="20"/>
  <c r="T13" i="13"/>
  <c r="X12" i="13"/>
  <c r="Y12" i="13" s="1"/>
  <c r="AA101" i="27"/>
  <c r="AB101" i="27" s="1"/>
  <c r="AQ74" i="19"/>
  <c r="W90" i="27" s="1"/>
  <c r="AT74" i="19"/>
  <c r="Z90" i="27" s="1"/>
  <c r="AS74" i="19"/>
  <c r="Y90" i="27" s="1"/>
  <c r="AR74" i="19"/>
  <c r="X90" i="27" s="1"/>
  <c r="AT69" i="19"/>
  <c r="Z85" i="27" s="1"/>
  <c r="AS69" i="19"/>
  <c r="Y85" i="27" s="1"/>
  <c r="AR69" i="19"/>
  <c r="X85" i="27" s="1"/>
  <c r="AQ69" i="19"/>
  <c r="W85" i="27" s="1"/>
  <c r="AQ89" i="19"/>
  <c r="W105" i="27" s="1"/>
  <c r="AR89" i="19"/>
  <c r="X105" i="27" s="1"/>
  <c r="AT89" i="19"/>
  <c r="Z105" i="27" s="1"/>
  <c r="AS89" i="19"/>
  <c r="Y105" i="27" s="1"/>
  <c r="AR91" i="19"/>
  <c r="X107" i="27" s="1"/>
  <c r="AT91" i="19"/>
  <c r="Z107" i="27" s="1"/>
  <c r="AS91" i="19"/>
  <c r="Y107" i="27" s="1"/>
  <c r="AQ91" i="19"/>
  <c r="W107" i="27" s="1"/>
  <c r="AQ84" i="19"/>
  <c r="W100" i="27" s="1"/>
  <c r="AT84" i="19"/>
  <c r="Z100" i="27" s="1"/>
  <c r="AS84" i="19"/>
  <c r="Y100" i="27" s="1"/>
  <c r="AR84" i="19"/>
  <c r="X100" i="27" s="1"/>
  <c r="AR83" i="19"/>
  <c r="X99" i="27" s="1"/>
  <c r="AT83" i="19"/>
  <c r="Z99" i="27" s="1"/>
  <c r="AS83" i="19"/>
  <c r="Y99" i="27" s="1"/>
  <c r="AQ83" i="19"/>
  <c r="W99" i="27" s="1"/>
  <c r="AS66" i="19"/>
  <c r="Y82" i="27" s="1"/>
  <c r="AQ66" i="19"/>
  <c r="W82" i="27" s="1"/>
  <c r="AT66" i="19"/>
  <c r="Z82" i="27" s="1"/>
  <c r="AR66" i="19"/>
  <c r="X82" i="27" s="1"/>
  <c r="AQ68" i="19"/>
  <c r="W84" i="27" s="1"/>
  <c r="AT68" i="19"/>
  <c r="Z84" i="27" s="1"/>
  <c r="AS68" i="19"/>
  <c r="Y84" i="27" s="1"/>
  <c r="AR68" i="19"/>
  <c r="X84" i="27" s="1"/>
  <c r="AT92" i="19"/>
  <c r="Z108" i="27" s="1"/>
  <c r="AS92" i="19"/>
  <c r="Y108" i="27" s="1"/>
  <c r="AR92" i="19"/>
  <c r="X108" i="27" s="1"/>
  <c r="AQ92" i="19"/>
  <c r="W108" i="27" s="1"/>
  <c r="AT93" i="19"/>
  <c r="Z109" i="27" s="1"/>
  <c r="AS93" i="19"/>
  <c r="Y109" i="27" s="1"/>
  <c r="AR93" i="19"/>
  <c r="X109" i="27" s="1"/>
  <c r="AQ93" i="19"/>
  <c r="W109" i="27" s="1"/>
  <c r="AT78" i="19"/>
  <c r="Z94" i="27" s="1"/>
  <c r="AS78" i="19"/>
  <c r="Y94" i="27" s="1"/>
  <c r="AR78" i="19"/>
  <c r="X94" i="27" s="1"/>
  <c r="AQ78" i="19"/>
  <c r="W94" i="27" s="1"/>
  <c r="AR75" i="19"/>
  <c r="X91" i="27" s="1"/>
  <c r="AT75" i="19"/>
  <c r="Z91" i="27" s="1"/>
  <c r="AS75" i="19"/>
  <c r="Y91" i="27" s="1"/>
  <c r="AQ75" i="19"/>
  <c r="W91" i="27" s="1"/>
  <c r="AQ73" i="19"/>
  <c r="W89" i="27" s="1"/>
  <c r="AT73" i="19"/>
  <c r="Z89" i="27" s="1"/>
  <c r="AR73" i="19"/>
  <c r="X89" i="27" s="1"/>
  <c r="AS73" i="19"/>
  <c r="Y89" i="27" s="1"/>
  <c r="AS95" i="19"/>
  <c r="Y111" i="27" s="1"/>
  <c r="AR95" i="19"/>
  <c r="X111" i="27" s="1"/>
  <c r="AQ95" i="19"/>
  <c r="W111" i="27" s="1"/>
  <c r="AT95" i="19"/>
  <c r="Z111" i="27" s="1"/>
  <c r="AR80" i="19"/>
  <c r="X96" i="27" s="1"/>
  <c r="AQ80" i="19"/>
  <c r="W96" i="27" s="1"/>
  <c r="AS80" i="19"/>
  <c r="Y96" i="27" s="1"/>
  <c r="AT80" i="19"/>
  <c r="Z96" i="27" s="1"/>
  <c r="AS79" i="19"/>
  <c r="Y95" i="27" s="1"/>
  <c r="AR79" i="19"/>
  <c r="X95" i="27" s="1"/>
  <c r="AQ79" i="19"/>
  <c r="W95" i="27" s="1"/>
  <c r="AT79" i="19"/>
  <c r="Z95" i="27" s="1"/>
  <c r="AR88" i="19"/>
  <c r="X104" i="27" s="1"/>
  <c r="AQ88" i="19"/>
  <c r="W104" i="27" s="1"/>
  <c r="AT88" i="19"/>
  <c r="Z104" i="27" s="1"/>
  <c r="AS88" i="19"/>
  <c r="Y104" i="27" s="1"/>
  <c r="AS71" i="19"/>
  <c r="Y87" i="27" s="1"/>
  <c r="AT71" i="19"/>
  <c r="Z87" i="27" s="1"/>
  <c r="AR71" i="19"/>
  <c r="X87" i="27" s="1"/>
  <c r="AQ71" i="19"/>
  <c r="W87" i="27" s="1"/>
  <c r="AQ81" i="19"/>
  <c r="W97" i="27" s="1"/>
  <c r="AT81" i="19"/>
  <c r="Z97" i="27" s="1"/>
  <c r="AR81" i="19"/>
  <c r="X97" i="27" s="1"/>
  <c r="AS81" i="19"/>
  <c r="Y97" i="27" s="1"/>
  <c r="AT85" i="19"/>
  <c r="Z101" i="27" s="1"/>
  <c r="AS85" i="19"/>
  <c r="Y101" i="27" s="1"/>
  <c r="AR85" i="19"/>
  <c r="X101" i="27" s="1"/>
  <c r="AQ85" i="19"/>
  <c r="W101" i="27" s="1"/>
  <c r="AR72" i="19"/>
  <c r="X88" i="27" s="1"/>
  <c r="AQ72" i="19"/>
  <c r="W88" i="27" s="1"/>
  <c r="AT72" i="19"/>
  <c r="Z88" i="27" s="1"/>
  <c r="AS72" i="19"/>
  <c r="Y88" i="27" s="1"/>
  <c r="AT70" i="19"/>
  <c r="Z86" i="27" s="1"/>
  <c r="AS70" i="19"/>
  <c r="Y86" i="27" s="1"/>
  <c r="AR70" i="19"/>
  <c r="X86" i="27" s="1"/>
  <c r="AQ70" i="19"/>
  <c r="W86" i="27" s="1"/>
  <c r="AT86" i="19"/>
  <c r="Z102" i="27" s="1"/>
  <c r="AS86" i="19"/>
  <c r="Y102" i="27" s="1"/>
  <c r="AR86" i="19"/>
  <c r="X102" i="27" s="1"/>
  <c r="AQ86" i="19"/>
  <c r="W102" i="27" s="1"/>
  <c r="AT77" i="19"/>
  <c r="Z93" i="27" s="1"/>
  <c r="AS77" i="19"/>
  <c r="Y93" i="27" s="1"/>
  <c r="AR77" i="19"/>
  <c r="X93" i="27" s="1"/>
  <c r="AQ77" i="19"/>
  <c r="W93" i="27" s="1"/>
  <c r="AS87" i="19"/>
  <c r="Y103" i="27" s="1"/>
  <c r="AR87" i="19"/>
  <c r="X103" i="27" s="1"/>
  <c r="AQ87" i="19"/>
  <c r="W103" i="27" s="1"/>
  <c r="AT87" i="19"/>
  <c r="Z103" i="27" s="1"/>
  <c r="AS90" i="19"/>
  <c r="Y106" i="27" s="1"/>
  <c r="AT90" i="19"/>
  <c r="Z106" i="27" s="1"/>
  <c r="AR90" i="19"/>
  <c r="X106" i="27" s="1"/>
  <c r="AQ90" i="19"/>
  <c r="W106" i="27" s="1"/>
  <c r="AS82" i="19"/>
  <c r="Y98" i="27" s="1"/>
  <c r="AQ82" i="19"/>
  <c r="W98" i="27" s="1"/>
  <c r="AT82" i="19"/>
  <c r="Z98" i="27" s="1"/>
  <c r="AR82" i="19"/>
  <c r="X98" i="27" s="1"/>
  <c r="AT76" i="19"/>
  <c r="Z92" i="27" s="1"/>
  <c r="AQ76" i="19"/>
  <c r="W92" i="27" s="1"/>
  <c r="AS76" i="19"/>
  <c r="Y92" i="27" s="1"/>
  <c r="AR76" i="19"/>
  <c r="X92" i="27" s="1"/>
  <c r="AT67" i="19"/>
  <c r="Z83" i="27" s="1"/>
  <c r="AR67" i="19"/>
  <c r="X83" i="27" s="1"/>
  <c r="AS67" i="19"/>
  <c r="Y83" i="27" s="1"/>
  <c r="AQ67" i="19"/>
  <c r="W83" i="27" s="1"/>
  <c r="AT94" i="19"/>
  <c r="Z110" i="27" s="1"/>
  <c r="AS94" i="19"/>
  <c r="Y110" i="27" s="1"/>
  <c r="AR94" i="19"/>
  <c r="X110" i="27" s="1"/>
  <c r="AQ94" i="19"/>
  <c r="W110" i="27" s="1"/>
  <c r="AA77" i="27"/>
  <c r="AB77" i="27" s="1"/>
  <c r="AR36" i="19"/>
  <c r="X52" i="27" s="1"/>
  <c r="AQ37" i="19"/>
  <c r="W53" i="27" s="1"/>
  <c r="AS51" i="19"/>
  <c r="Y67" i="27" s="1"/>
  <c r="V66" i="27"/>
  <c r="AQ64" i="19"/>
  <c r="W80" i="27" s="1"/>
  <c r="V71" i="27"/>
  <c r="AR63" i="19"/>
  <c r="X79" i="27" s="1"/>
  <c r="AT53" i="19"/>
  <c r="Z69" i="27" s="1"/>
  <c r="AR53" i="19"/>
  <c r="X69" i="27" s="1"/>
  <c r="AS53" i="19"/>
  <c r="Y69" i="27" s="1"/>
  <c r="AT39" i="19"/>
  <c r="Z55" i="27" s="1"/>
  <c r="AS39" i="19"/>
  <c r="Y55" i="27" s="1"/>
  <c r="AQ39" i="19"/>
  <c r="W55" i="27" s="1"/>
  <c r="AS46" i="19"/>
  <c r="Y62" i="27" s="1"/>
  <c r="AR46" i="19"/>
  <c r="X62" i="27" s="1"/>
  <c r="AT46" i="19"/>
  <c r="Z62" i="27" s="1"/>
  <c r="AQ46" i="19"/>
  <c r="W62" i="27" s="1"/>
  <c r="AR47" i="19"/>
  <c r="X63" i="27" s="1"/>
  <c r="AS47" i="19"/>
  <c r="Y63" i="27" s="1"/>
  <c r="AQ47" i="19"/>
  <c r="W63" i="27" s="1"/>
  <c r="AT47" i="19"/>
  <c r="Z63" i="27" s="1"/>
  <c r="AT43" i="19"/>
  <c r="Z59" i="27" s="1"/>
  <c r="AQ43" i="19"/>
  <c r="W59" i="27" s="1"/>
  <c r="AR43" i="19"/>
  <c r="X59" i="27" s="1"/>
  <c r="AT56" i="19"/>
  <c r="Z72" i="27" s="1"/>
  <c r="AR56" i="19"/>
  <c r="X72" i="27" s="1"/>
  <c r="AQ56" i="19"/>
  <c r="W72" i="27" s="1"/>
  <c r="AS56" i="19"/>
  <c r="Y72" i="27" s="1"/>
  <c r="AT64" i="19"/>
  <c r="Z80" i="27" s="1"/>
  <c r="AR64" i="19"/>
  <c r="X80" i="27" s="1"/>
  <c r="AS64" i="19"/>
  <c r="Y80" i="27" s="1"/>
  <c r="AQ48" i="19"/>
  <c r="W64" i="27" s="1"/>
  <c r="AR48" i="19"/>
  <c r="X64" i="27" s="1"/>
  <c r="AS48" i="19"/>
  <c r="Y64" i="27" s="1"/>
  <c r="AT48" i="19"/>
  <c r="Z64" i="27" s="1"/>
  <c r="AR39" i="19"/>
  <c r="X55" i="27" s="1"/>
  <c r="AT57" i="19"/>
  <c r="Z73" i="27" s="1"/>
  <c r="AQ57" i="19"/>
  <c r="W73" i="27" s="1"/>
  <c r="AR57" i="19"/>
  <c r="X73" i="27" s="1"/>
  <c r="AS57" i="19"/>
  <c r="Y73" i="27" s="1"/>
  <c r="AT63" i="19"/>
  <c r="Z79" i="27" s="1"/>
  <c r="AS63" i="19"/>
  <c r="Y79" i="27" s="1"/>
  <c r="AQ63" i="19"/>
  <c r="W79" i="27" s="1"/>
  <c r="AT51" i="19"/>
  <c r="Z67" i="27" s="1"/>
  <c r="AR51" i="19"/>
  <c r="X67" i="27" s="1"/>
  <c r="AQ51" i="19"/>
  <c r="W67" i="27" s="1"/>
  <c r="AT37" i="19"/>
  <c r="Z53" i="27" s="1"/>
  <c r="AS37" i="19"/>
  <c r="Y53" i="27" s="1"/>
  <c r="AT52" i="19"/>
  <c r="Z68" i="27" s="1"/>
  <c r="AS52" i="19"/>
  <c r="Y68" i="27" s="1"/>
  <c r="AQ52" i="19"/>
  <c r="W68" i="27" s="1"/>
  <c r="AR49" i="19"/>
  <c r="X65" i="27" s="1"/>
  <c r="AT61" i="19"/>
  <c r="Z77" i="27" s="1"/>
  <c r="AR61" i="19"/>
  <c r="X77" i="27" s="1"/>
  <c r="AS61" i="19"/>
  <c r="Y77" i="27" s="1"/>
  <c r="AS54" i="19"/>
  <c r="Y70" i="27" s="1"/>
  <c r="AQ54" i="19"/>
  <c r="W70" i="27" s="1"/>
  <c r="AR54" i="19"/>
  <c r="X70" i="27" s="1"/>
  <c r="AT54" i="19"/>
  <c r="Z70" i="27" s="1"/>
  <c r="AT59" i="19"/>
  <c r="Z75" i="27" s="1"/>
  <c r="AS59" i="19"/>
  <c r="Y75" i="27" s="1"/>
  <c r="AQ59" i="19"/>
  <c r="W75" i="27" s="1"/>
  <c r="AR59" i="19"/>
  <c r="X75" i="27" s="1"/>
  <c r="AT36" i="19"/>
  <c r="Z52" i="27" s="1"/>
  <c r="AS36" i="19"/>
  <c r="Y52" i="27" s="1"/>
  <c r="AQ36" i="19"/>
  <c r="W52" i="27" s="1"/>
  <c r="AT65" i="19"/>
  <c r="Z81" i="27" s="1"/>
  <c r="AQ65" i="19"/>
  <c r="W81" i="27" s="1"/>
  <c r="AR65" i="19"/>
  <c r="X81" i="27" s="1"/>
  <c r="AS65" i="19"/>
  <c r="Y81" i="27" s="1"/>
  <c r="AT60" i="19"/>
  <c r="Z76" i="27" s="1"/>
  <c r="AS60" i="19"/>
  <c r="Y76" i="27" s="1"/>
  <c r="AQ60" i="19"/>
  <c r="W76" i="27" s="1"/>
  <c r="AS62" i="19"/>
  <c r="Y78" i="27" s="1"/>
  <c r="AQ62" i="19"/>
  <c r="W78" i="27" s="1"/>
  <c r="AR62" i="19"/>
  <c r="X78" i="27" s="1"/>
  <c r="AT62" i="19"/>
  <c r="Z78" i="27" s="1"/>
  <c r="AQ53" i="19"/>
  <c r="W69" i="27" s="1"/>
  <c r="AR44" i="19"/>
  <c r="X60" i="27" s="1"/>
  <c r="AT42" i="19"/>
  <c r="Z58" i="27" s="1"/>
  <c r="AR42" i="19"/>
  <c r="X58" i="27" s="1"/>
  <c r="AS42" i="19"/>
  <c r="Y58" i="27" s="1"/>
  <c r="AQ42" i="19"/>
  <c r="W58" i="27" s="1"/>
  <c r="AR52" i="19"/>
  <c r="X68" i="27" s="1"/>
  <c r="AT44" i="19"/>
  <c r="Z60" i="27" s="1"/>
  <c r="AQ44" i="19"/>
  <c r="W60" i="27" s="1"/>
  <c r="AS44" i="19"/>
  <c r="Y60" i="27" s="1"/>
  <c r="AS38" i="19"/>
  <c r="Y54" i="27" s="1"/>
  <c r="AT38" i="19"/>
  <c r="Z54" i="27" s="1"/>
  <c r="AQ38" i="19"/>
  <c r="W54" i="27" s="1"/>
  <c r="AR38" i="19"/>
  <c r="X54" i="27" s="1"/>
  <c r="AR37" i="19"/>
  <c r="X53" i="27" s="1"/>
  <c r="AT58" i="19"/>
  <c r="Z74" i="27" s="1"/>
  <c r="AR58" i="19"/>
  <c r="X74" i="27" s="1"/>
  <c r="AQ58" i="19"/>
  <c r="W74" i="27" s="1"/>
  <c r="AS58" i="19"/>
  <c r="Y74" i="27" s="1"/>
  <c r="AT41" i="19"/>
  <c r="Z57" i="27" s="1"/>
  <c r="AQ41" i="19"/>
  <c r="W57" i="27" s="1"/>
  <c r="AS41" i="19"/>
  <c r="Y57" i="27" s="1"/>
  <c r="AR41" i="19"/>
  <c r="X57" i="27" s="1"/>
  <c r="AT49" i="19"/>
  <c r="Z65" i="27" s="1"/>
  <c r="AQ49" i="19"/>
  <c r="W65" i="27" s="1"/>
  <c r="AS49" i="19"/>
  <c r="Y65" i="27" s="1"/>
  <c r="AR60" i="19"/>
  <c r="X76" i="27" s="1"/>
  <c r="AS43" i="19"/>
  <c r="Y59" i="27" s="1"/>
  <c r="AA74" i="27"/>
  <c r="AB74" i="27" s="1"/>
  <c r="AA75" i="27"/>
  <c r="AB75" i="27" s="1"/>
  <c r="X51" i="27"/>
  <c r="Y51" i="27"/>
  <c r="W51" i="27"/>
  <c r="Z51" i="27"/>
  <c r="Q66" i="19"/>
  <c r="Q65" i="19"/>
  <c r="AS30" i="19"/>
  <c r="Y46" i="27" s="1"/>
  <c r="AT30" i="19"/>
  <c r="Z46" i="27" s="1"/>
  <c r="AQ30" i="19"/>
  <c r="W46" i="27" s="1"/>
  <c r="AR30" i="19"/>
  <c r="X46" i="27" s="1"/>
  <c r="R15" i="13"/>
  <c r="S14" i="13"/>
  <c r="Q72" i="19"/>
  <c r="Q80" i="19"/>
  <c r="Q77" i="19"/>
  <c r="Q73" i="19"/>
  <c r="Q81" i="19"/>
  <c r="Q74" i="19"/>
  <c r="Q82" i="19"/>
  <c r="Q75" i="19"/>
  <c r="Q83" i="19"/>
  <c r="Q76" i="19"/>
  <c r="Q84" i="19"/>
  <c r="Q78" i="19"/>
  <c r="Q86" i="19"/>
  <c r="Q85" i="19"/>
  <c r="Q71" i="19"/>
  <c r="Q79" i="19"/>
  <c r="Q87" i="19"/>
  <c r="Q67" i="19"/>
  <c r="Q69" i="19"/>
  <c r="Q68" i="19"/>
  <c r="Q70" i="19"/>
  <c r="Q95" i="19"/>
  <c r="Q88" i="19"/>
  <c r="Q89" i="19"/>
  <c r="Q90" i="19"/>
  <c r="Q91" i="19"/>
  <c r="Q92" i="19"/>
  <c r="Q93" i="19"/>
  <c r="Q94" i="19"/>
  <c r="V22" i="27"/>
  <c r="V23" i="27"/>
  <c r="V38" i="27"/>
  <c r="V34" i="27"/>
  <c r="AT25" i="19"/>
  <c r="Z41" i="27" s="1"/>
  <c r="AS25" i="19"/>
  <c r="Y41" i="27" s="1"/>
  <c r="AR25" i="19"/>
  <c r="X41" i="27" s="1"/>
  <c r="AQ25" i="19"/>
  <c r="W41" i="27" s="1"/>
  <c r="V50" i="27"/>
  <c r="V47" i="27"/>
  <c r="V42" i="27"/>
  <c r="AS19" i="19"/>
  <c r="Y35" i="27" s="1"/>
  <c r="AQ19" i="19"/>
  <c r="W35" i="27" s="1"/>
  <c r="AR19" i="19"/>
  <c r="X35" i="27" s="1"/>
  <c r="AT19" i="19"/>
  <c r="Z35" i="27" s="1"/>
  <c r="L64" i="27"/>
  <c r="AA87" i="27" s="1"/>
  <c r="AB87" i="27" s="1"/>
  <c r="AQ12" i="19"/>
  <c r="W28" i="27" s="1"/>
  <c r="AS12" i="19"/>
  <c r="Y28" i="27" s="1"/>
  <c r="AR12" i="19"/>
  <c r="X28" i="27" s="1"/>
  <c r="AT12" i="19"/>
  <c r="Z28" i="27" s="1"/>
  <c r="AS14" i="19"/>
  <c r="Y30" i="27" s="1"/>
  <c r="AQ14" i="19"/>
  <c r="W30" i="27" s="1"/>
  <c r="AT14" i="19"/>
  <c r="Z30" i="27" s="1"/>
  <c r="AR14" i="19"/>
  <c r="X30" i="27" s="1"/>
  <c r="AT11" i="19"/>
  <c r="Z27" i="27" s="1"/>
  <c r="AS11" i="19"/>
  <c r="Y27" i="27" s="1"/>
  <c r="AQ11" i="19"/>
  <c r="W27" i="27" s="1"/>
  <c r="AR11" i="19"/>
  <c r="X27" i="27" s="1"/>
  <c r="AQ33" i="19"/>
  <c r="W49" i="27" s="1"/>
  <c r="AT33" i="19"/>
  <c r="Z49" i="27" s="1"/>
  <c r="AS33" i="19"/>
  <c r="Y49" i="27" s="1"/>
  <c r="AR33" i="19"/>
  <c r="X49" i="27" s="1"/>
  <c r="AR27" i="19"/>
  <c r="X43" i="27" s="1"/>
  <c r="AT27" i="19"/>
  <c r="Z43" i="27" s="1"/>
  <c r="AS27" i="19"/>
  <c r="Y43" i="27" s="1"/>
  <c r="AQ27" i="19"/>
  <c r="W43" i="27" s="1"/>
  <c r="AQ32" i="19"/>
  <c r="W48" i="27" s="1"/>
  <c r="AS32" i="19"/>
  <c r="Y48" i="27" s="1"/>
  <c r="AR32" i="19"/>
  <c r="X48" i="27" s="1"/>
  <c r="AT32" i="19"/>
  <c r="Z48" i="27" s="1"/>
  <c r="AQ9" i="19"/>
  <c r="W25" i="27" s="1"/>
  <c r="AT9" i="19"/>
  <c r="Z25" i="27" s="1"/>
  <c r="AR9" i="19"/>
  <c r="X25" i="27" s="1"/>
  <c r="AS9" i="19"/>
  <c r="Y25" i="27" s="1"/>
  <c r="AR21" i="19"/>
  <c r="X37" i="27" s="1"/>
  <c r="AQ21" i="19"/>
  <c r="W37" i="27" s="1"/>
  <c r="AT21" i="19"/>
  <c r="Z37" i="27" s="1"/>
  <c r="AS21" i="19"/>
  <c r="Y37" i="27" s="1"/>
  <c r="AS24" i="19"/>
  <c r="Y40" i="27" s="1"/>
  <c r="AR24" i="19"/>
  <c r="X40" i="27" s="1"/>
  <c r="AT24" i="19"/>
  <c r="Z40" i="27" s="1"/>
  <c r="AQ24" i="19"/>
  <c r="W40" i="27" s="1"/>
  <c r="V44" i="27"/>
  <c r="AS8" i="19"/>
  <c r="Y24" i="27" s="1"/>
  <c r="AR8" i="19"/>
  <c r="X24" i="27" s="1"/>
  <c r="AT8" i="19"/>
  <c r="Z24" i="27" s="1"/>
  <c r="AQ8" i="19"/>
  <c r="W24" i="27" s="1"/>
  <c r="AR29" i="19"/>
  <c r="X45" i="27" s="1"/>
  <c r="AS29" i="19"/>
  <c r="Y45" i="27" s="1"/>
  <c r="AQ29" i="19"/>
  <c r="W45" i="27" s="1"/>
  <c r="AT29" i="19"/>
  <c r="Z45" i="27" s="1"/>
  <c r="AF6" i="19"/>
  <c r="AG6" i="19"/>
  <c r="AG7" i="19" s="1"/>
  <c r="AG8" i="19" s="1"/>
  <c r="AG9" i="19" s="1"/>
  <c r="AG10" i="19" s="1"/>
  <c r="AG11" i="19" s="1"/>
  <c r="AG12" i="19" s="1"/>
  <c r="AG13" i="19" s="1"/>
  <c r="AG14" i="19" s="1"/>
  <c r="AG15" i="19" s="1"/>
  <c r="AG16" i="19" s="1"/>
  <c r="AG17" i="19" s="1"/>
  <c r="AG18" i="19" s="1"/>
  <c r="AG19" i="19" s="1"/>
  <c r="AG20" i="19" s="1"/>
  <c r="AG21" i="19" s="1"/>
  <c r="AG22" i="19" s="1"/>
  <c r="AG23" i="19" s="1"/>
  <c r="AG24" i="19" s="1"/>
  <c r="AG25" i="19" s="1"/>
  <c r="AG26" i="19" s="1"/>
  <c r="AG27" i="19" s="1"/>
  <c r="AG28" i="19" s="1"/>
  <c r="AG29" i="19" s="1"/>
  <c r="AG30" i="19" s="1"/>
  <c r="AG31" i="19" s="1"/>
  <c r="AG32" i="19" s="1"/>
  <c r="AG33" i="19" s="1"/>
  <c r="AG34" i="19" s="1"/>
  <c r="AG35" i="19" s="1"/>
  <c r="AG36" i="19" s="1"/>
  <c r="AG37" i="19" s="1"/>
  <c r="AG38" i="19" s="1"/>
  <c r="AG39" i="19" s="1"/>
  <c r="AG40" i="19" s="1"/>
  <c r="AG41" i="19" s="1"/>
  <c r="AG42" i="19" s="1"/>
  <c r="AG43" i="19" s="1"/>
  <c r="AG44" i="19" s="1"/>
  <c r="AG45" i="19" s="1"/>
  <c r="AG46" i="19" s="1"/>
  <c r="AG47" i="19" s="1"/>
  <c r="AG48" i="19" s="1"/>
  <c r="AG49" i="19" s="1"/>
  <c r="AG50" i="19" s="1"/>
  <c r="AG51" i="19" s="1"/>
  <c r="AG52" i="19" s="1"/>
  <c r="AG53" i="19" s="1"/>
  <c r="AG54" i="19" s="1"/>
  <c r="AG55" i="19" s="1"/>
  <c r="AG56" i="19" s="1"/>
  <c r="AG57" i="19" s="1"/>
  <c r="AG58" i="19" s="1"/>
  <c r="AG59" i="19" s="1"/>
  <c r="AG60" i="19" s="1"/>
  <c r="AG61" i="19" s="1"/>
  <c r="AG62" i="19" s="1"/>
  <c r="AG63" i="19" s="1"/>
  <c r="AG64" i="19" s="1"/>
  <c r="AG65" i="19" s="1"/>
  <c r="AG66" i="19" s="1"/>
  <c r="AG67" i="19" s="1"/>
  <c r="AG68" i="19" s="1"/>
  <c r="AG69" i="19" s="1"/>
  <c r="AG70" i="19" s="1"/>
  <c r="AG71" i="19" s="1"/>
  <c r="AG72" i="19" s="1"/>
  <c r="AG73" i="19" s="1"/>
  <c r="AG74" i="19" s="1"/>
  <c r="AG75" i="19" s="1"/>
  <c r="AG76" i="19" s="1"/>
  <c r="AG77" i="19" s="1"/>
  <c r="AG78" i="19" s="1"/>
  <c r="AG79" i="19" s="1"/>
  <c r="AG80" i="19" s="1"/>
  <c r="AG81" i="19" s="1"/>
  <c r="AG82" i="19" s="1"/>
  <c r="AG83" i="19" s="1"/>
  <c r="AG84" i="19" s="1"/>
  <c r="AG85" i="19" s="1"/>
  <c r="AG86" i="19" s="1"/>
  <c r="AG87" i="19" s="1"/>
  <c r="AG88" i="19" s="1"/>
  <c r="AG89" i="19" s="1"/>
  <c r="AG90" i="19" s="1"/>
  <c r="AG91" i="19" s="1"/>
  <c r="AG92" i="19" s="1"/>
  <c r="AG93" i="19" s="1"/>
  <c r="AG94" i="19" s="1"/>
  <c r="AG95" i="19" s="1"/>
  <c r="AG96" i="19" s="1"/>
  <c r="AG97" i="19" s="1"/>
  <c r="AG98" i="19" s="1"/>
  <c r="AG99" i="19" s="1"/>
  <c r="AG100" i="19" s="1"/>
  <c r="AG101" i="19" s="1"/>
  <c r="AG102" i="19" s="1"/>
  <c r="AG103" i="19" s="1"/>
  <c r="AG104" i="19" s="1"/>
  <c r="AG105" i="19" s="1"/>
  <c r="AG106" i="19" s="1"/>
  <c r="AG107" i="19" s="1"/>
  <c r="AG108" i="19" s="1"/>
  <c r="AG109" i="19" s="1"/>
  <c r="AG110" i="19" s="1"/>
  <c r="AG111" i="19" s="1"/>
  <c r="AG112" i="19" s="1"/>
  <c r="AG113" i="19" s="1"/>
  <c r="AG114" i="19" s="1"/>
  <c r="AG115" i="19" s="1"/>
  <c r="AG116" i="19" s="1"/>
  <c r="AG117" i="19" s="1"/>
  <c r="AG118" i="19" s="1"/>
  <c r="AG119" i="19" s="1"/>
  <c r="AG120" i="19" s="1"/>
  <c r="AG121" i="19" s="1"/>
  <c r="AG122" i="19" s="1"/>
  <c r="AG123" i="19" s="1"/>
  <c r="AG124" i="19" s="1"/>
  <c r="AG125" i="19" s="1"/>
  <c r="AS17" i="19"/>
  <c r="Y33" i="27" s="1"/>
  <c r="AR17" i="19"/>
  <c r="X33" i="27" s="1"/>
  <c r="AQ17" i="19"/>
  <c r="W33" i="27" s="1"/>
  <c r="AT17" i="19"/>
  <c r="Z33" i="27" s="1"/>
  <c r="AQ23" i="19"/>
  <c r="W39" i="27" s="1"/>
  <c r="AR23" i="19"/>
  <c r="X39" i="27" s="1"/>
  <c r="AS23" i="19"/>
  <c r="Y39" i="27" s="1"/>
  <c r="V36" i="27"/>
  <c r="AT15" i="19"/>
  <c r="Z31" i="27" s="1"/>
  <c r="AQ16" i="19"/>
  <c r="W32" i="27" s="1"/>
  <c r="AT16" i="19"/>
  <c r="Z32" i="27" s="1"/>
  <c r="AR16" i="19"/>
  <c r="X32" i="27" s="1"/>
  <c r="AS16" i="19"/>
  <c r="Y32" i="27" s="1"/>
  <c r="AR13" i="19"/>
  <c r="X29" i="27" s="1"/>
  <c r="AQ13" i="19"/>
  <c r="W29" i="27" s="1"/>
  <c r="AS13" i="19"/>
  <c r="Y29" i="27" s="1"/>
  <c r="AT13" i="19"/>
  <c r="Z29" i="27" s="1"/>
  <c r="AT23" i="19"/>
  <c r="Z39" i="27" s="1"/>
  <c r="AS15" i="19"/>
  <c r="Y31" i="27" s="1"/>
  <c r="AQ15" i="19"/>
  <c r="W31" i="27" s="1"/>
  <c r="AR15" i="19"/>
  <c r="X31" i="27" s="1"/>
  <c r="AQ10" i="19"/>
  <c r="W26" i="27" s="1"/>
  <c r="AR10" i="19"/>
  <c r="X26" i="27" s="1"/>
  <c r="AT10" i="19"/>
  <c r="Z26" i="27" s="1"/>
  <c r="AS10" i="19"/>
  <c r="Y26" i="27" s="1"/>
  <c r="AH6" i="19"/>
  <c r="AH7" i="19" s="1"/>
  <c r="AH8" i="19" s="1"/>
  <c r="AH9" i="19" s="1"/>
  <c r="AH10" i="19" s="1"/>
  <c r="AH11" i="19" s="1"/>
  <c r="AH12" i="19" s="1"/>
  <c r="AH13" i="19" s="1"/>
  <c r="AH14" i="19" s="1"/>
  <c r="AH15" i="19" s="1"/>
  <c r="AH16" i="19" s="1"/>
  <c r="AH17" i="19" s="1"/>
  <c r="AH18" i="19" s="1"/>
  <c r="AH19" i="19" s="1"/>
  <c r="AH20" i="19" s="1"/>
  <c r="AH21" i="19" s="1"/>
  <c r="AH22" i="19" s="1"/>
  <c r="AH23" i="19" s="1"/>
  <c r="AH24" i="19" s="1"/>
  <c r="AH25" i="19" s="1"/>
  <c r="AH26" i="19" s="1"/>
  <c r="AH27" i="19" s="1"/>
  <c r="AH28" i="19" s="1"/>
  <c r="AH29" i="19" s="1"/>
  <c r="AH30" i="19" s="1"/>
  <c r="AH31" i="19" s="1"/>
  <c r="AH32" i="19" s="1"/>
  <c r="AH33" i="19" s="1"/>
  <c r="AH34" i="19" s="1"/>
  <c r="AH35" i="19" s="1"/>
  <c r="AH36" i="19" s="1"/>
  <c r="AH37" i="19" s="1"/>
  <c r="AH38" i="19" s="1"/>
  <c r="AH39" i="19" s="1"/>
  <c r="AH40" i="19" s="1"/>
  <c r="AH41" i="19" s="1"/>
  <c r="AH42" i="19" s="1"/>
  <c r="AH43" i="19" s="1"/>
  <c r="AH44" i="19" s="1"/>
  <c r="AH45" i="19" s="1"/>
  <c r="AH46" i="19" s="1"/>
  <c r="AH47" i="19" s="1"/>
  <c r="AH48" i="19" s="1"/>
  <c r="AH49" i="19" s="1"/>
  <c r="AH50" i="19" s="1"/>
  <c r="AH51" i="19" s="1"/>
  <c r="AH52" i="19" s="1"/>
  <c r="AH53" i="19" s="1"/>
  <c r="AH54" i="19" s="1"/>
  <c r="AH55" i="19" s="1"/>
  <c r="AH56" i="19" s="1"/>
  <c r="AH57" i="19" s="1"/>
  <c r="AH58" i="19" s="1"/>
  <c r="AH59" i="19" s="1"/>
  <c r="AH60" i="19" s="1"/>
  <c r="AH61" i="19" s="1"/>
  <c r="AH62" i="19" s="1"/>
  <c r="AH63" i="19" s="1"/>
  <c r="AH64" i="19" s="1"/>
  <c r="AH65" i="19" s="1"/>
  <c r="AH66" i="19" s="1"/>
  <c r="AH67" i="19" s="1"/>
  <c r="AH68" i="19" s="1"/>
  <c r="AH69" i="19" s="1"/>
  <c r="AH70" i="19" s="1"/>
  <c r="AH71" i="19" s="1"/>
  <c r="AH72" i="19" s="1"/>
  <c r="AH73" i="19" s="1"/>
  <c r="AH74" i="19" s="1"/>
  <c r="AH75" i="19" s="1"/>
  <c r="AH76" i="19" s="1"/>
  <c r="AH77" i="19" s="1"/>
  <c r="AH78" i="19" s="1"/>
  <c r="AH79" i="19" s="1"/>
  <c r="AH80" i="19" s="1"/>
  <c r="AH81" i="19" s="1"/>
  <c r="AH82" i="19" s="1"/>
  <c r="AH83" i="19" s="1"/>
  <c r="AH84" i="19" s="1"/>
  <c r="AH85" i="19" s="1"/>
  <c r="AH86" i="19" s="1"/>
  <c r="AH87" i="19" s="1"/>
  <c r="AH88" i="19" s="1"/>
  <c r="AH89" i="19" s="1"/>
  <c r="AH90" i="19" s="1"/>
  <c r="AH91" i="19" s="1"/>
  <c r="AH92" i="19" s="1"/>
  <c r="AH93" i="19" s="1"/>
  <c r="AH94" i="19" s="1"/>
  <c r="AH95" i="19" s="1"/>
  <c r="AH96" i="19" s="1"/>
  <c r="AH97" i="19" s="1"/>
  <c r="AH98" i="19" s="1"/>
  <c r="AH99" i="19" s="1"/>
  <c r="AH100" i="19" s="1"/>
  <c r="AH101" i="19" s="1"/>
  <c r="AH102" i="19" s="1"/>
  <c r="AH103" i="19" s="1"/>
  <c r="AH104" i="19" s="1"/>
  <c r="AH105" i="19" s="1"/>
  <c r="AH106" i="19" s="1"/>
  <c r="AH107" i="19" s="1"/>
  <c r="AH108" i="19" s="1"/>
  <c r="AH109" i="19" s="1"/>
  <c r="AH110" i="19" s="1"/>
  <c r="AH111" i="19" s="1"/>
  <c r="AH112" i="19" s="1"/>
  <c r="AH113" i="19" s="1"/>
  <c r="AH114" i="19" s="1"/>
  <c r="AH115" i="19" s="1"/>
  <c r="AH116" i="19" s="1"/>
  <c r="AH117" i="19" s="1"/>
  <c r="AH118" i="19" s="1"/>
  <c r="AH119" i="19" s="1"/>
  <c r="AH120" i="19" s="1"/>
  <c r="AH121" i="19" s="1"/>
  <c r="AH122" i="19" s="1"/>
  <c r="AH123" i="19" s="1"/>
  <c r="AH124" i="19" s="1"/>
  <c r="AH125" i="19" s="1"/>
  <c r="AF15" i="13"/>
  <c r="AI14" i="13"/>
  <c r="K15" i="13"/>
  <c r="J16" i="13"/>
  <c r="S10" i="19"/>
  <c r="T10" i="19" s="1"/>
  <c r="X10" i="19" s="1"/>
  <c r="Y10" i="19" s="1"/>
  <c r="R11" i="19"/>
  <c r="K17" i="19"/>
  <c r="O17" i="19" s="1"/>
  <c r="J18" i="19"/>
  <c r="S15" i="18"/>
  <c r="R16" i="18"/>
  <c r="Y14" i="18"/>
  <c r="K15" i="18"/>
  <c r="O15" i="18" s="1"/>
  <c r="J16" i="18"/>
  <c r="AF21" i="18"/>
  <c r="AH19" i="18"/>
  <c r="AI18" i="18"/>
  <c r="V121" i="27" l="1"/>
  <c r="J18" i="20"/>
  <c r="K17" i="20"/>
  <c r="O17" i="20" s="1"/>
  <c r="Y17" i="20" s="1"/>
  <c r="V141" i="27"/>
  <c r="AA21" i="27"/>
  <c r="AB21" i="27" s="1"/>
  <c r="AA85" i="27"/>
  <c r="AB85" i="27" s="1"/>
  <c r="AA86" i="27"/>
  <c r="AB86" i="27" s="1"/>
  <c r="C113" i="21"/>
  <c r="E113" i="21" s="1"/>
  <c r="C127" i="21" s="1"/>
  <c r="J21" i="24" s="1"/>
  <c r="J25" i="24" s="1"/>
  <c r="O15" i="13"/>
  <c r="J18" i="26"/>
  <c r="K17" i="26"/>
  <c r="O17" i="26" s="1"/>
  <c r="T16" i="26"/>
  <c r="X16" i="26" s="1"/>
  <c r="Y16" i="26" s="1"/>
  <c r="AI12" i="26"/>
  <c r="AF13" i="26"/>
  <c r="S17" i="26"/>
  <c r="T17" i="26" s="1"/>
  <c r="X17" i="26" s="1"/>
  <c r="R18" i="26"/>
  <c r="S18" i="20"/>
  <c r="T18" i="20" s="1"/>
  <c r="X18" i="20" s="1"/>
  <c r="R19" i="20"/>
  <c r="AI17" i="20"/>
  <c r="AF18" i="20"/>
  <c r="X13" i="13"/>
  <c r="Y13" i="13" s="1"/>
  <c r="V94" i="27"/>
  <c r="V110" i="27"/>
  <c r="V106" i="27"/>
  <c r="V93" i="27"/>
  <c r="V86" i="27"/>
  <c r="V101" i="27"/>
  <c r="V87" i="27"/>
  <c r="V91" i="27"/>
  <c r="V109" i="27"/>
  <c r="V99" i="27"/>
  <c r="V107" i="27"/>
  <c r="V85" i="27"/>
  <c r="V103" i="27"/>
  <c r="V88" i="27"/>
  <c r="V104" i="27"/>
  <c r="V82" i="27"/>
  <c r="V95" i="27"/>
  <c r="V111" i="27"/>
  <c r="V92" i="27"/>
  <c r="V84" i="27"/>
  <c r="V83" i="27"/>
  <c r="V102" i="27"/>
  <c r="V108" i="27"/>
  <c r="V98" i="27"/>
  <c r="V96" i="27"/>
  <c r="V97" i="27"/>
  <c r="V89" i="27"/>
  <c r="V100" i="27"/>
  <c r="V105" i="27"/>
  <c r="V90" i="27"/>
  <c r="V53" i="27"/>
  <c r="V69" i="27"/>
  <c r="V77" i="27"/>
  <c r="V80" i="27"/>
  <c r="V52" i="27"/>
  <c r="V58" i="27"/>
  <c r="V79" i="27"/>
  <c r="V55" i="27"/>
  <c r="V68" i="27"/>
  <c r="V72" i="27"/>
  <c r="V81" i="27"/>
  <c r="V63" i="27"/>
  <c r="V78" i="27"/>
  <c r="V57" i="27"/>
  <c r="V54" i="27"/>
  <c r="V76" i="27"/>
  <c r="V70" i="27"/>
  <c r="V64" i="27"/>
  <c r="V65" i="27"/>
  <c r="V74" i="27"/>
  <c r="V59" i="27"/>
  <c r="V62" i="27"/>
  <c r="V60" i="27"/>
  <c r="V75" i="27"/>
  <c r="V67" i="27"/>
  <c r="V73" i="27"/>
  <c r="AA80" i="27"/>
  <c r="AB80" i="27" s="1"/>
  <c r="AA79" i="27"/>
  <c r="AB79" i="27" s="1"/>
  <c r="V51" i="27"/>
  <c r="V46" i="27"/>
  <c r="T14" i="13"/>
  <c r="S15" i="13"/>
  <c r="R16" i="13"/>
  <c r="AA81" i="27"/>
  <c r="AB81" i="27" s="1"/>
  <c r="AA95" i="27"/>
  <c r="AB95" i="27" s="1"/>
  <c r="V41" i="27"/>
  <c r="V31" i="27"/>
  <c r="V26" i="27"/>
  <c r="V32" i="27"/>
  <c r="V24" i="27"/>
  <c r="V37" i="27"/>
  <c r="V30" i="27"/>
  <c r="V39" i="27"/>
  <c r="V45" i="27"/>
  <c r="V25" i="27"/>
  <c r="V48" i="27"/>
  <c r="V49" i="27"/>
  <c r="V28" i="27"/>
  <c r="V35" i="27"/>
  <c r="V40" i="27"/>
  <c r="V43" i="27"/>
  <c r="V29" i="27"/>
  <c r="V33" i="27"/>
  <c r="AF7" i="19"/>
  <c r="AI6" i="19"/>
  <c r="V27" i="27"/>
  <c r="AF16" i="13"/>
  <c r="AI15" i="13"/>
  <c r="K16" i="13"/>
  <c r="J17" i="13"/>
  <c r="S11" i="19"/>
  <c r="T11" i="19" s="1"/>
  <c r="X11" i="19" s="1"/>
  <c r="Y11" i="19" s="1"/>
  <c r="R12" i="19"/>
  <c r="K18" i="19"/>
  <c r="O18" i="19" s="1"/>
  <c r="J19" i="19"/>
  <c r="S16" i="18"/>
  <c r="T16" i="18" s="1"/>
  <c r="X16" i="18" s="1"/>
  <c r="R17" i="18"/>
  <c r="T15" i="18"/>
  <c r="X15" i="18" s="1"/>
  <c r="Y15" i="18" s="1"/>
  <c r="K16" i="18"/>
  <c r="O16" i="18" s="1"/>
  <c r="J17" i="18"/>
  <c r="AH20" i="18"/>
  <c r="AI19" i="18"/>
  <c r="AF22" i="18"/>
  <c r="J19" i="20" l="1"/>
  <c r="K18" i="20"/>
  <c r="O18" i="20" s="1"/>
  <c r="Y18" i="20" s="1"/>
  <c r="Y17" i="26"/>
  <c r="F127" i="21"/>
  <c r="O16" i="13"/>
  <c r="K18" i="26"/>
  <c r="O18" i="26" s="1"/>
  <c r="J19" i="26"/>
  <c r="AF14" i="26"/>
  <c r="AI13" i="26"/>
  <c r="S18" i="26"/>
  <c r="R19" i="26"/>
  <c r="R20" i="20"/>
  <c r="S19" i="20"/>
  <c r="AF19" i="20"/>
  <c r="AI18" i="20"/>
  <c r="X14" i="13"/>
  <c r="Y14" i="13" s="1"/>
  <c r="T15" i="13"/>
  <c r="S16" i="13"/>
  <c r="R17" i="13"/>
  <c r="D4" i="27"/>
  <c r="P11" i="24" s="1"/>
  <c r="AI7" i="19"/>
  <c r="AF8" i="19"/>
  <c r="AF17" i="13"/>
  <c r="AI16" i="13"/>
  <c r="K17" i="13"/>
  <c r="J18" i="13"/>
  <c r="S12" i="19"/>
  <c r="T12" i="19" s="1"/>
  <c r="X12" i="19" s="1"/>
  <c r="Y12" i="19" s="1"/>
  <c r="R13" i="19"/>
  <c r="Y16" i="18"/>
  <c r="K19" i="19"/>
  <c r="O19" i="19" s="1"/>
  <c r="J20" i="19"/>
  <c r="R18" i="18"/>
  <c r="S17" i="18"/>
  <c r="T17" i="18" s="1"/>
  <c r="X17" i="18" s="1"/>
  <c r="K17" i="18"/>
  <c r="O17" i="18" s="1"/>
  <c r="J18" i="18"/>
  <c r="AF23" i="18"/>
  <c r="AH21" i="18"/>
  <c r="AI20" i="18"/>
  <c r="J20" i="20" l="1"/>
  <c r="K19" i="20"/>
  <c r="O19" i="20" s="1"/>
  <c r="O17" i="13"/>
  <c r="K19" i="26"/>
  <c r="O19" i="26" s="1"/>
  <c r="J20" i="26"/>
  <c r="S19" i="26"/>
  <c r="T19" i="26" s="1"/>
  <c r="X19" i="26" s="1"/>
  <c r="R20" i="26"/>
  <c r="T18" i="26"/>
  <c r="X18" i="26" s="1"/>
  <c r="Y18" i="26" s="1"/>
  <c r="AF15" i="26"/>
  <c r="AI14" i="26"/>
  <c r="T19" i="20"/>
  <c r="X19" i="20" s="1"/>
  <c r="S20" i="20"/>
  <c r="R21" i="20"/>
  <c r="AI19" i="20"/>
  <c r="AF20" i="20"/>
  <c r="X15" i="13"/>
  <c r="Y15" i="13" s="1"/>
  <c r="T16" i="13"/>
  <c r="R18" i="13"/>
  <c r="S17" i="13"/>
  <c r="D6" i="27"/>
  <c r="P13" i="24" s="1"/>
  <c r="AI8" i="19"/>
  <c r="AF9" i="19"/>
  <c r="AF18" i="13"/>
  <c r="AI17" i="13"/>
  <c r="K18" i="13"/>
  <c r="J19" i="13"/>
  <c r="S13" i="19"/>
  <c r="T13" i="19" s="1"/>
  <c r="X13" i="19" s="1"/>
  <c r="Y13" i="19" s="1"/>
  <c r="R14" i="19"/>
  <c r="J21" i="19"/>
  <c r="K20" i="19"/>
  <c r="O20" i="19" s="1"/>
  <c r="Y17" i="18"/>
  <c r="S18" i="18"/>
  <c r="R19" i="18"/>
  <c r="K18" i="18"/>
  <c r="O18" i="18" s="1"/>
  <c r="J19" i="18"/>
  <c r="AH22" i="18"/>
  <c r="AI21" i="18"/>
  <c r="AF24" i="18"/>
  <c r="Y19" i="26" l="1"/>
  <c r="Y19" i="20"/>
  <c r="J21" i="20"/>
  <c r="K20" i="20"/>
  <c r="O20" i="20" s="1"/>
  <c r="O18" i="13"/>
  <c r="J21" i="26"/>
  <c r="K20" i="26"/>
  <c r="O20" i="26" s="1"/>
  <c r="S20" i="26"/>
  <c r="R21" i="26"/>
  <c r="AI15" i="26"/>
  <c r="AF16" i="26"/>
  <c r="S21" i="20"/>
  <c r="T21" i="20" s="1"/>
  <c r="X21" i="20" s="1"/>
  <c r="R22" i="20"/>
  <c r="T20" i="20"/>
  <c r="X20" i="20" s="1"/>
  <c r="AI20" i="20"/>
  <c r="AF21" i="20"/>
  <c r="X16" i="13"/>
  <c r="Y16" i="13" s="1"/>
  <c r="T17" i="13"/>
  <c r="R19" i="13"/>
  <c r="S18" i="13"/>
  <c r="AI9" i="19"/>
  <c r="AF10" i="19"/>
  <c r="AF19" i="13"/>
  <c r="AI18" i="13"/>
  <c r="K19" i="13"/>
  <c r="J20" i="13"/>
  <c r="R15" i="19"/>
  <c r="S14" i="19"/>
  <c r="T14" i="19" s="1"/>
  <c r="X14" i="19" s="1"/>
  <c r="Y14" i="19" s="1"/>
  <c r="K21" i="19"/>
  <c r="O21" i="19" s="1"/>
  <c r="J22" i="19"/>
  <c r="S19" i="18"/>
  <c r="T19" i="18" s="1"/>
  <c r="X19" i="18" s="1"/>
  <c r="R20" i="18"/>
  <c r="T18" i="18"/>
  <c r="X18" i="18" s="1"/>
  <c r="Y18" i="18" s="1"/>
  <c r="K19" i="18"/>
  <c r="O19" i="18" s="1"/>
  <c r="J20" i="18"/>
  <c r="AF25" i="18"/>
  <c r="AH23" i="18"/>
  <c r="AI22" i="18"/>
  <c r="Y20" i="20" l="1"/>
  <c r="K21" i="20"/>
  <c r="O21" i="20" s="1"/>
  <c r="Y21" i="20" s="1"/>
  <c r="J22" i="20"/>
  <c r="O19" i="13"/>
  <c r="J22" i="26"/>
  <c r="K21" i="26"/>
  <c r="O21" i="26" s="1"/>
  <c r="S21" i="26"/>
  <c r="T21" i="26" s="1"/>
  <c r="X21" i="26" s="1"/>
  <c r="R22" i="26"/>
  <c r="AF17" i="26"/>
  <c r="AI16" i="26"/>
  <c r="T20" i="26"/>
  <c r="X20" i="26" s="1"/>
  <c r="Y20" i="26" s="1"/>
  <c r="S22" i="20"/>
  <c r="T22" i="20" s="1"/>
  <c r="X22" i="20" s="1"/>
  <c r="R23" i="20"/>
  <c r="AF22" i="20"/>
  <c r="AI21" i="20"/>
  <c r="X17" i="13"/>
  <c r="Y17" i="13" s="1"/>
  <c r="T18" i="13"/>
  <c r="S19" i="13"/>
  <c r="R20" i="13"/>
  <c r="AF11" i="19"/>
  <c r="AI10" i="19"/>
  <c r="AF20" i="13"/>
  <c r="AI19" i="13"/>
  <c r="K20" i="13"/>
  <c r="J21" i="13"/>
  <c r="S15" i="19"/>
  <c r="T15" i="19" s="1"/>
  <c r="X15" i="19" s="1"/>
  <c r="Y15" i="19" s="1"/>
  <c r="R16" i="19"/>
  <c r="K22" i="19"/>
  <c r="O22" i="19" s="1"/>
  <c r="J23" i="19"/>
  <c r="Y19" i="18"/>
  <c r="R21" i="18"/>
  <c r="S20" i="18"/>
  <c r="T20" i="18" s="1"/>
  <c r="X20" i="18" s="1"/>
  <c r="K20" i="18"/>
  <c r="O20" i="18" s="1"/>
  <c r="J21" i="18"/>
  <c r="AH24" i="18"/>
  <c r="AI23" i="18"/>
  <c r="AF26" i="18"/>
  <c r="J23" i="20" l="1"/>
  <c r="K22" i="20"/>
  <c r="O22" i="20" s="1"/>
  <c r="Y22" i="20" s="1"/>
  <c r="O20" i="13"/>
  <c r="Y21" i="26"/>
  <c r="K22" i="26"/>
  <c r="O22" i="26" s="1"/>
  <c r="J23" i="26"/>
  <c r="AF18" i="26"/>
  <c r="AI17" i="26"/>
  <c r="S22" i="26"/>
  <c r="R23" i="26"/>
  <c r="S23" i="20"/>
  <c r="T23" i="20" s="1"/>
  <c r="X23" i="20" s="1"/>
  <c r="R24" i="20"/>
  <c r="AF23" i="20"/>
  <c r="AI22" i="20"/>
  <c r="X18" i="13"/>
  <c r="Y18" i="13" s="1"/>
  <c r="T19" i="13"/>
  <c r="S20" i="13"/>
  <c r="R21" i="13"/>
  <c r="AI11" i="19"/>
  <c r="AF12" i="19"/>
  <c r="AI20" i="13"/>
  <c r="AF21" i="13"/>
  <c r="K21" i="13"/>
  <c r="J22" i="13"/>
  <c r="R17" i="19"/>
  <c r="S16" i="19"/>
  <c r="T16" i="19" s="1"/>
  <c r="X16" i="19" s="1"/>
  <c r="Y16" i="19" s="1"/>
  <c r="K23" i="19"/>
  <c r="O23" i="19" s="1"/>
  <c r="J24" i="19"/>
  <c r="Y20" i="18"/>
  <c r="S21" i="18"/>
  <c r="T21" i="18" s="1"/>
  <c r="X21" i="18" s="1"/>
  <c r="R22" i="18"/>
  <c r="K21" i="18"/>
  <c r="O21" i="18" s="1"/>
  <c r="J22" i="18"/>
  <c r="AF27" i="18"/>
  <c r="AH25" i="18"/>
  <c r="AI24" i="18"/>
  <c r="J24" i="20" l="1"/>
  <c r="K23" i="20"/>
  <c r="O23" i="20" s="1"/>
  <c r="Y23" i="20" s="1"/>
  <c r="O21" i="13"/>
  <c r="J24" i="26"/>
  <c r="K23" i="26"/>
  <c r="O23" i="26" s="1"/>
  <c r="AF19" i="26"/>
  <c r="AI18" i="26"/>
  <c r="S23" i="26"/>
  <c r="T23" i="26" s="1"/>
  <c r="X23" i="26" s="1"/>
  <c r="R24" i="26"/>
  <c r="T22" i="26"/>
  <c r="X22" i="26" s="1"/>
  <c r="Y22" i="26" s="1"/>
  <c r="S24" i="20"/>
  <c r="T24" i="20" s="1"/>
  <c r="X24" i="20" s="1"/>
  <c r="R25" i="20"/>
  <c r="AI23" i="20"/>
  <c r="AF24" i="20"/>
  <c r="T20" i="13"/>
  <c r="X19" i="13"/>
  <c r="Y19" i="13" s="1"/>
  <c r="R22" i="13"/>
  <c r="S21" i="13"/>
  <c r="AF13" i="19"/>
  <c r="AI12" i="19"/>
  <c r="AF22" i="13"/>
  <c r="AI21" i="13"/>
  <c r="K22" i="13"/>
  <c r="J23" i="13"/>
  <c r="R18" i="19"/>
  <c r="S17" i="19"/>
  <c r="T17" i="19" s="1"/>
  <c r="X17" i="19" s="1"/>
  <c r="Y17" i="19" s="1"/>
  <c r="J25" i="19"/>
  <c r="K24" i="19"/>
  <c r="O24" i="19" s="1"/>
  <c r="S22" i="18"/>
  <c r="T22" i="18" s="1"/>
  <c r="X22" i="18" s="1"/>
  <c r="R23" i="18"/>
  <c r="Y21" i="18"/>
  <c r="K22" i="18"/>
  <c r="O22" i="18" s="1"/>
  <c r="J23" i="18"/>
  <c r="AH26" i="18"/>
  <c r="AI25" i="18"/>
  <c r="AF28" i="18"/>
  <c r="Y23" i="26" l="1"/>
  <c r="K24" i="20"/>
  <c r="O24" i="20" s="1"/>
  <c r="Y24" i="20" s="1"/>
  <c r="J25" i="20"/>
  <c r="O22" i="13"/>
  <c r="J25" i="26"/>
  <c r="K24" i="26"/>
  <c r="O24" i="26" s="1"/>
  <c r="S24" i="26"/>
  <c r="R25" i="26"/>
  <c r="AI19" i="26"/>
  <c r="AF20" i="26"/>
  <c r="R26" i="20"/>
  <c r="S25" i="20"/>
  <c r="T25" i="20" s="1"/>
  <c r="X25" i="20" s="1"/>
  <c r="AF25" i="20"/>
  <c r="AI24" i="20"/>
  <c r="X20" i="13"/>
  <c r="Y20" i="13" s="1"/>
  <c r="T21" i="13"/>
  <c r="S22" i="13"/>
  <c r="R23" i="13"/>
  <c r="AF14" i="19"/>
  <c r="AI13" i="19"/>
  <c r="AF23" i="13"/>
  <c r="AI22" i="13"/>
  <c r="K23" i="13"/>
  <c r="J24" i="13"/>
  <c r="S18" i="19"/>
  <c r="T18" i="19" s="1"/>
  <c r="X18" i="19" s="1"/>
  <c r="Y18" i="19" s="1"/>
  <c r="R19" i="19"/>
  <c r="Y22" i="18"/>
  <c r="K25" i="19"/>
  <c r="O25" i="19" s="1"/>
  <c r="J26" i="19"/>
  <c r="S23" i="18"/>
  <c r="T23" i="18" s="1"/>
  <c r="X23" i="18" s="1"/>
  <c r="R24" i="18"/>
  <c r="K23" i="18"/>
  <c r="O23" i="18" s="1"/>
  <c r="J24" i="18"/>
  <c r="AF29" i="18"/>
  <c r="AH27" i="18"/>
  <c r="AI26" i="18"/>
  <c r="K25" i="20" l="1"/>
  <c r="O25" i="20" s="1"/>
  <c r="Y25" i="20" s="1"/>
  <c r="J26" i="20"/>
  <c r="O23" i="13"/>
  <c r="J26" i="26"/>
  <c r="K25" i="26"/>
  <c r="O25" i="26" s="1"/>
  <c r="AI20" i="26"/>
  <c r="AF21" i="26"/>
  <c r="S25" i="26"/>
  <c r="T25" i="26" s="1"/>
  <c r="X25" i="26" s="1"/>
  <c r="R26" i="26"/>
  <c r="T24" i="26"/>
  <c r="X24" i="26" s="1"/>
  <c r="Y24" i="26" s="1"/>
  <c r="S26" i="20"/>
  <c r="T26" i="20" s="1"/>
  <c r="X26" i="20" s="1"/>
  <c r="R27" i="20"/>
  <c r="AI25" i="20"/>
  <c r="AF26" i="20"/>
  <c r="T22" i="13"/>
  <c r="X21" i="13"/>
  <c r="Y21" i="13" s="1"/>
  <c r="R24" i="13"/>
  <c r="S23" i="13"/>
  <c r="AF15" i="19"/>
  <c r="AI14" i="19"/>
  <c r="AF24" i="13"/>
  <c r="AI23" i="13"/>
  <c r="K24" i="13"/>
  <c r="J25" i="13"/>
  <c r="S19" i="19"/>
  <c r="R20" i="19"/>
  <c r="K26" i="19"/>
  <c r="O26" i="19" s="1"/>
  <c r="J27" i="19"/>
  <c r="Y23" i="18"/>
  <c r="S24" i="18"/>
  <c r="R25" i="18"/>
  <c r="K24" i="18"/>
  <c r="O24" i="18" s="1"/>
  <c r="J25" i="18"/>
  <c r="AH28" i="18"/>
  <c r="AI27" i="18"/>
  <c r="AF30" i="18"/>
  <c r="K26" i="20" l="1"/>
  <c r="O26" i="20" s="1"/>
  <c r="Y26" i="20" s="1"/>
  <c r="J27" i="20"/>
  <c r="O24" i="13"/>
  <c r="Y25" i="26"/>
  <c r="K26" i="26"/>
  <c r="O26" i="26" s="1"/>
  <c r="J27" i="26"/>
  <c r="S26" i="26"/>
  <c r="R27" i="26"/>
  <c r="AI21" i="26"/>
  <c r="AF22" i="26"/>
  <c r="S27" i="20"/>
  <c r="T27" i="20" s="1"/>
  <c r="X27" i="20" s="1"/>
  <c r="R28" i="20"/>
  <c r="AF27" i="20"/>
  <c r="AI26" i="20"/>
  <c r="X22" i="13"/>
  <c r="Y22" i="13" s="1"/>
  <c r="T23" i="13"/>
  <c r="R25" i="13"/>
  <c r="S24" i="13"/>
  <c r="AF16" i="19"/>
  <c r="AI15" i="19"/>
  <c r="AI24" i="13"/>
  <c r="AF25" i="13"/>
  <c r="K25" i="13"/>
  <c r="J26" i="13"/>
  <c r="S20" i="19"/>
  <c r="T20" i="19" s="1"/>
  <c r="X20" i="19" s="1"/>
  <c r="Y20" i="19" s="1"/>
  <c r="R21" i="19"/>
  <c r="T19" i="19"/>
  <c r="X19" i="19" s="1"/>
  <c r="Y19" i="19" s="1"/>
  <c r="K27" i="19"/>
  <c r="O27" i="19" s="1"/>
  <c r="J28" i="19"/>
  <c r="S25" i="18"/>
  <c r="T25" i="18" s="1"/>
  <c r="X25" i="18" s="1"/>
  <c r="R26" i="18"/>
  <c r="T24" i="18"/>
  <c r="X24" i="18" s="1"/>
  <c r="Y24" i="18" s="1"/>
  <c r="K25" i="18"/>
  <c r="O25" i="18" s="1"/>
  <c r="J26" i="18"/>
  <c r="AF31" i="18"/>
  <c r="AH29" i="18"/>
  <c r="AI28" i="18"/>
  <c r="K27" i="20" l="1"/>
  <c r="O27" i="20" s="1"/>
  <c r="Y27" i="20" s="1"/>
  <c r="J28" i="20"/>
  <c r="O25" i="13"/>
  <c r="J28" i="26"/>
  <c r="K27" i="26"/>
  <c r="O27" i="26" s="1"/>
  <c r="AF23" i="26"/>
  <c r="AI22" i="26"/>
  <c r="S27" i="26"/>
  <c r="T27" i="26" s="1"/>
  <c r="X27" i="26" s="1"/>
  <c r="R28" i="26"/>
  <c r="T26" i="26"/>
  <c r="X26" i="26" s="1"/>
  <c r="Y26" i="26" s="1"/>
  <c r="S28" i="20"/>
  <c r="T28" i="20" s="1"/>
  <c r="X28" i="20" s="1"/>
  <c r="R29" i="20"/>
  <c r="AI27" i="20"/>
  <c r="AF28" i="20"/>
  <c r="T24" i="13"/>
  <c r="X23" i="13"/>
  <c r="Y23" i="13" s="1"/>
  <c r="S25" i="13"/>
  <c r="R26" i="13"/>
  <c r="AI16" i="19"/>
  <c r="AF17" i="19"/>
  <c r="AF26" i="13"/>
  <c r="AI25" i="13"/>
  <c r="K26" i="13"/>
  <c r="J27" i="13"/>
  <c r="S21" i="19"/>
  <c r="T21" i="19" s="1"/>
  <c r="X21" i="19" s="1"/>
  <c r="Y21" i="19" s="1"/>
  <c r="R22" i="19"/>
  <c r="Y25" i="18"/>
  <c r="J29" i="19"/>
  <c r="K28" i="19"/>
  <c r="O28" i="19" s="1"/>
  <c r="S26" i="18"/>
  <c r="T26" i="18" s="1"/>
  <c r="X26" i="18" s="1"/>
  <c r="R27" i="18"/>
  <c r="K26" i="18"/>
  <c r="O26" i="18" s="1"/>
  <c r="J27" i="18"/>
  <c r="AH30" i="18"/>
  <c r="AI29" i="18"/>
  <c r="AF32" i="18"/>
  <c r="K28" i="20" l="1"/>
  <c r="O28" i="20" s="1"/>
  <c r="Y28" i="20" s="1"/>
  <c r="J29" i="20"/>
  <c r="O26" i="13"/>
  <c r="Y27" i="26"/>
  <c r="K28" i="26"/>
  <c r="O28" i="26" s="1"/>
  <c r="J29" i="26"/>
  <c r="S28" i="26"/>
  <c r="R29" i="26"/>
  <c r="AI23" i="26"/>
  <c r="AF24" i="26"/>
  <c r="R30" i="20"/>
  <c r="S29" i="20"/>
  <c r="AI28" i="20"/>
  <c r="AF29" i="20"/>
  <c r="X24" i="13"/>
  <c r="Y24" i="13" s="1"/>
  <c r="R27" i="13"/>
  <c r="S26" i="13"/>
  <c r="T25" i="13"/>
  <c r="AI17" i="19"/>
  <c r="AF18" i="19"/>
  <c r="Y26" i="18"/>
  <c r="AF27" i="13"/>
  <c r="AI26" i="13"/>
  <c r="K27" i="13"/>
  <c r="J28" i="13"/>
  <c r="S22" i="19"/>
  <c r="T22" i="19" s="1"/>
  <c r="X22" i="19" s="1"/>
  <c r="Y22" i="19" s="1"/>
  <c r="R23" i="19"/>
  <c r="K29" i="19"/>
  <c r="O29" i="19" s="1"/>
  <c r="J30" i="19"/>
  <c r="R28" i="18"/>
  <c r="S27" i="18"/>
  <c r="T27" i="18" s="1"/>
  <c r="X27" i="18" s="1"/>
  <c r="K27" i="18"/>
  <c r="O27" i="18" s="1"/>
  <c r="J28" i="18"/>
  <c r="AF33" i="18"/>
  <c r="AH31" i="18"/>
  <c r="AI30" i="18"/>
  <c r="J30" i="20" l="1"/>
  <c r="K29" i="20"/>
  <c r="O29" i="20" s="1"/>
  <c r="O27" i="13"/>
  <c r="J30" i="26"/>
  <c r="K29" i="26"/>
  <c r="O29" i="26" s="1"/>
  <c r="S29" i="26"/>
  <c r="T29" i="26" s="1"/>
  <c r="X29" i="26" s="1"/>
  <c r="R30" i="26"/>
  <c r="T28" i="26"/>
  <c r="X28" i="26" s="1"/>
  <c r="Y28" i="26" s="1"/>
  <c r="AI24" i="26"/>
  <c r="AF25" i="26"/>
  <c r="T29" i="20"/>
  <c r="X29" i="20" s="1"/>
  <c r="S30" i="20"/>
  <c r="T30" i="20" s="1"/>
  <c r="X30" i="20" s="1"/>
  <c r="R31" i="20"/>
  <c r="AF30" i="20"/>
  <c r="AI29" i="20"/>
  <c r="X25" i="13"/>
  <c r="Y25" i="13" s="1"/>
  <c r="T26" i="13"/>
  <c r="S27" i="13"/>
  <c r="R28" i="13"/>
  <c r="AI18" i="19"/>
  <c r="AF19" i="19"/>
  <c r="AI27" i="13"/>
  <c r="AF28" i="13"/>
  <c r="K28" i="13"/>
  <c r="J29" i="13"/>
  <c r="S23" i="19"/>
  <c r="T23" i="19" s="1"/>
  <c r="X23" i="19" s="1"/>
  <c r="Y23" i="19" s="1"/>
  <c r="R24" i="19"/>
  <c r="K30" i="19"/>
  <c r="O30" i="19" s="1"/>
  <c r="J31" i="19"/>
  <c r="Y27" i="18"/>
  <c r="S28" i="18"/>
  <c r="T28" i="18" s="1"/>
  <c r="X28" i="18" s="1"/>
  <c r="R29" i="18"/>
  <c r="K28" i="18"/>
  <c r="O28" i="18" s="1"/>
  <c r="J29" i="18"/>
  <c r="AH32" i="18"/>
  <c r="AI31" i="18"/>
  <c r="AF34" i="18"/>
  <c r="Y29" i="20" l="1"/>
  <c r="J31" i="20"/>
  <c r="K30" i="20"/>
  <c r="O30" i="20" s="1"/>
  <c r="Y30" i="20" s="1"/>
  <c r="O28" i="13"/>
  <c r="Y29" i="26"/>
  <c r="K30" i="26"/>
  <c r="O30" i="26" s="1"/>
  <c r="J31" i="26"/>
  <c r="S30" i="26"/>
  <c r="R31" i="26"/>
  <c r="AF26" i="26"/>
  <c r="AI25" i="26"/>
  <c r="S31" i="20"/>
  <c r="T31" i="20" s="1"/>
  <c r="X31" i="20" s="1"/>
  <c r="R32" i="20"/>
  <c r="AF31" i="20"/>
  <c r="AI30" i="20"/>
  <c r="X26" i="13"/>
  <c r="Y26" i="13" s="1"/>
  <c r="S28" i="13"/>
  <c r="R29" i="13"/>
  <c r="T27" i="13"/>
  <c r="AI19" i="19"/>
  <c r="AF20" i="19"/>
  <c r="AF29" i="13"/>
  <c r="AI28" i="13"/>
  <c r="K29" i="13"/>
  <c r="J30" i="13"/>
  <c r="S24" i="19"/>
  <c r="T24" i="19" s="1"/>
  <c r="X24" i="19" s="1"/>
  <c r="Y24" i="19" s="1"/>
  <c r="R25" i="19"/>
  <c r="K31" i="19"/>
  <c r="O31" i="19" s="1"/>
  <c r="J32" i="19"/>
  <c r="Y28" i="18"/>
  <c r="S29" i="18"/>
  <c r="T29" i="18" s="1"/>
  <c r="X29" i="18" s="1"/>
  <c r="R30" i="18"/>
  <c r="K29" i="18"/>
  <c r="O29" i="18" s="1"/>
  <c r="J30" i="18"/>
  <c r="AF35" i="18"/>
  <c r="AH33" i="18"/>
  <c r="AI32" i="18"/>
  <c r="K31" i="20" l="1"/>
  <c r="O31" i="20" s="1"/>
  <c r="Y31" i="20" s="1"/>
  <c r="J32" i="20"/>
  <c r="O29" i="13"/>
  <c r="K31" i="26"/>
  <c r="O31" i="26" s="1"/>
  <c r="J32" i="26"/>
  <c r="AI26" i="26"/>
  <c r="AF27" i="26"/>
  <c r="T30" i="26"/>
  <c r="X30" i="26" s="1"/>
  <c r="Y30" i="26" s="1"/>
  <c r="S31" i="26"/>
  <c r="T31" i="26" s="1"/>
  <c r="X31" i="26" s="1"/>
  <c r="R32" i="26"/>
  <c r="S32" i="20"/>
  <c r="T32" i="20" s="1"/>
  <c r="X32" i="20" s="1"/>
  <c r="R33" i="20"/>
  <c r="AI31" i="20"/>
  <c r="AF32" i="20"/>
  <c r="T28" i="13"/>
  <c r="X27" i="13"/>
  <c r="Y27" i="13" s="1"/>
  <c r="S29" i="13"/>
  <c r="R30" i="13"/>
  <c r="AF21" i="19"/>
  <c r="AI20" i="19"/>
  <c r="AI29" i="13"/>
  <c r="AF30" i="13"/>
  <c r="K30" i="13"/>
  <c r="J31" i="13"/>
  <c r="R26" i="19"/>
  <c r="S25" i="19"/>
  <c r="T25" i="19" s="1"/>
  <c r="X25" i="19" s="1"/>
  <c r="Y25" i="19" s="1"/>
  <c r="K32" i="19"/>
  <c r="O32" i="19" s="1"/>
  <c r="J33" i="19"/>
  <c r="Y29" i="18"/>
  <c r="R31" i="18"/>
  <c r="S30" i="18"/>
  <c r="T30" i="18" s="1"/>
  <c r="X30" i="18" s="1"/>
  <c r="K30" i="18"/>
  <c r="O30" i="18" s="1"/>
  <c r="J31" i="18"/>
  <c r="AH34" i="18"/>
  <c r="AI33" i="18"/>
  <c r="AF36" i="18"/>
  <c r="J33" i="20" l="1"/>
  <c r="K32" i="20"/>
  <c r="O32" i="20" s="1"/>
  <c r="Y32" i="20" s="1"/>
  <c r="O30" i="13"/>
  <c r="Y31" i="26"/>
  <c r="K32" i="26"/>
  <c r="O32" i="26" s="1"/>
  <c r="J33" i="26"/>
  <c r="S32" i="26"/>
  <c r="R33" i="26"/>
  <c r="AI27" i="26"/>
  <c r="AF28" i="26"/>
  <c r="S33" i="20"/>
  <c r="T33" i="20" s="1"/>
  <c r="X33" i="20" s="1"/>
  <c r="R34" i="20"/>
  <c r="AF33" i="20"/>
  <c r="AI32" i="20"/>
  <c r="T29" i="13"/>
  <c r="X28" i="13"/>
  <c r="Y28" i="13" s="1"/>
  <c r="R31" i="13"/>
  <c r="S30" i="13"/>
  <c r="AI21" i="19"/>
  <c r="AF22" i="19"/>
  <c r="AF31" i="13"/>
  <c r="AI30" i="13"/>
  <c r="K31" i="13"/>
  <c r="J32" i="13"/>
  <c r="R27" i="19"/>
  <c r="S26" i="19"/>
  <c r="T26" i="19" s="1"/>
  <c r="X26" i="19" s="1"/>
  <c r="Y26" i="19" s="1"/>
  <c r="K33" i="19"/>
  <c r="O33" i="19" s="1"/>
  <c r="J34" i="19"/>
  <c r="D123" i="19" s="1"/>
  <c r="E123" i="19" s="1"/>
  <c r="E127" i="19" s="1"/>
  <c r="G23" i="24" s="1"/>
  <c r="Y30" i="18"/>
  <c r="R32" i="18"/>
  <c r="S31" i="18"/>
  <c r="T31" i="18" s="1"/>
  <c r="X31" i="18" s="1"/>
  <c r="K31" i="18"/>
  <c r="O31" i="18" s="1"/>
  <c r="J32" i="18"/>
  <c r="AF37" i="18"/>
  <c r="AH35" i="18"/>
  <c r="AI34" i="18"/>
  <c r="K33" i="20" l="1"/>
  <c r="O33" i="20" s="1"/>
  <c r="Y33" i="20" s="1"/>
  <c r="J34" i="20"/>
  <c r="O31" i="13"/>
  <c r="K33" i="26"/>
  <c r="O33" i="26" s="1"/>
  <c r="J34" i="26"/>
  <c r="D123" i="26" s="1"/>
  <c r="E123" i="26" s="1"/>
  <c r="E127" i="26" s="1"/>
  <c r="I23" i="24" s="1"/>
  <c r="AI28" i="26"/>
  <c r="AF29" i="26"/>
  <c r="S33" i="26"/>
  <c r="T33" i="26" s="1"/>
  <c r="X33" i="26" s="1"/>
  <c r="R34" i="26"/>
  <c r="T32" i="26"/>
  <c r="X32" i="26" s="1"/>
  <c r="Y32" i="26" s="1"/>
  <c r="S34" i="20"/>
  <c r="T34" i="20" s="1"/>
  <c r="X34" i="20" s="1"/>
  <c r="R35" i="20"/>
  <c r="AI33" i="20"/>
  <c r="AF34" i="20"/>
  <c r="T30" i="13"/>
  <c r="X29" i="13"/>
  <c r="Y29" i="13" s="1"/>
  <c r="R32" i="13"/>
  <c r="S31" i="13"/>
  <c r="AI22" i="19"/>
  <c r="AF23" i="19"/>
  <c r="AI31" i="13"/>
  <c r="AF32" i="13"/>
  <c r="K32" i="13"/>
  <c r="J33" i="13"/>
  <c r="S27" i="19"/>
  <c r="T27" i="19" s="1"/>
  <c r="X27" i="19" s="1"/>
  <c r="Y27" i="19" s="1"/>
  <c r="R28" i="19"/>
  <c r="K34" i="19"/>
  <c r="O34" i="19" s="1"/>
  <c r="J35" i="19"/>
  <c r="Y31" i="18"/>
  <c r="S32" i="18"/>
  <c r="T32" i="18" s="1"/>
  <c r="X32" i="18" s="1"/>
  <c r="R33" i="18"/>
  <c r="K32" i="18"/>
  <c r="O32" i="18" s="1"/>
  <c r="J33" i="18"/>
  <c r="AH36" i="18"/>
  <c r="AI35" i="18"/>
  <c r="C118" i="18" s="1"/>
  <c r="E118" i="18" s="1"/>
  <c r="D127" i="18" s="1"/>
  <c r="F22" i="24" s="1"/>
  <c r="AF38" i="18"/>
  <c r="K34" i="20" l="1"/>
  <c r="O34" i="20" s="1"/>
  <c r="Y34" i="20" s="1"/>
  <c r="J35" i="20"/>
  <c r="O32" i="13"/>
  <c r="Y33" i="26"/>
  <c r="J35" i="26"/>
  <c r="K34" i="26"/>
  <c r="O34" i="26" s="1"/>
  <c r="S34" i="26"/>
  <c r="R35" i="26"/>
  <c r="AI29" i="26"/>
  <c r="AF30" i="26"/>
  <c r="S35" i="20"/>
  <c r="T35" i="20" s="1"/>
  <c r="X35" i="20" s="1"/>
  <c r="R36" i="20"/>
  <c r="AF35" i="20"/>
  <c r="AI34" i="20"/>
  <c r="X30" i="13"/>
  <c r="Y30" i="13" s="1"/>
  <c r="T31" i="13"/>
  <c r="R33" i="13"/>
  <c r="S32" i="13"/>
  <c r="AF24" i="19"/>
  <c r="AI23" i="19"/>
  <c r="AF33" i="13"/>
  <c r="AI32" i="13"/>
  <c r="K33" i="13"/>
  <c r="J34" i="13"/>
  <c r="R29" i="19"/>
  <c r="S28" i="19"/>
  <c r="T28" i="19" s="1"/>
  <c r="X28" i="19" s="1"/>
  <c r="Y28" i="19" s="1"/>
  <c r="K35" i="19"/>
  <c r="O35" i="19" s="1"/>
  <c r="D114" i="19" s="1"/>
  <c r="J36" i="19"/>
  <c r="R34" i="18"/>
  <c r="S33" i="18"/>
  <c r="T33" i="18" s="1"/>
  <c r="X33" i="18" s="1"/>
  <c r="Y32" i="18"/>
  <c r="K33" i="18"/>
  <c r="O33" i="18" s="1"/>
  <c r="J34" i="18"/>
  <c r="D123" i="18" s="1"/>
  <c r="E123" i="18" s="1"/>
  <c r="E127" i="18" s="1"/>
  <c r="F23" i="24" s="1"/>
  <c r="AF39" i="18"/>
  <c r="AH37" i="18"/>
  <c r="AI36" i="18"/>
  <c r="K35" i="20" l="1"/>
  <c r="O35" i="20" s="1"/>
  <c r="D114" i="20" s="1"/>
  <c r="J36" i="20"/>
  <c r="O33" i="13"/>
  <c r="J36" i="26"/>
  <c r="K35" i="26"/>
  <c r="O35" i="26" s="1"/>
  <c r="D114" i="26" s="1"/>
  <c r="S35" i="26"/>
  <c r="T35" i="26" s="1"/>
  <c r="X35" i="26" s="1"/>
  <c r="R36" i="26"/>
  <c r="AF31" i="26"/>
  <c r="AI30" i="26"/>
  <c r="T34" i="26"/>
  <c r="X34" i="26" s="1"/>
  <c r="Y34" i="26" s="1"/>
  <c r="AI35" i="20"/>
  <c r="C118" i="20" s="1"/>
  <c r="E118" i="20" s="1"/>
  <c r="D127" i="20" s="1"/>
  <c r="H22" i="24" s="1"/>
  <c r="AF36" i="20"/>
  <c r="C114" i="20"/>
  <c r="S36" i="20"/>
  <c r="T36" i="20" s="1"/>
  <c r="X36" i="20" s="1"/>
  <c r="R37" i="20"/>
  <c r="X31" i="13"/>
  <c r="Y31" i="13" s="1"/>
  <c r="T32" i="13"/>
  <c r="S33" i="13"/>
  <c r="R34" i="13"/>
  <c r="AF25" i="19"/>
  <c r="AI24" i="19"/>
  <c r="AF34" i="13"/>
  <c r="AI33" i="13"/>
  <c r="K34" i="13"/>
  <c r="D123" i="13"/>
  <c r="E123" i="13" s="1"/>
  <c r="E127" i="13" s="1"/>
  <c r="E23" i="24" s="1"/>
  <c r="J35" i="13"/>
  <c r="S29" i="19"/>
  <c r="T29" i="19" s="1"/>
  <c r="X29" i="19" s="1"/>
  <c r="Y29" i="19" s="1"/>
  <c r="R30" i="19"/>
  <c r="K36" i="19"/>
  <c r="O36" i="19" s="1"/>
  <c r="J37" i="19"/>
  <c r="Y33" i="18"/>
  <c r="R35" i="18"/>
  <c r="S34" i="18"/>
  <c r="T34" i="18" s="1"/>
  <c r="X34" i="18" s="1"/>
  <c r="K34" i="18"/>
  <c r="O34" i="18" s="1"/>
  <c r="J35" i="18"/>
  <c r="AH38" i="18"/>
  <c r="AI37" i="18"/>
  <c r="AF40" i="18"/>
  <c r="Y35" i="20" l="1"/>
  <c r="E114" i="20" s="1"/>
  <c r="J37" i="20"/>
  <c r="K36" i="20"/>
  <c r="O36" i="20" s="1"/>
  <c r="Y36" i="20" s="1"/>
  <c r="O34" i="13"/>
  <c r="J37" i="26"/>
  <c r="K36" i="26"/>
  <c r="O36" i="26" s="1"/>
  <c r="AI31" i="26"/>
  <c r="AF32" i="26"/>
  <c r="S36" i="26"/>
  <c r="R37" i="26"/>
  <c r="C114" i="26"/>
  <c r="Y35" i="26"/>
  <c r="E114" i="26" s="1"/>
  <c r="AF37" i="20"/>
  <c r="AI36" i="20"/>
  <c r="S37" i="20"/>
  <c r="T37" i="20" s="1"/>
  <c r="X37" i="20" s="1"/>
  <c r="R38" i="20"/>
  <c r="T33" i="13"/>
  <c r="X32" i="13"/>
  <c r="Y32" i="13" s="1"/>
  <c r="R35" i="13"/>
  <c r="S34" i="13"/>
  <c r="AI25" i="19"/>
  <c r="AF26" i="19"/>
  <c r="AF35" i="13"/>
  <c r="AI34" i="13"/>
  <c r="K35" i="13"/>
  <c r="J36" i="13"/>
  <c r="R23" i="24"/>
  <c r="J34" i="24"/>
  <c r="K34" i="24" s="1"/>
  <c r="S30" i="19"/>
  <c r="T30" i="19" s="1"/>
  <c r="X30" i="19" s="1"/>
  <c r="Y30" i="19" s="1"/>
  <c r="R31" i="19"/>
  <c r="K37" i="19"/>
  <c r="O37" i="19" s="1"/>
  <c r="J38" i="19"/>
  <c r="Y34" i="18"/>
  <c r="S35" i="18"/>
  <c r="R36" i="18"/>
  <c r="J36" i="18"/>
  <c r="K35" i="18"/>
  <c r="O35" i="18" s="1"/>
  <c r="AH39" i="18"/>
  <c r="AI38" i="18"/>
  <c r="AF41" i="18"/>
  <c r="K37" i="20" l="1"/>
  <c r="O37" i="20" s="1"/>
  <c r="Y37" i="20" s="1"/>
  <c r="J38" i="20"/>
  <c r="O35" i="13"/>
  <c r="J38" i="26"/>
  <c r="K37" i="26"/>
  <c r="O37" i="26" s="1"/>
  <c r="S37" i="26"/>
  <c r="T37" i="26" s="1"/>
  <c r="X37" i="26" s="1"/>
  <c r="R38" i="26"/>
  <c r="T36" i="26"/>
  <c r="X36" i="26" s="1"/>
  <c r="Y36" i="26" s="1"/>
  <c r="AI32" i="26"/>
  <c r="AF33" i="26"/>
  <c r="S38" i="20"/>
  <c r="T38" i="20" s="1"/>
  <c r="X38" i="20" s="1"/>
  <c r="R39" i="20"/>
  <c r="AF38" i="20"/>
  <c r="AI37" i="20"/>
  <c r="X33" i="13"/>
  <c r="Y33" i="13" s="1"/>
  <c r="T34" i="13"/>
  <c r="R36" i="13"/>
  <c r="S35" i="13"/>
  <c r="AI26" i="19"/>
  <c r="AF27" i="19"/>
  <c r="AF36" i="13"/>
  <c r="AI35" i="13"/>
  <c r="C118" i="13" s="1"/>
  <c r="E118" i="13" s="1"/>
  <c r="D127" i="13" s="1"/>
  <c r="E22" i="24" s="1"/>
  <c r="D114" i="13"/>
  <c r="K36" i="13"/>
  <c r="J37" i="13"/>
  <c r="S31" i="19"/>
  <c r="T31" i="19" s="1"/>
  <c r="X31" i="19" s="1"/>
  <c r="Y31" i="19" s="1"/>
  <c r="R32" i="19"/>
  <c r="K38" i="19"/>
  <c r="O38" i="19" s="1"/>
  <c r="J39" i="19"/>
  <c r="T35" i="18"/>
  <c r="X35" i="18" s="1"/>
  <c r="S36" i="18"/>
  <c r="T36" i="18" s="1"/>
  <c r="X36" i="18" s="1"/>
  <c r="R37" i="18"/>
  <c r="D114" i="18"/>
  <c r="K36" i="18"/>
  <c r="O36" i="18" s="1"/>
  <c r="J37" i="18"/>
  <c r="AF42" i="18"/>
  <c r="AH40" i="18"/>
  <c r="AI39" i="18"/>
  <c r="K38" i="20" l="1"/>
  <c r="O38" i="20" s="1"/>
  <c r="Y38" i="20" s="1"/>
  <c r="J39" i="20"/>
  <c r="Y37" i="26"/>
  <c r="O36" i="13"/>
  <c r="J39" i="26"/>
  <c r="K38" i="26"/>
  <c r="O38" i="26" s="1"/>
  <c r="S38" i="26"/>
  <c r="R39" i="26"/>
  <c r="AF34" i="26"/>
  <c r="AI33" i="26"/>
  <c r="S39" i="20"/>
  <c r="T39" i="20" s="1"/>
  <c r="X39" i="20" s="1"/>
  <c r="R40" i="20"/>
  <c r="AI38" i="20"/>
  <c r="AF39" i="20"/>
  <c r="X34" i="13"/>
  <c r="Y34" i="13" s="1"/>
  <c r="T35" i="13"/>
  <c r="S36" i="13"/>
  <c r="R37" i="13"/>
  <c r="AI27" i="19"/>
  <c r="AF28" i="19"/>
  <c r="AI36" i="13"/>
  <c r="AF37" i="13"/>
  <c r="K37" i="13"/>
  <c r="J38" i="13"/>
  <c r="S32" i="19"/>
  <c r="T32" i="19" s="1"/>
  <c r="X32" i="19" s="1"/>
  <c r="Y32" i="19" s="1"/>
  <c r="R33" i="19"/>
  <c r="K39" i="19"/>
  <c r="O39" i="19" s="1"/>
  <c r="J40" i="19"/>
  <c r="C114" i="18"/>
  <c r="Y35" i="18"/>
  <c r="E114" i="18" s="1"/>
  <c r="R38" i="18"/>
  <c r="S37" i="18"/>
  <c r="Y36" i="18"/>
  <c r="J38" i="18"/>
  <c r="K37" i="18"/>
  <c r="O37" i="18" s="1"/>
  <c r="AH41" i="18"/>
  <c r="AI40" i="18"/>
  <c r="AF43" i="18"/>
  <c r="K39" i="20" l="1"/>
  <c r="O39" i="20" s="1"/>
  <c r="Y39" i="20" s="1"/>
  <c r="J40" i="20"/>
  <c r="O37" i="13"/>
  <c r="K39" i="26"/>
  <c r="O39" i="26" s="1"/>
  <c r="J40" i="26"/>
  <c r="T38" i="26"/>
  <c r="X38" i="26" s="1"/>
  <c r="Y38" i="26" s="1"/>
  <c r="AI34" i="26"/>
  <c r="AF35" i="26"/>
  <c r="S39" i="26"/>
  <c r="T39" i="26" s="1"/>
  <c r="X39" i="26" s="1"/>
  <c r="R40" i="26"/>
  <c r="AF40" i="20"/>
  <c r="AI39" i="20"/>
  <c r="S40" i="20"/>
  <c r="T40" i="20" s="1"/>
  <c r="X40" i="20" s="1"/>
  <c r="R41" i="20"/>
  <c r="X35" i="13"/>
  <c r="R38" i="13"/>
  <c r="S37" i="13"/>
  <c r="T36" i="13"/>
  <c r="AF29" i="19"/>
  <c r="AI28" i="19"/>
  <c r="AF38" i="13"/>
  <c r="AI37" i="13"/>
  <c r="K38" i="13"/>
  <c r="J39" i="13"/>
  <c r="R34" i="19"/>
  <c r="S33" i="19"/>
  <c r="T33" i="19" s="1"/>
  <c r="X33" i="19" s="1"/>
  <c r="Y33" i="19" s="1"/>
  <c r="K40" i="19"/>
  <c r="O40" i="19" s="1"/>
  <c r="J41" i="19"/>
  <c r="S38" i="18"/>
  <c r="R39" i="18"/>
  <c r="T37" i="18"/>
  <c r="X37" i="18" s="1"/>
  <c r="Y37" i="18" s="1"/>
  <c r="K38" i="18"/>
  <c r="O38" i="18" s="1"/>
  <c r="J39" i="18"/>
  <c r="AF44" i="18"/>
  <c r="AH42" i="18"/>
  <c r="AI41" i="18"/>
  <c r="J41" i="20" l="1"/>
  <c r="K40" i="20"/>
  <c r="O40" i="20" s="1"/>
  <c r="Y40" i="20" s="1"/>
  <c r="O38" i="13"/>
  <c r="Y39" i="26"/>
  <c r="J41" i="26"/>
  <c r="K40" i="26"/>
  <c r="O40" i="26" s="1"/>
  <c r="AI35" i="26"/>
  <c r="C118" i="26" s="1"/>
  <c r="E118" i="26" s="1"/>
  <c r="D127" i="26" s="1"/>
  <c r="I22" i="24" s="1"/>
  <c r="AF36" i="26"/>
  <c r="S40" i="26"/>
  <c r="R41" i="26"/>
  <c r="S41" i="20"/>
  <c r="T41" i="20" s="1"/>
  <c r="X41" i="20" s="1"/>
  <c r="R42" i="20"/>
  <c r="AI40" i="20"/>
  <c r="AF41" i="20"/>
  <c r="X36" i="13"/>
  <c r="Y36" i="13" s="1"/>
  <c r="C114" i="13"/>
  <c r="Y35" i="13"/>
  <c r="E114" i="13" s="1"/>
  <c r="T37" i="13"/>
  <c r="R39" i="13"/>
  <c r="S38" i="13"/>
  <c r="AF30" i="19"/>
  <c r="AI29" i="19"/>
  <c r="AF39" i="13"/>
  <c r="AI38" i="13"/>
  <c r="K39" i="13"/>
  <c r="J40" i="13"/>
  <c r="S34" i="19"/>
  <c r="T34" i="19" s="1"/>
  <c r="X34" i="19" s="1"/>
  <c r="Y34" i="19" s="1"/>
  <c r="R35" i="19"/>
  <c r="J42" i="19"/>
  <c r="K41" i="19"/>
  <c r="O41" i="19" s="1"/>
  <c r="R40" i="18"/>
  <c r="S39" i="18"/>
  <c r="T39" i="18" s="1"/>
  <c r="X39" i="18" s="1"/>
  <c r="T38" i="18"/>
  <c r="X38" i="18" s="1"/>
  <c r="Y38" i="18" s="1"/>
  <c r="J40" i="18"/>
  <c r="K39" i="18"/>
  <c r="O39" i="18" s="1"/>
  <c r="AH43" i="18"/>
  <c r="AI42" i="18"/>
  <c r="AF45" i="18"/>
  <c r="K41" i="20" l="1"/>
  <c r="O41" i="20" s="1"/>
  <c r="Y41" i="20" s="1"/>
  <c r="J42" i="20"/>
  <c r="O39" i="13"/>
  <c r="K41" i="26"/>
  <c r="O41" i="26" s="1"/>
  <c r="J42" i="26"/>
  <c r="T40" i="26"/>
  <c r="X40" i="26" s="1"/>
  <c r="Y40" i="26" s="1"/>
  <c r="AI36" i="26"/>
  <c r="AF37" i="26"/>
  <c r="S41" i="26"/>
  <c r="T41" i="26" s="1"/>
  <c r="X41" i="26" s="1"/>
  <c r="R42" i="26"/>
  <c r="AF42" i="20"/>
  <c r="AI41" i="20"/>
  <c r="S42" i="20"/>
  <c r="T42" i="20" s="1"/>
  <c r="X42" i="20" s="1"/>
  <c r="R43" i="20"/>
  <c r="T38" i="13"/>
  <c r="X37" i="13"/>
  <c r="Y37" i="13" s="1"/>
  <c r="S39" i="13"/>
  <c r="R40" i="13"/>
  <c r="AF31" i="19"/>
  <c r="AI30" i="19"/>
  <c r="AF40" i="13"/>
  <c r="AI39" i="13"/>
  <c r="K40" i="13"/>
  <c r="J41" i="13"/>
  <c r="S35" i="19"/>
  <c r="T35" i="19" s="1"/>
  <c r="X35" i="19" s="1"/>
  <c r="R36" i="19"/>
  <c r="K42" i="19"/>
  <c r="O42" i="19" s="1"/>
  <c r="J43" i="19"/>
  <c r="Y39" i="18"/>
  <c r="R41" i="18"/>
  <c r="S40" i="18"/>
  <c r="T40" i="18" s="1"/>
  <c r="X40" i="18" s="1"/>
  <c r="K40" i="18"/>
  <c r="O40" i="18" s="1"/>
  <c r="J41" i="18"/>
  <c r="AF46" i="18"/>
  <c r="AH44" i="18"/>
  <c r="AI43" i="18"/>
  <c r="Y41" i="26" l="1"/>
  <c r="J43" i="20"/>
  <c r="K42" i="20"/>
  <c r="O42" i="20" s="1"/>
  <c r="Y42" i="20" s="1"/>
  <c r="O40" i="13"/>
  <c r="J43" i="26"/>
  <c r="K42" i="26"/>
  <c r="O42" i="26" s="1"/>
  <c r="AF38" i="26"/>
  <c r="AI37" i="26"/>
  <c r="S42" i="26"/>
  <c r="R43" i="26"/>
  <c r="S43" i="20"/>
  <c r="T43" i="20" s="1"/>
  <c r="X43" i="20" s="1"/>
  <c r="R44" i="20"/>
  <c r="AI42" i="20"/>
  <c r="AF43" i="20"/>
  <c r="T39" i="13"/>
  <c r="X38" i="13"/>
  <c r="Y38" i="13" s="1"/>
  <c r="S40" i="13"/>
  <c r="R41" i="13"/>
  <c r="AF32" i="19"/>
  <c r="AI31" i="19"/>
  <c r="AI40" i="13"/>
  <c r="AF41" i="13"/>
  <c r="K41" i="13"/>
  <c r="J42" i="13"/>
  <c r="S36" i="19"/>
  <c r="T36" i="19" s="1"/>
  <c r="X36" i="19" s="1"/>
  <c r="Y36" i="19" s="1"/>
  <c r="R37" i="19"/>
  <c r="C114" i="19"/>
  <c r="Y35" i="19"/>
  <c r="E114" i="19" s="1"/>
  <c r="K43" i="19"/>
  <c r="O43" i="19" s="1"/>
  <c r="J44" i="19"/>
  <c r="S41" i="18"/>
  <c r="T41" i="18" s="1"/>
  <c r="X41" i="18" s="1"/>
  <c r="R42" i="18"/>
  <c r="Y40" i="18"/>
  <c r="J42" i="18"/>
  <c r="K41" i="18"/>
  <c r="O41" i="18" s="1"/>
  <c r="AH45" i="18"/>
  <c r="AI44" i="18"/>
  <c r="AF47" i="18"/>
  <c r="K43" i="20" l="1"/>
  <c r="O43" i="20" s="1"/>
  <c r="Y43" i="20" s="1"/>
  <c r="J44" i="20"/>
  <c r="O41" i="13"/>
  <c r="J44" i="26"/>
  <c r="K43" i="26"/>
  <c r="O43" i="26" s="1"/>
  <c r="T42" i="26"/>
  <c r="X42" i="26" s="1"/>
  <c r="Y42" i="26" s="1"/>
  <c r="S43" i="26"/>
  <c r="T43" i="26" s="1"/>
  <c r="X43" i="26" s="1"/>
  <c r="R44" i="26"/>
  <c r="AI38" i="26"/>
  <c r="AF39" i="26"/>
  <c r="AI43" i="20"/>
  <c r="AF44" i="20"/>
  <c r="S44" i="20"/>
  <c r="R45" i="20"/>
  <c r="X39" i="13"/>
  <c r="Y39" i="13" s="1"/>
  <c r="R42" i="13"/>
  <c r="S41" i="13"/>
  <c r="T40" i="13"/>
  <c r="AF33" i="19"/>
  <c r="AI32" i="19"/>
  <c r="AI41" i="13"/>
  <c r="AF42" i="13"/>
  <c r="K42" i="13"/>
  <c r="J43" i="13"/>
  <c r="S37" i="19"/>
  <c r="T37" i="19" s="1"/>
  <c r="X37" i="19" s="1"/>
  <c r="Y37" i="19" s="1"/>
  <c r="R38" i="19"/>
  <c r="K44" i="19"/>
  <c r="O44" i="19" s="1"/>
  <c r="J45" i="19"/>
  <c r="Y41" i="18"/>
  <c r="S42" i="18"/>
  <c r="T42" i="18" s="1"/>
  <c r="X42" i="18" s="1"/>
  <c r="R43" i="18"/>
  <c r="K42" i="18"/>
  <c r="O42" i="18" s="1"/>
  <c r="J43" i="18"/>
  <c r="AF48" i="18"/>
  <c r="AH46" i="18"/>
  <c r="AI45" i="18"/>
  <c r="K44" i="20" l="1"/>
  <c r="O44" i="20" s="1"/>
  <c r="J45" i="20"/>
  <c r="O42" i="13"/>
  <c r="Y43" i="26"/>
  <c r="J45" i="26"/>
  <c r="K44" i="26"/>
  <c r="O44" i="26" s="1"/>
  <c r="S44" i="26"/>
  <c r="R45" i="26"/>
  <c r="AI39" i="26"/>
  <c r="AF40" i="26"/>
  <c r="T44" i="20"/>
  <c r="X44" i="20" s="1"/>
  <c r="AF45" i="20"/>
  <c r="AI44" i="20"/>
  <c r="S45" i="20"/>
  <c r="R46" i="20"/>
  <c r="X40" i="13"/>
  <c r="Y40" i="13" s="1"/>
  <c r="T41" i="13"/>
  <c r="S42" i="13"/>
  <c r="R43" i="13"/>
  <c r="AI33" i="19"/>
  <c r="AF34" i="19"/>
  <c r="AF43" i="13"/>
  <c r="AI42" i="13"/>
  <c r="K43" i="13"/>
  <c r="J44" i="13"/>
  <c r="S38" i="19"/>
  <c r="R39" i="19"/>
  <c r="K45" i="19"/>
  <c r="O45" i="19" s="1"/>
  <c r="J46" i="19"/>
  <c r="Y42" i="18"/>
  <c r="S43" i="18"/>
  <c r="T43" i="18" s="1"/>
  <c r="X43" i="18" s="1"/>
  <c r="R44" i="18"/>
  <c r="J44" i="18"/>
  <c r="K43" i="18"/>
  <c r="O43" i="18" s="1"/>
  <c r="AH47" i="18"/>
  <c r="AI46" i="18"/>
  <c r="AF49" i="18"/>
  <c r="Y44" i="20" l="1"/>
  <c r="K45" i="20"/>
  <c r="O45" i="20" s="1"/>
  <c r="J46" i="20"/>
  <c r="O43" i="13"/>
  <c r="K45" i="26"/>
  <c r="O45" i="26" s="1"/>
  <c r="J46" i="26"/>
  <c r="T44" i="26"/>
  <c r="X44" i="26" s="1"/>
  <c r="Y44" i="26" s="1"/>
  <c r="AI40" i="26"/>
  <c r="AF41" i="26"/>
  <c r="S45" i="26"/>
  <c r="T45" i="26" s="1"/>
  <c r="X45" i="26" s="1"/>
  <c r="R46" i="26"/>
  <c r="T45" i="20"/>
  <c r="X45" i="20" s="1"/>
  <c r="Y45" i="20" s="1"/>
  <c r="AF46" i="20"/>
  <c r="AI45" i="20"/>
  <c r="S46" i="20"/>
  <c r="R47" i="20"/>
  <c r="X41" i="13"/>
  <c r="Y41" i="13" s="1"/>
  <c r="T42" i="13"/>
  <c r="R44" i="13"/>
  <c r="S43" i="13"/>
  <c r="AI34" i="19"/>
  <c r="AF35" i="19"/>
  <c r="AF44" i="13"/>
  <c r="AI43" i="13"/>
  <c r="K44" i="13"/>
  <c r="J45" i="13"/>
  <c r="S39" i="19"/>
  <c r="T39" i="19" s="1"/>
  <c r="X39" i="19" s="1"/>
  <c r="Y39" i="19" s="1"/>
  <c r="R40" i="19"/>
  <c r="T38" i="19"/>
  <c r="X38" i="19" s="1"/>
  <c r="Y38" i="19" s="1"/>
  <c r="K46" i="19"/>
  <c r="O46" i="19" s="1"/>
  <c r="J47" i="19"/>
  <c r="S44" i="18"/>
  <c r="T44" i="18" s="1"/>
  <c r="X44" i="18" s="1"/>
  <c r="R45" i="18"/>
  <c r="Y43" i="18"/>
  <c r="K44" i="18"/>
  <c r="O44" i="18" s="1"/>
  <c r="J45" i="18"/>
  <c r="AF50" i="18"/>
  <c r="AH48" i="18"/>
  <c r="AI47" i="18"/>
  <c r="Y45" i="26" l="1"/>
  <c r="K46" i="20"/>
  <c r="O46" i="20" s="1"/>
  <c r="J47" i="20"/>
  <c r="O44" i="13"/>
  <c r="K46" i="26"/>
  <c r="O46" i="26" s="1"/>
  <c r="J47" i="26"/>
  <c r="AF42" i="26"/>
  <c r="AI41" i="26"/>
  <c r="S46" i="26"/>
  <c r="R47" i="26"/>
  <c r="T46" i="20"/>
  <c r="X46" i="20" s="1"/>
  <c r="AI46" i="20"/>
  <c r="AF47" i="20"/>
  <c r="S47" i="20"/>
  <c r="T47" i="20" s="1"/>
  <c r="X47" i="20" s="1"/>
  <c r="R48" i="20"/>
  <c r="X42" i="13"/>
  <c r="Y42" i="13" s="1"/>
  <c r="T43" i="13"/>
  <c r="R45" i="13"/>
  <c r="S44" i="13"/>
  <c r="AF36" i="19"/>
  <c r="AI35" i="19"/>
  <c r="C118" i="19" s="1"/>
  <c r="E118" i="19" s="1"/>
  <c r="D127" i="19" s="1"/>
  <c r="G22" i="24" s="1"/>
  <c r="AF45" i="13"/>
  <c r="AI44" i="13"/>
  <c r="K45" i="13"/>
  <c r="J46" i="13"/>
  <c r="S40" i="19"/>
  <c r="T40" i="19" s="1"/>
  <c r="X40" i="19" s="1"/>
  <c r="Y40" i="19" s="1"/>
  <c r="R41" i="19"/>
  <c r="K47" i="19"/>
  <c r="O47" i="19" s="1"/>
  <c r="J48" i="19"/>
  <c r="Y44" i="18"/>
  <c r="S45" i="18"/>
  <c r="T45" i="18" s="1"/>
  <c r="X45" i="18" s="1"/>
  <c r="R46" i="18"/>
  <c r="J46" i="18"/>
  <c r="K45" i="18"/>
  <c r="O45" i="18" s="1"/>
  <c r="AH49" i="18"/>
  <c r="AI48" i="18"/>
  <c r="AF51" i="18"/>
  <c r="Y46" i="20" l="1"/>
  <c r="K47" i="20"/>
  <c r="O47" i="20" s="1"/>
  <c r="J48" i="20"/>
  <c r="Y47" i="20"/>
  <c r="O45" i="13"/>
  <c r="K47" i="26"/>
  <c r="O47" i="26" s="1"/>
  <c r="J48" i="26"/>
  <c r="T46" i="26"/>
  <c r="X46" i="26" s="1"/>
  <c r="Y46" i="26" s="1"/>
  <c r="S47" i="26"/>
  <c r="T47" i="26" s="1"/>
  <c r="X47" i="26" s="1"/>
  <c r="R48" i="26"/>
  <c r="AI42" i="26"/>
  <c r="AF43" i="26"/>
  <c r="AF48" i="20"/>
  <c r="AI47" i="20"/>
  <c r="S48" i="20"/>
  <c r="T48" i="20" s="1"/>
  <c r="X48" i="20" s="1"/>
  <c r="R49" i="20"/>
  <c r="X43" i="13"/>
  <c r="Y43" i="13" s="1"/>
  <c r="T44" i="13"/>
  <c r="R46" i="13"/>
  <c r="S45" i="13"/>
  <c r="R22" i="24"/>
  <c r="J33" i="24"/>
  <c r="K33" i="24" s="1"/>
  <c r="AI36" i="19"/>
  <c r="AF37" i="19"/>
  <c r="AF46" i="13"/>
  <c r="AI45" i="13"/>
  <c r="K46" i="13"/>
  <c r="J47" i="13"/>
  <c r="S41" i="19"/>
  <c r="R42" i="19"/>
  <c r="K48" i="19"/>
  <c r="O48" i="19" s="1"/>
  <c r="J49" i="19"/>
  <c r="Y45" i="18"/>
  <c r="R47" i="18"/>
  <c r="S46" i="18"/>
  <c r="K46" i="18"/>
  <c r="O46" i="18" s="1"/>
  <c r="J47" i="18"/>
  <c r="AF52" i="18"/>
  <c r="AH50" i="18"/>
  <c r="AI49" i="18"/>
  <c r="K48" i="20" l="1"/>
  <c r="O48" i="20" s="1"/>
  <c r="Y48" i="20" s="1"/>
  <c r="J49" i="20"/>
  <c r="O46" i="13"/>
  <c r="Y47" i="26"/>
  <c r="J49" i="26"/>
  <c r="K48" i="26"/>
  <c r="O48" i="26" s="1"/>
  <c r="S48" i="26"/>
  <c r="R49" i="26"/>
  <c r="AF44" i="26"/>
  <c r="AI43" i="26"/>
  <c r="S49" i="20"/>
  <c r="T49" i="20" s="1"/>
  <c r="X49" i="20" s="1"/>
  <c r="R50" i="20"/>
  <c r="AI48" i="20"/>
  <c r="AF49" i="20"/>
  <c r="X44" i="13"/>
  <c r="Y44" i="13" s="1"/>
  <c r="T45" i="13"/>
  <c r="S46" i="13"/>
  <c r="R47" i="13"/>
  <c r="AI37" i="19"/>
  <c r="AF38" i="19"/>
  <c r="AF47" i="13"/>
  <c r="AI46" i="13"/>
  <c r="K47" i="13"/>
  <c r="J48" i="13"/>
  <c r="S42" i="19"/>
  <c r="T42" i="19" s="1"/>
  <c r="X42" i="19" s="1"/>
  <c r="Y42" i="19" s="1"/>
  <c r="R43" i="19"/>
  <c r="T41" i="19"/>
  <c r="X41" i="19" s="1"/>
  <c r="Y41" i="19" s="1"/>
  <c r="J50" i="19"/>
  <c r="K49" i="19"/>
  <c r="O49" i="19" s="1"/>
  <c r="T46" i="18"/>
  <c r="X46" i="18" s="1"/>
  <c r="R48" i="18"/>
  <c r="S47" i="18"/>
  <c r="T47" i="18" s="1"/>
  <c r="X47" i="18" s="1"/>
  <c r="J48" i="18"/>
  <c r="K47" i="18"/>
  <c r="O47" i="18" s="1"/>
  <c r="AH51" i="18"/>
  <c r="AI50" i="18"/>
  <c r="AF53" i="18"/>
  <c r="K49" i="20" l="1"/>
  <c r="O49" i="20" s="1"/>
  <c r="Y49" i="20" s="1"/>
  <c r="J50" i="20"/>
  <c r="O47" i="13"/>
  <c r="K49" i="26"/>
  <c r="O49" i="26" s="1"/>
  <c r="J50" i="26"/>
  <c r="J51" i="26" s="1"/>
  <c r="AI44" i="26"/>
  <c r="AF45" i="26"/>
  <c r="S49" i="26"/>
  <c r="T49" i="26" s="1"/>
  <c r="X49" i="26" s="1"/>
  <c r="Y49" i="26" s="1"/>
  <c r="R50" i="26"/>
  <c r="T48" i="26"/>
  <c r="X48" i="26" s="1"/>
  <c r="Y48" i="26" s="1"/>
  <c r="AF50" i="20"/>
  <c r="AI49" i="20"/>
  <c r="S50" i="20"/>
  <c r="T50" i="20" s="1"/>
  <c r="X50" i="20" s="1"/>
  <c r="R51" i="20"/>
  <c r="X45" i="13"/>
  <c r="Y45" i="13" s="1"/>
  <c r="S47" i="13"/>
  <c r="R48" i="13"/>
  <c r="T46" i="13"/>
  <c r="AI38" i="19"/>
  <c r="AF39" i="19"/>
  <c r="AF48" i="13"/>
  <c r="AI47" i="13"/>
  <c r="K48" i="13"/>
  <c r="J49" i="13"/>
  <c r="S43" i="19"/>
  <c r="T43" i="19" s="1"/>
  <c r="X43" i="19" s="1"/>
  <c r="Y43" i="19" s="1"/>
  <c r="R44" i="19"/>
  <c r="K50" i="19"/>
  <c r="O50" i="19" s="1"/>
  <c r="J51" i="19"/>
  <c r="Y47" i="18"/>
  <c r="Y46" i="18"/>
  <c r="R49" i="18"/>
  <c r="S48" i="18"/>
  <c r="T48" i="18" s="1"/>
  <c r="X48" i="18" s="1"/>
  <c r="K48" i="18"/>
  <c r="O48" i="18" s="1"/>
  <c r="J49" i="18"/>
  <c r="AF54" i="18"/>
  <c r="AH52" i="18"/>
  <c r="AI51" i="18"/>
  <c r="K50" i="20" l="1"/>
  <c r="O50" i="20" s="1"/>
  <c r="J51" i="20"/>
  <c r="Y50" i="20"/>
  <c r="O48" i="13"/>
  <c r="J52" i="26"/>
  <c r="K51" i="26"/>
  <c r="O51" i="26" s="1"/>
  <c r="K50" i="26"/>
  <c r="O50" i="26" s="1"/>
  <c r="S50" i="26"/>
  <c r="R51" i="26"/>
  <c r="AF46" i="26"/>
  <c r="AI45" i="26"/>
  <c r="S51" i="20"/>
  <c r="R52" i="20"/>
  <c r="AI50" i="20"/>
  <c r="AF51" i="20"/>
  <c r="X46" i="13"/>
  <c r="Y46" i="13" s="1"/>
  <c r="S48" i="13"/>
  <c r="R49" i="13"/>
  <c r="T47" i="13"/>
  <c r="AF40" i="19"/>
  <c r="AI39" i="19"/>
  <c r="AF49" i="13"/>
  <c r="AI48" i="13"/>
  <c r="K49" i="13"/>
  <c r="J50" i="13"/>
  <c r="S44" i="19"/>
  <c r="R45" i="19"/>
  <c r="K51" i="19"/>
  <c r="O51" i="19" s="1"/>
  <c r="J52" i="19"/>
  <c r="R50" i="18"/>
  <c r="S49" i="18"/>
  <c r="T49" i="18" s="1"/>
  <c r="X49" i="18" s="1"/>
  <c r="Y48" i="18"/>
  <c r="J50" i="18"/>
  <c r="K49" i="18"/>
  <c r="O49" i="18" s="1"/>
  <c r="AH53" i="18"/>
  <c r="AI52" i="18"/>
  <c r="AF55" i="18"/>
  <c r="K51" i="20" l="1"/>
  <c r="O51" i="20" s="1"/>
  <c r="J52" i="20"/>
  <c r="O49" i="13"/>
  <c r="J53" i="26"/>
  <c r="K52" i="26"/>
  <c r="O52" i="26" s="1"/>
  <c r="AI46" i="26"/>
  <c r="AF47" i="26"/>
  <c r="S51" i="26"/>
  <c r="T51" i="26" s="1"/>
  <c r="X51" i="26" s="1"/>
  <c r="Y51" i="26" s="1"/>
  <c r="R52" i="26"/>
  <c r="T50" i="26"/>
  <c r="X50" i="26" s="1"/>
  <c r="Y50" i="26" s="1"/>
  <c r="AF52" i="20"/>
  <c r="AI51" i="20"/>
  <c r="S52" i="20"/>
  <c r="T52" i="20" s="1"/>
  <c r="X52" i="20" s="1"/>
  <c r="R53" i="20"/>
  <c r="T51" i="20"/>
  <c r="X51" i="20" s="1"/>
  <c r="Y51" i="20" s="1"/>
  <c r="T48" i="13"/>
  <c r="X47" i="13"/>
  <c r="Y47" i="13" s="1"/>
  <c r="S49" i="13"/>
  <c r="R50" i="13"/>
  <c r="AI40" i="19"/>
  <c r="AF41" i="19"/>
  <c r="AF50" i="13"/>
  <c r="AI49" i="13"/>
  <c r="K50" i="13"/>
  <c r="J51" i="13"/>
  <c r="S45" i="19"/>
  <c r="T45" i="19" s="1"/>
  <c r="X45" i="19" s="1"/>
  <c r="Y45" i="19" s="1"/>
  <c r="R46" i="19"/>
  <c r="T44" i="19"/>
  <c r="X44" i="19" s="1"/>
  <c r="Y44" i="19" s="1"/>
  <c r="K52" i="19"/>
  <c r="O52" i="19" s="1"/>
  <c r="J53" i="19"/>
  <c r="Y49" i="18"/>
  <c r="S50" i="18"/>
  <c r="T50" i="18" s="1"/>
  <c r="X50" i="18" s="1"/>
  <c r="R51" i="18"/>
  <c r="K50" i="18"/>
  <c r="O50" i="18" s="1"/>
  <c r="J51" i="18"/>
  <c r="AF56" i="18"/>
  <c r="AH54" i="18"/>
  <c r="AI53" i="18"/>
  <c r="J53" i="20" l="1"/>
  <c r="K52" i="20"/>
  <c r="O52" i="20" s="1"/>
  <c r="Y52" i="20" s="1"/>
  <c r="O50" i="13"/>
  <c r="J54" i="26"/>
  <c r="K53" i="26"/>
  <c r="O53" i="26" s="1"/>
  <c r="S52" i="26"/>
  <c r="R53" i="26"/>
  <c r="AI47" i="26"/>
  <c r="AF48" i="26"/>
  <c r="J56" i="20"/>
  <c r="S53" i="20"/>
  <c r="R54" i="20"/>
  <c r="AF53" i="20"/>
  <c r="AI52" i="20"/>
  <c r="X48" i="13"/>
  <c r="Y48" i="13" s="1"/>
  <c r="R51" i="13"/>
  <c r="S50" i="13"/>
  <c r="T49" i="13"/>
  <c r="AF42" i="19"/>
  <c r="AI41" i="19"/>
  <c r="AI50" i="13"/>
  <c r="AF51" i="13"/>
  <c r="K51" i="13"/>
  <c r="J52" i="13"/>
  <c r="S46" i="19"/>
  <c r="T46" i="19" s="1"/>
  <c r="X46" i="19" s="1"/>
  <c r="Y46" i="19" s="1"/>
  <c r="R47" i="19"/>
  <c r="K53" i="19"/>
  <c r="O53" i="19" s="1"/>
  <c r="J54" i="19"/>
  <c r="R52" i="18"/>
  <c r="S51" i="18"/>
  <c r="T51" i="18" s="1"/>
  <c r="X51" i="18" s="1"/>
  <c r="Y50" i="18"/>
  <c r="J52" i="18"/>
  <c r="K51" i="18"/>
  <c r="O51" i="18" s="1"/>
  <c r="AH55" i="18"/>
  <c r="AI54" i="18"/>
  <c r="AF57" i="18"/>
  <c r="J54" i="20" l="1"/>
  <c r="K53" i="20"/>
  <c r="O53" i="20" s="1"/>
  <c r="O51" i="13"/>
  <c r="J55" i="26"/>
  <c r="K54" i="26"/>
  <c r="O54" i="26" s="1"/>
  <c r="AI48" i="26"/>
  <c r="AF49" i="26"/>
  <c r="S53" i="26"/>
  <c r="T53" i="26" s="1"/>
  <c r="X53" i="26" s="1"/>
  <c r="Y53" i="26" s="1"/>
  <c r="R54" i="26"/>
  <c r="T52" i="26"/>
  <c r="X52" i="26" s="1"/>
  <c r="Y52" i="26" s="1"/>
  <c r="AF54" i="20"/>
  <c r="AI53" i="20"/>
  <c r="J57" i="20"/>
  <c r="K56" i="20"/>
  <c r="O56" i="20" s="1"/>
  <c r="S54" i="20"/>
  <c r="T54" i="20" s="1"/>
  <c r="X54" i="20" s="1"/>
  <c r="R55" i="20"/>
  <c r="T53" i="20"/>
  <c r="X53" i="20" s="1"/>
  <c r="T50" i="13"/>
  <c r="X49" i="13"/>
  <c r="Y49" i="13" s="1"/>
  <c r="R52" i="13"/>
  <c r="S51" i="13"/>
  <c r="AI42" i="19"/>
  <c r="AF43" i="19"/>
  <c r="AI51" i="13"/>
  <c r="AF52" i="13"/>
  <c r="K52" i="13"/>
  <c r="J53" i="13"/>
  <c r="R48" i="19"/>
  <c r="S47" i="19"/>
  <c r="T47" i="19" s="1"/>
  <c r="X47" i="19" s="1"/>
  <c r="Y47" i="19" s="1"/>
  <c r="K54" i="19"/>
  <c r="O54" i="19" s="1"/>
  <c r="J55" i="19"/>
  <c r="J56" i="19" s="1"/>
  <c r="Y51" i="18"/>
  <c r="R53" i="18"/>
  <c r="S52" i="18"/>
  <c r="T52" i="18" s="1"/>
  <c r="X52" i="18" s="1"/>
  <c r="K52" i="18"/>
  <c r="O52" i="18" s="1"/>
  <c r="J53" i="18"/>
  <c r="AF58" i="18"/>
  <c r="AH56" i="18"/>
  <c r="AI55" i="18"/>
  <c r="Y53" i="20" l="1"/>
  <c r="J55" i="20"/>
  <c r="K55" i="20" s="1"/>
  <c r="O55" i="20" s="1"/>
  <c r="K54" i="20"/>
  <c r="O54" i="20" s="1"/>
  <c r="Y54" i="20" s="1"/>
  <c r="O52" i="13"/>
  <c r="J56" i="26"/>
  <c r="K55" i="26"/>
  <c r="O55" i="26" s="1"/>
  <c r="S54" i="26"/>
  <c r="R55" i="26"/>
  <c r="AF50" i="26"/>
  <c r="AI49" i="26"/>
  <c r="S55" i="20"/>
  <c r="T55" i="20" s="1"/>
  <c r="X55" i="20" s="1"/>
  <c r="R56" i="20"/>
  <c r="K57" i="20"/>
  <c r="O57" i="20" s="1"/>
  <c r="J58" i="20"/>
  <c r="AF55" i="20"/>
  <c r="AI54" i="20"/>
  <c r="T51" i="13"/>
  <c r="X50" i="13"/>
  <c r="Y50" i="13" s="1"/>
  <c r="R53" i="13"/>
  <c r="S52" i="13"/>
  <c r="AF44" i="19"/>
  <c r="AI43" i="19"/>
  <c r="AI52" i="13"/>
  <c r="AF53" i="13"/>
  <c r="J57" i="19"/>
  <c r="K56" i="19"/>
  <c r="O56" i="19" s="1"/>
  <c r="K53" i="13"/>
  <c r="J54" i="13"/>
  <c r="R49" i="19"/>
  <c r="S48" i="19"/>
  <c r="T48" i="19" s="1"/>
  <c r="X48" i="19" s="1"/>
  <c r="Y48" i="19" s="1"/>
  <c r="K55" i="19"/>
  <c r="O55" i="19" s="1"/>
  <c r="S53" i="18"/>
  <c r="T53" i="18" s="1"/>
  <c r="X53" i="18" s="1"/>
  <c r="R54" i="18"/>
  <c r="Y52" i="18"/>
  <c r="K53" i="18"/>
  <c r="O53" i="18" s="1"/>
  <c r="J54" i="18"/>
  <c r="AH57" i="18"/>
  <c r="AI56" i="18"/>
  <c r="AF59" i="18"/>
  <c r="Y55" i="20" l="1"/>
  <c r="O53" i="13"/>
  <c r="J57" i="26"/>
  <c r="K56" i="26"/>
  <c r="O56" i="26" s="1"/>
  <c r="AI50" i="26"/>
  <c r="AF51" i="26"/>
  <c r="S55" i="26"/>
  <c r="T55" i="26" s="1"/>
  <c r="X55" i="26" s="1"/>
  <c r="Y55" i="26" s="1"/>
  <c r="R56" i="26"/>
  <c r="T54" i="26"/>
  <c r="X54" i="26" s="1"/>
  <c r="Y54" i="26" s="1"/>
  <c r="K58" i="20"/>
  <c r="O58" i="20" s="1"/>
  <c r="J59" i="20"/>
  <c r="AF56" i="20"/>
  <c r="AI55" i="20"/>
  <c r="S56" i="20"/>
  <c r="T56" i="20" s="1"/>
  <c r="X56" i="20" s="1"/>
  <c r="Y56" i="20" s="1"/>
  <c r="R57" i="20"/>
  <c r="T52" i="13"/>
  <c r="X51" i="13"/>
  <c r="Y51" i="13" s="1"/>
  <c r="S53" i="13"/>
  <c r="R54" i="13"/>
  <c r="AI44" i="19"/>
  <c r="AF45" i="19"/>
  <c r="AI53" i="13"/>
  <c r="AF54" i="13"/>
  <c r="K57" i="19"/>
  <c r="O57" i="19" s="1"/>
  <c r="J58" i="19"/>
  <c r="K54" i="13"/>
  <c r="J55" i="13"/>
  <c r="S49" i="19"/>
  <c r="T49" i="19" s="1"/>
  <c r="X49" i="19" s="1"/>
  <c r="R50" i="19"/>
  <c r="Y53" i="18"/>
  <c r="S54" i="18"/>
  <c r="T54" i="18" s="1"/>
  <c r="X54" i="18" s="1"/>
  <c r="R55" i="18"/>
  <c r="K54" i="18"/>
  <c r="O54" i="18" s="1"/>
  <c r="J55" i="18"/>
  <c r="J56" i="18" s="1"/>
  <c r="AF60" i="18"/>
  <c r="AH58" i="18"/>
  <c r="AI57" i="18"/>
  <c r="O54" i="13" l="1"/>
  <c r="J58" i="26"/>
  <c r="K57" i="26"/>
  <c r="O57" i="26" s="1"/>
  <c r="S56" i="26"/>
  <c r="R57" i="26"/>
  <c r="AF52" i="26"/>
  <c r="AI51" i="26"/>
  <c r="AF57" i="20"/>
  <c r="AI56" i="20"/>
  <c r="S57" i="20"/>
  <c r="R58" i="20"/>
  <c r="K59" i="20"/>
  <c r="O59" i="20" s="1"/>
  <c r="J60" i="20"/>
  <c r="X52" i="13"/>
  <c r="Y52" i="13" s="1"/>
  <c r="T53" i="13"/>
  <c r="R55" i="13"/>
  <c r="S54" i="13"/>
  <c r="AI45" i="19"/>
  <c r="AF46" i="19"/>
  <c r="AF55" i="13"/>
  <c r="AI54" i="13"/>
  <c r="J59" i="19"/>
  <c r="K58" i="19"/>
  <c r="O58" i="19" s="1"/>
  <c r="J57" i="18"/>
  <c r="K56" i="18"/>
  <c r="O56" i="18" s="1"/>
  <c r="S55" i="18"/>
  <c r="T55" i="18" s="1"/>
  <c r="X55" i="18" s="1"/>
  <c r="R56" i="18"/>
  <c r="K55" i="13"/>
  <c r="J56" i="13"/>
  <c r="R51" i="19"/>
  <c r="S50" i="19"/>
  <c r="T50" i="19" s="1"/>
  <c r="X50" i="19" s="1"/>
  <c r="Y50" i="19" s="1"/>
  <c r="Y49" i="19"/>
  <c r="Y54" i="18"/>
  <c r="K55" i="18"/>
  <c r="O55" i="18" s="1"/>
  <c r="AH59" i="18"/>
  <c r="AI58" i="18"/>
  <c r="AF61" i="18"/>
  <c r="O55" i="13" l="1"/>
  <c r="K58" i="26"/>
  <c r="O58" i="26" s="1"/>
  <c r="J59" i="26"/>
  <c r="T56" i="26"/>
  <c r="X56" i="26" s="1"/>
  <c r="Y56" i="26" s="1"/>
  <c r="S57" i="26"/>
  <c r="T57" i="26" s="1"/>
  <c r="X57" i="26" s="1"/>
  <c r="Y57" i="26" s="1"/>
  <c r="R58" i="26"/>
  <c r="AI52" i="26"/>
  <c r="AF53" i="26"/>
  <c r="J61" i="20"/>
  <c r="K60" i="20"/>
  <c r="O60" i="20" s="1"/>
  <c r="T57" i="20"/>
  <c r="X57" i="20" s="1"/>
  <c r="Y57" i="20" s="1"/>
  <c r="S58" i="20"/>
  <c r="T58" i="20" s="1"/>
  <c r="X58" i="20" s="1"/>
  <c r="Y58" i="20" s="1"/>
  <c r="R59" i="20"/>
  <c r="AF58" i="20"/>
  <c r="AI57" i="20"/>
  <c r="X53" i="13"/>
  <c r="Y53" i="13" s="1"/>
  <c r="T54" i="13"/>
  <c r="R56" i="13"/>
  <c r="S55" i="13"/>
  <c r="AI46" i="19"/>
  <c r="AF47" i="19"/>
  <c r="AI55" i="13"/>
  <c r="AF56" i="13"/>
  <c r="K59" i="19"/>
  <c r="O59" i="19" s="1"/>
  <c r="J60" i="19"/>
  <c r="S56" i="18"/>
  <c r="T56" i="18" s="1"/>
  <c r="X56" i="18" s="1"/>
  <c r="R57" i="18"/>
  <c r="K57" i="18"/>
  <c r="O57" i="18" s="1"/>
  <c r="J58" i="18"/>
  <c r="K56" i="13"/>
  <c r="J57" i="13"/>
  <c r="R52" i="19"/>
  <c r="S51" i="19"/>
  <c r="T51" i="19" s="1"/>
  <c r="X51" i="19" s="1"/>
  <c r="Y55" i="18"/>
  <c r="AF62" i="18"/>
  <c r="AH60" i="18"/>
  <c r="AI59" i="18"/>
  <c r="O56" i="13" l="1"/>
  <c r="K59" i="26"/>
  <c r="O59" i="26" s="1"/>
  <c r="J60" i="26"/>
  <c r="S58" i="26"/>
  <c r="T58" i="26" s="1"/>
  <c r="X58" i="26" s="1"/>
  <c r="Y58" i="26" s="1"/>
  <c r="R59" i="26"/>
  <c r="AF54" i="26"/>
  <c r="AI53" i="26"/>
  <c r="AF59" i="20"/>
  <c r="AI58" i="20"/>
  <c r="S59" i="20"/>
  <c r="T59" i="20" s="1"/>
  <c r="X59" i="20" s="1"/>
  <c r="Y59" i="20" s="1"/>
  <c r="R60" i="20"/>
  <c r="K61" i="20"/>
  <c r="O61" i="20" s="1"/>
  <c r="J62" i="20"/>
  <c r="X54" i="13"/>
  <c r="Y54" i="13" s="1"/>
  <c r="T55" i="13"/>
  <c r="R57" i="13"/>
  <c r="S56" i="13"/>
  <c r="AF48" i="19"/>
  <c r="AI47" i="19"/>
  <c r="AI56" i="13"/>
  <c r="AF57" i="13"/>
  <c r="J61" i="19"/>
  <c r="K60" i="19"/>
  <c r="O60" i="19" s="1"/>
  <c r="J59" i="18"/>
  <c r="K58" i="18"/>
  <c r="O58" i="18" s="1"/>
  <c r="S57" i="18"/>
  <c r="T57" i="18" s="1"/>
  <c r="X57" i="18" s="1"/>
  <c r="Y57" i="18" s="1"/>
  <c r="R58" i="18"/>
  <c r="Y56" i="18"/>
  <c r="K57" i="13"/>
  <c r="J58" i="13"/>
  <c r="Y51" i="19"/>
  <c r="S52" i="19"/>
  <c r="T52" i="19" s="1"/>
  <c r="X52" i="19" s="1"/>
  <c r="Y52" i="19" s="1"/>
  <c r="R53" i="19"/>
  <c r="AH61" i="18"/>
  <c r="AI60" i="18"/>
  <c r="AF63" i="18"/>
  <c r="O57" i="13" l="1"/>
  <c r="J61" i="26"/>
  <c r="K60" i="26"/>
  <c r="O60" i="26" s="1"/>
  <c r="S59" i="26"/>
  <c r="T59" i="26" s="1"/>
  <c r="X59" i="26" s="1"/>
  <c r="Y59" i="26" s="1"/>
  <c r="R60" i="26"/>
  <c r="AI54" i="26"/>
  <c r="AF55" i="26"/>
  <c r="J63" i="20"/>
  <c r="K62" i="20"/>
  <c r="O62" i="20" s="1"/>
  <c r="S60" i="20"/>
  <c r="T60" i="20" s="1"/>
  <c r="X60" i="20" s="1"/>
  <c r="Y60" i="20" s="1"/>
  <c r="R61" i="20"/>
  <c r="AF60" i="20"/>
  <c r="AI59" i="20"/>
  <c r="T56" i="13"/>
  <c r="X55" i="13"/>
  <c r="Y55" i="13" s="1"/>
  <c r="S57" i="13"/>
  <c r="R58" i="13"/>
  <c r="AF49" i="19"/>
  <c r="AI48" i="19"/>
  <c r="AF58" i="13"/>
  <c r="AI57" i="13"/>
  <c r="K61" i="19"/>
  <c r="O61" i="19" s="1"/>
  <c r="J62" i="19"/>
  <c r="S58" i="18"/>
  <c r="T58" i="18" s="1"/>
  <c r="X58" i="18" s="1"/>
  <c r="R59" i="18"/>
  <c r="K59" i="18"/>
  <c r="O59" i="18" s="1"/>
  <c r="J60" i="18"/>
  <c r="K58" i="13"/>
  <c r="J59" i="13"/>
  <c r="S53" i="19"/>
  <c r="T53" i="19" s="1"/>
  <c r="X53" i="19" s="1"/>
  <c r="R54" i="19"/>
  <c r="AF64" i="18"/>
  <c r="AH62" i="18"/>
  <c r="AI61" i="18"/>
  <c r="O58" i="13" l="1"/>
  <c r="J62" i="26"/>
  <c r="K61" i="26"/>
  <c r="O61" i="26" s="1"/>
  <c r="AI55" i="26"/>
  <c r="AF56" i="26"/>
  <c r="S60" i="26"/>
  <c r="T60" i="26" s="1"/>
  <c r="X60" i="26" s="1"/>
  <c r="Y60" i="26" s="1"/>
  <c r="R61" i="26"/>
  <c r="S61" i="20"/>
  <c r="T61" i="20" s="1"/>
  <c r="X61" i="20" s="1"/>
  <c r="Y61" i="20" s="1"/>
  <c r="R62" i="20"/>
  <c r="AF61" i="20"/>
  <c r="AI60" i="20"/>
  <c r="K63" i="20"/>
  <c r="O63" i="20" s="1"/>
  <c r="J64" i="20"/>
  <c r="X56" i="13"/>
  <c r="Y56" i="13" s="1"/>
  <c r="R59" i="13"/>
  <c r="S58" i="13"/>
  <c r="T57" i="13"/>
  <c r="AI49" i="19"/>
  <c r="AF50" i="19"/>
  <c r="AI58" i="13"/>
  <c r="AF59" i="13"/>
  <c r="J63" i="19"/>
  <c r="K62" i="19"/>
  <c r="O62" i="19" s="1"/>
  <c r="S59" i="18"/>
  <c r="T59" i="18" s="1"/>
  <c r="X59" i="18" s="1"/>
  <c r="Y59" i="18" s="1"/>
  <c r="R60" i="18"/>
  <c r="J61" i="18"/>
  <c r="K60" i="18"/>
  <c r="O60" i="18" s="1"/>
  <c r="Y58" i="18"/>
  <c r="K59" i="13"/>
  <c r="J60" i="13"/>
  <c r="R55" i="19"/>
  <c r="S54" i="19"/>
  <c r="T54" i="19" s="1"/>
  <c r="X54" i="19" s="1"/>
  <c r="Y54" i="19" s="1"/>
  <c r="Y53" i="19"/>
  <c r="AH63" i="18"/>
  <c r="AI62" i="18"/>
  <c r="AF65" i="18"/>
  <c r="O59" i="13" l="1"/>
  <c r="K62" i="26"/>
  <c r="O62" i="26" s="1"/>
  <c r="J63" i="26"/>
  <c r="S61" i="26"/>
  <c r="T61" i="26" s="1"/>
  <c r="X61" i="26" s="1"/>
  <c r="Y61" i="26" s="1"/>
  <c r="R62" i="26"/>
  <c r="AI56" i="26"/>
  <c r="AF57" i="26"/>
  <c r="J65" i="20"/>
  <c r="K64" i="20"/>
  <c r="O64" i="20" s="1"/>
  <c r="AF62" i="20"/>
  <c r="AI61" i="20"/>
  <c r="S62" i="20"/>
  <c r="T62" i="20" s="1"/>
  <c r="X62" i="20" s="1"/>
  <c r="Y62" i="20" s="1"/>
  <c r="R63" i="20"/>
  <c r="X57" i="13"/>
  <c r="Y57" i="13" s="1"/>
  <c r="T58" i="13"/>
  <c r="S59" i="13"/>
  <c r="R60" i="13"/>
  <c r="AF51" i="19"/>
  <c r="AI50" i="19"/>
  <c r="AF60" i="13"/>
  <c r="AI59" i="13"/>
  <c r="S55" i="19"/>
  <c r="T55" i="19" s="1"/>
  <c r="X55" i="19" s="1"/>
  <c r="R56" i="19"/>
  <c r="K63" i="19"/>
  <c r="O63" i="19" s="1"/>
  <c r="J64" i="19"/>
  <c r="S60" i="18"/>
  <c r="T60" i="18" s="1"/>
  <c r="X60" i="18" s="1"/>
  <c r="R61" i="18"/>
  <c r="K61" i="18"/>
  <c r="O61" i="18" s="1"/>
  <c r="J62" i="18"/>
  <c r="K60" i="13"/>
  <c r="J61" i="13"/>
  <c r="AF66" i="18"/>
  <c r="AH64" i="18"/>
  <c r="AI63" i="18"/>
  <c r="O60" i="13" l="1"/>
  <c r="K63" i="26"/>
  <c r="O63" i="26" s="1"/>
  <c r="J64" i="26"/>
  <c r="AF58" i="26"/>
  <c r="AI57" i="26"/>
  <c r="S62" i="26"/>
  <c r="T62" i="26" s="1"/>
  <c r="X62" i="26" s="1"/>
  <c r="Y62" i="26" s="1"/>
  <c r="R63" i="26"/>
  <c r="S63" i="20"/>
  <c r="R64" i="20"/>
  <c r="AF63" i="20"/>
  <c r="AI62" i="20"/>
  <c r="K65" i="20"/>
  <c r="O65" i="20" s="1"/>
  <c r="J66" i="20"/>
  <c r="X58" i="13"/>
  <c r="Y58" i="13" s="1"/>
  <c r="T59" i="13"/>
  <c r="R61" i="13"/>
  <c r="S60" i="13"/>
  <c r="AF52" i="19"/>
  <c r="AI51" i="19"/>
  <c r="AF61" i="13"/>
  <c r="AI60" i="13"/>
  <c r="J65" i="19"/>
  <c r="J66" i="19" s="1"/>
  <c r="K64" i="19"/>
  <c r="O64" i="19" s="1"/>
  <c r="S56" i="19"/>
  <c r="T56" i="19" s="1"/>
  <c r="X56" i="19" s="1"/>
  <c r="Y56" i="19" s="1"/>
  <c r="R57" i="19"/>
  <c r="Y55" i="19"/>
  <c r="S61" i="18"/>
  <c r="R62" i="18"/>
  <c r="K62" i="18"/>
  <c r="O62" i="18" s="1"/>
  <c r="J63" i="18"/>
  <c r="Y60" i="18"/>
  <c r="K61" i="13"/>
  <c r="J62" i="13"/>
  <c r="AH65" i="18"/>
  <c r="AI64" i="18"/>
  <c r="AF67" i="18"/>
  <c r="O61" i="13" l="1"/>
  <c r="J65" i="26"/>
  <c r="K64" i="26"/>
  <c r="O64" i="26" s="1"/>
  <c r="S63" i="26"/>
  <c r="T63" i="26" s="1"/>
  <c r="X63" i="26" s="1"/>
  <c r="Y63" i="26" s="1"/>
  <c r="R64" i="26"/>
  <c r="AI58" i="26"/>
  <c r="AF59" i="26"/>
  <c r="AF64" i="20"/>
  <c r="AI63" i="20"/>
  <c r="S64" i="20"/>
  <c r="T64" i="20" s="1"/>
  <c r="X64" i="20" s="1"/>
  <c r="Y64" i="20" s="1"/>
  <c r="R65" i="20"/>
  <c r="K66" i="20"/>
  <c r="O66" i="20" s="1"/>
  <c r="J67" i="20"/>
  <c r="T63" i="20"/>
  <c r="X63" i="20" s="1"/>
  <c r="Y63" i="20" s="1"/>
  <c r="X59" i="13"/>
  <c r="Y59" i="13" s="1"/>
  <c r="T60" i="13"/>
  <c r="S61" i="13"/>
  <c r="R62" i="13"/>
  <c r="J67" i="19"/>
  <c r="K66" i="19"/>
  <c r="O66" i="19" s="1"/>
  <c r="AI52" i="19"/>
  <c r="AF53" i="19"/>
  <c r="AF62" i="13"/>
  <c r="AI61" i="13"/>
  <c r="K65" i="19"/>
  <c r="O65" i="19" s="1"/>
  <c r="S57" i="19"/>
  <c r="T57" i="19" s="1"/>
  <c r="X57" i="19" s="1"/>
  <c r="R58" i="19"/>
  <c r="K63" i="18"/>
  <c r="O63" i="18" s="1"/>
  <c r="J64" i="18"/>
  <c r="S62" i="18"/>
  <c r="R63" i="18"/>
  <c r="T61" i="18"/>
  <c r="X61" i="18" s="1"/>
  <c r="K62" i="13"/>
  <c r="J63" i="13"/>
  <c r="AF68" i="18"/>
  <c r="AH66" i="18"/>
  <c r="AI65" i="18"/>
  <c r="K65" i="26" l="1"/>
  <c r="O65" i="26" s="1"/>
  <c r="J66" i="26"/>
  <c r="O62" i="13"/>
  <c r="AF60" i="26"/>
  <c r="AI59" i="26"/>
  <c r="S64" i="26"/>
  <c r="T64" i="26" s="1"/>
  <c r="X64" i="26" s="1"/>
  <c r="Y64" i="26" s="1"/>
  <c r="R65" i="26"/>
  <c r="K67" i="20"/>
  <c r="O67" i="20" s="1"/>
  <c r="J68" i="20"/>
  <c r="AF65" i="20"/>
  <c r="AI64" i="20"/>
  <c r="S65" i="20"/>
  <c r="T65" i="20" s="1"/>
  <c r="X65" i="20" s="1"/>
  <c r="Y65" i="20" s="1"/>
  <c r="R66" i="20"/>
  <c r="X60" i="13"/>
  <c r="Y60" i="13" s="1"/>
  <c r="T61" i="13"/>
  <c r="R63" i="13"/>
  <c r="S62" i="13"/>
  <c r="K67" i="19"/>
  <c r="O67" i="19" s="1"/>
  <c r="J68" i="19"/>
  <c r="AF54" i="19"/>
  <c r="AI53" i="19"/>
  <c r="AF63" i="13"/>
  <c r="AI62" i="13"/>
  <c r="S58" i="19"/>
  <c r="T58" i="19" s="1"/>
  <c r="X58" i="19" s="1"/>
  <c r="Y58" i="19" s="1"/>
  <c r="R59" i="19"/>
  <c r="Y57" i="19"/>
  <c r="Y61" i="18"/>
  <c r="T62" i="18"/>
  <c r="X62" i="18" s="1"/>
  <c r="Y62" i="18" s="1"/>
  <c r="S63" i="18"/>
  <c r="R64" i="18"/>
  <c r="K64" i="18"/>
  <c r="O64" i="18" s="1"/>
  <c r="J65" i="18"/>
  <c r="K63" i="13"/>
  <c r="J64" i="13"/>
  <c r="AH67" i="18"/>
  <c r="AI66" i="18"/>
  <c r="AF69" i="18"/>
  <c r="K66" i="26" l="1"/>
  <c r="O66" i="26" s="1"/>
  <c r="J67" i="26"/>
  <c r="S65" i="26"/>
  <c r="T65" i="26" s="1"/>
  <c r="X65" i="26" s="1"/>
  <c r="Y65" i="26" s="1"/>
  <c r="R66" i="26"/>
  <c r="O63" i="13"/>
  <c r="AI60" i="26"/>
  <c r="AF61" i="26"/>
  <c r="S66" i="20"/>
  <c r="T66" i="20" s="1"/>
  <c r="X66" i="20" s="1"/>
  <c r="Y66" i="20" s="1"/>
  <c r="R67" i="20"/>
  <c r="AF66" i="20"/>
  <c r="AI65" i="20"/>
  <c r="J69" i="20"/>
  <c r="K68" i="20"/>
  <c r="O68" i="20" s="1"/>
  <c r="X61" i="13"/>
  <c r="Y61" i="13" s="1"/>
  <c r="T62" i="13"/>
  <c r="R64" i="13"/>
  <c r="S63" i="13"/>
  <c r="J69" i="19"/>
  <c r="K68" i="19"/>
  <c r="O68" i="19" s="1"/>
  <c r="AF55" i="19"/>
  <c r="AI54" i="19"/>
  <c r="AI63" i="13"/>
  <c r="AF64" i="13"/>
  <c r="S59" i="19"/>
  <c r="T59" i="19" s="1"/>
  <c r="X59" i="19" s="1"/>
  <c r="R60" i="19"/>
  <c r="K65" i="18"/>
  <c r="O65" i="18" s="1"/>
  <c r="J66" i="18"/>
  <c r="S64" i="18"/>
  <c r="T64" i="18" s="1"/>
  <c r="X64" i="18" s="1"/>
  <c r="Y64" i="18" s="1"/>
  <c r="R65" i="18"/>
  <c r="T63" i="18"/>
  <c r="X63" i="18" s="1"/>
  <c r="K64" i="13"/>
  <c r="J65" i="13"/>
  <c r="AF70" i="18"/>
  <c r="AH68" i="18"/>
  <c r="AI67" i="18"/>
  <c r="S66" i="26" l="1"/>
  <c r="T66" i="26" s="1"/>
  <c r="X66" i="26" s="1"/>
  <c r="R67" i="26"/>
  <c r="K67" i="26"/>
  <c r="O67" i="26" s="1"/>
  <c r="J68" i="26"/>
  <c r="O64" i="13"/>
  <c r="AF62" i="26"/>
  <c r="AI61" i="26"/>
  <c r="AF67" i="20"/>
  <c r="AI66" i="20"/>
  <c r="S67" i="20"/>
  <c r="T67" i="20" s="1"/>
  <c r="X67" i="20" s="1"/>
  <c r="Y67" i="20" s="1"/>
  <c r="R68" i="20"/>
  <c r="K69" i="20"/>
  <c r="O69" i="20" s="1"/>
  <c r="J70" i="20"/>
  <c r="T63" i="13"/>
  <c r="X62" i="13"/>
  <c r="Y62" i="13" s="1"/>
  <c r="R65" i="13"/>
  <c r="S64" i="13"/>
  <c r="K69" i="19"/>
  <c r="O69" i="19" s="1"/>
  <c r="J70" i="19"/>
  <c r="AI55" i="19"/>
  <c r="AF56" i="19"/>
  <c r="AF65" i="13"/>
  <c r="AI64" i="13"/>
  <c r="S60" i="19"/>
  <c r="R61" i="19"/>
  <c r="Y59" i="19"/>
  <c r="Y63" i="18"/>
  <c r="K66" i="18"/>
  <c r="O66" i="18" s="1"/>
  <c r="J67" i="18"/>
  <c r="S65" i="18"/>
  <c r="T65" i="18" s="1"/>
  <c r="X65" i="18" s="1"/>
  <c r="Y65" i="18" s="1"/>
  <c r="R66" i="18"/>
  <c r="K65" i="13"/>
  <c r="J66" i="13"/>
  <c r="AH69" i="18"/>
  <c r="AI68" i="18"/>
  <c r="AF71" i="18"/>
  <c r="K68" i="26" l="1"/>
  <c r="O68" i="26" s="1"/>
  <c r="J69" i="26"/>
  <c r="S67" i="26"/>
  <c r="T67" i="26" s="1"/>
  <c r="X67" i="26" s="1"/>
  <c r="Y67" i="26" s="1"/>
  <c r="R68" i="26"/>
  <c r="Y66" i="26"/>
  <c r="O65" i="13"/>
  <c r="AI62" i="26"/>
  <c r="AF63" i="26"/>
  <c r="J71" i="20"/>
  <c r="K70" i="20"/>
  <c r="O70" i="20" s="1"/>
  <c r="S68" i="20"/>
  <c r="T68" i="20" s="1"/>
  <c r="X68" i="20" s="1"/>
  <c r="Y68" i="20" s="1"/>
  <c r="R69" i="20"/>
  <c r="AF68" i="20"/>
  <c r="AI67" i="20"/>
  <c r="X63" i="13"/>
  <c r="Y63" i="13" s="1"/>
  <c r="T64" i="13"/>
  <c r="R66" i="13"/>
  <c r="S65" i="13"/>
  <c r="J71" i="19"/>
  <c r="K70" i="19"/>
  <c r="O70" i="19" s="1"/>
  <c r="AI56" i="19"/>
  <c r="AF57" i="19"/>
  <c r="AF66" i="13"/>
  <c r="AI65" i="13"/>
  <c r="S61" i="19"/>
  <c r="T61" i="19" s="1"/>
  <c r="X61" i="19" s="1"/>
  <c r="Y61" i="19" s="1"/>
  <c r="R62" i="19"/>
  <c r="T60" i="19"/>
  <c r="X60" i="19" s="1"/>
  <c r="K67" i="18"/>
  <c r="O67" i="18" s="1"/>
  <c r="J68" i="18"/>
  <c r="S66" i="18"/>
  <c r="T66" i="18" s="1"/>
  <c r="X66" i="18" s="1"/>
  <c r="Y66" i="18" s="1"/>
  <c r="R67" i="18"/>
  <c r="K66" i="13"/>
  <c r="J67" i="13"/>
  <c r="AF72" i="18"/>
  <c r="AH70" i="18"/>
  <c r="AI69" i="18"/>
  <c r="S68" i="26" l="1"/>
  <c r="T68" i="26" s="1"/>
  <c r="X68" i="26" s="1"/>
  <c r="R69" i="26"/>
  <c r="K69" i="26"/>
  <c r="O69" i="26" s="1"/>
  <c r="J70" i="26"/>
  <c r="O66" i="13"/>
  <c r="AI63" i="26"/>
  <c r="AF64" i="26"/>
  <c r="S69" i="20"/>
  <c r="T69" i="20" s="1"/>
  <c r="X69" i="20" s="1"/>
  <c r="Y69" i="20" s="1"/>
  <c r="R70" i="20"/>
  <c r="K71" i="20"/>
  <c r="O71" i="20" s="1"/>
  <c r="J72" i="20"/>
  <c r="AF69" i="20"/>
  <c r="AI68" i="20"/>
  <c r="X64" i="13"/>
  <c r="Y64" i="13" s="1"/>
  <c r="T65" i="13"/>
  <c r="R67" i="13"/>
  <c r="S66" i="13"/>
  <c r="K71" i="19"/>
  <c r="O71" i="19" s="1"/>
  <c r="J72" i="19"/>
  <c r="AF58" i="19"/>
  <c r="AI57" i="19"/>
  <c r="AI66" i="13"/>
  <c r="AF67" i="13"/>
  <c r="Y60" i="19"/>
  <c r="S62" i="19"/>
  <c r="R63" i="19"/>
  <c r="K68" i="18"/>
  <c r="O68" i="18" s="1"/>
  <c r="J69" i="18"/>
  <c r="S67" i="18"/>
  <c r="R68" i="18"/>
  <c r="K67" i="13"/>
  <c r="J68" i="13"/>
  <c r="AH71" i="18"/>
  <c r="AI70" i="18"/>
  <c r="AF73" i="18"/>
  <c r="K70" i="26" l="1"/>
  <c r="O70" i="26" s="1"/>
  <c r="J71" i="26"/>
  <c r="S69" i="26"/>
  <c r="T69" i="26" s="1"/>
  <c r="X69" i="26" s="1"/>
  <c r="Y69" i="26" s="1"/>
  <c r="R70" i="26"/>
  <c r="Y68" i="26"/>
  <c r="O67" i="13"/>
  <c r="AI64" i="26"/>
  <c r="AF65" i="26"/>
  <c r="J73" i="20"/>
  <c r="K72" i="20"/>
  <c r="O72" i="20" s="1"/>
  <c r="S70" i="20"/>
  <c r="T70" i="20" s="1"/>
  <c r="X70" i="20" s="1"/>
  <c r="Y70" i="20" s="1"/>
  <c r="R71" i="20"/>
  <c r="AF70" i="20"/>
  <c r="AI69" i="20"/>
  <c r="X65" i="13"/>
  <c r="Y65" i="13" s="1"/>
  <c r="T66" i="13"/>
  <c r="S67" i="13"/>
  <c r="R68" i="13"/>
  <c r="J73" i="19"/>
  <c r="K72" i="19"/>
  <c r="O72" i="19" s="1"/>
  <c r="AF59" i="19"/>
  <c r="AI58" i="19"/>
  <c r="AI67" i="13"/>
  <c r="AF68" i="13"/>
  <c r="S63" i="19"/>
  <c r="R64" i="19"/>
  <c r="T62" i="19"/>
  <c r="X62" i="19" s="1"/>
  <c r="T67" i="18"/>
  <c r="X67" i="18" s="1"/>
  <c r="Y67" i="18" s="1"/>
  <c r="K69" i="18"/>
  <c r="O69" i="18" s="1"/>
  <c r="J70" i="18"/>
  <c r="S68" i="18"/>
  <c r="T68" i="18" s="1"/>
  <c r="X68" i="18" s="1"/>
  <c r="Y68" i="18" s="1"/>
  <c r="R69" i="18"/>
  <c r="K68" i="13"/>
  <c r="J69" i="13"/>
  <c r="AF74" i="18"/>
  <c r="AH72" i="18"/>
  <c r="AI71" i="18"/>
  <c r="S70" i="26" l="1"/>
  <c r="T70" i="26" s="1"/>
  <c r="X70" i="26" s="1"/>
  <c r="R71" i="26"/>
  <c r="AI65" i="26"/>
  <c r="AF66" i="26"/>
  <c r="J72" i="26"/>
  <c r="K71" i="26"/>
  <c r="O71" i="26" s="1"/>
  <c r="O68" i="13"/>
  <c r="AF71" i="20"/>
  <c r="AI70" i="20"/>
  <c r="S71" i="20"/>
  <c r="T71" i="20" s="1"/>
  <c r="X71" i="20" s="1"/>
  <c r="Y71" i="20" s="1"/>
  <c r="R72" i="20"/>
  <c r="K73" i="20"/>
  <c r="O73" i="20" s="1"/>
  <c r="J74" i="20"/>
  <c r="T67" i="13"/>
  <c r="X66" i="13"/>
  <c r="Y66" i="13" s="1"/>
  <c r="S68" i="13"/>
  <c r="R69" i="13"/>
  <c r="K73" i="19"/>
  <c r="O73" i="19" s="1"/>
  <c r="J74" i="19"/>
  <c r="AF60" i="19"/>
  <c r="AI59" i="19"/>
  <c r="AF69" i="13"/>
  <c r="AI68" i="13"/>
  <c r="Y62" i="19"/>
  <c r="S64" i="19"/>
  <c r="T64" i="19" s="1"/>
  <c r="X64" i="19" s="1"/>
  <c r="Y64" i="19" s="1"/>
  <c r="R65" i="19"/>
  <c r="T63" i="19"/>
  <c r="X63" i="19" s="1"/>
  <c r="Y63" i="19" s="1"/>
  <c r="K70" i="18"/>
  <c r="O70" i="18" s="1"/>
  <c r="J71" i="18"/>
  <c r="S69" i="18"/>
  <c r="R70" i="18"/>
  <c r="K69" i="13"/>
  <c r="J70" i="13"/>
  <c r="AH73" i="18"/>
  <c r="AI72" i="18"/>
  <c r="AF75" i="18"/>
  <c r="J73" i="26" l="1"/>
  <c r="K72" i="26"/>
  <c r="O72" i="26" s="1"/>
  <c r="AF67" i="26"/>
  <c r="AI66" i="26"/>
  <c r="S71" i="26"/>
  <c r="T71" i="26" s="1"/>
  <c r="X71" i="26" s="1"/>
  <c r="Y71" i="26" s="1"/>
  <c r="R72" i="26"/>
  <c r="Y70" i="26"/>
  <c r="O69" i="13"/>
  <c r="K74" i="20"/>
  <c r="O74" i="20" s="1"/>
  <c r="J75" i="20"/>
  <c r="S72" i="20"/>
  <c r="T72" i="20" s="1"/>
  <c r="X72" i="20" s="1"/>
  <c r="Y72" i="20" s="1"/>
  <c r="R73" i="20"/>
  <c r="AF72" i="20"/>
  <c r="AI71" i="20"/>
  <c r="X67" i="13"/>
  <c r="Y67" i="13" s="1"/>
  <c r="R70" i="13"/>
  <c r="S69" i="13"/>
  <c r="T68" i="13"/>
  <c r="S65" i="19"/>
  <c r="T65" i="19" s="1"/>
  <c r="X65" i="19" s="1"/>
  <c r="R66" i="19"/>
  <c r="J75" i="19"/>
  <c r="K74" i="19"/>
  <c r="O74" i="19" s="1"/>
  <c r="AI60" i="19"/>
  <c r="AF61" i="19"/>
  <c r="AF70" i="13"/>
  <c r="AI69" i="13"/>
  <c r="T69" i="18"/>
  <c r="X69" i="18" s="1"/>
  <c r="Y69" i="18" s="1"/>
  <c r="K71" i="18"/>
  <c r="O71" i="18" s="1"/>
  <c r="J72" i="18"/>
  <c r="S70" i="18"/>
  <c r="T70" i="18" s="1"/>
  <c r="X70" i="18" s="1"/>
  <c r="Y70" i="18" s="1"/>
  <c r="R71" i="18"/>
  <c r="K70" i="13"/>
  <c r="J71" i="13"/>
  <c r="AF76" i="18"/>
  <c r="AH74" i="18"/>
  <c r="AI73" i="18"/>
  <c r="AI67" i="26" l="1"/>
  <c r="AF68" i="26"/>
  <c r="S72" i="26"/>
  <c r="T72" i="26" s="1"/>
  <c r="X72" i="26" s="1"/>
  <c r="Y72" i="26" s="1"/>
  <c r="R73" i="26"/>
  <c r="K73" i="26"/>
  <c r="O73" i="26" s="1"/>
  <c r="J74" i="26"/>
  <c r="O70" i="13"/>
  <c r="AF73" i="20"/>
  <c r="AI72" i="20"/>
  <c r="K75" i="20"/>
  <c r="O75" i="20" s="1"/>
  <c r="J76" i="20"/>
  <c r="S73" i="20"/>
  <c r="T73" i="20" s="1"/>
  <c r="X73" i="20" s="1"/>
  <c r="Y73" i="20" s="1"/>
  <c r="R74" i="20"/>
  <c r="T69" i="13"/>
  <c r="X68" i="13"/>
  <c r="Y68" i="13" s="1"/>
  <c r="R71" i="13"/>
  <c r="S70" i="13"/>
  <c r="K75" i="19"/>
  <c r="O75" i="19" s="1"/>
  <c r="J76" i="19"/>
  <c r="S66" i="19"/>
  <c r="R67" i="19"/>
  <c r="AF62" i="19"/>
  <c r="AI61" i="19"/>
  <c r="AI70" i="13"/>
  <c r="AF71" i="13"/>
  <c r="Y65" i="19"/>
  <c r="K72" i="18"/>
  <c r="O72" i="18" s="1"/>
  <c r="J73" i="18"/>
  <c r="S71" i="18"/>
  <c r="T71" i="18" s="1"/>
  <c r="X71" i="18" s="1"/>
  <c r="Y71" i="18" s="1"/>
  <c r="R72" i="18"/>
  <c r="K71" i="13"/>
  <c r="J72" i="13"/>
  <c r="AH75" i="18"/>
  <c r="AI74" i="18"/>
  <c r="AF77" i="18"/>
  <c r="S73" i="26" l="1"/>
  <c r="T73" i="26" s="1"/>
  <c r="X73" i="26" s="1"/>
  <c r="R74" i="26"/>
  <c r="AF69" i="26"/>
  <c r="AI68" i="26"/>
  <c r="K74" i="26"/>
  <c r="O74" i="26" s="1"/>
  <c r="J75" i="26"/>
  <c r="O71" i="13"/>
  <c r="S74" i="20"/>
  <c r="T74" i="20" s="1"/>
  <c r="X74" i="20" s="1"/>
  <c r="Y74" i="20" s="1"/>
  <c r="R75" i="20"/>
  <c r="J77" i="20"/>
  <c r="K76" i="20"/>
  <c r="O76" i="20" s="1"/>
  <c r="AF74" i="20"/>
  <c r="AI73" i="20"/>
  <c r="T70" i="13"/>
  <c r="X69" i="13"/>
  <c r="Y69" i="13" s="1"/>
  <c r="R72" i="13"/>
  <c r="S71" i="13"/>
  <c r="S67" i="19"/>
  <c r="R68" i="19"/>
  <c r="T66" i="19"/>
  <c r="X66" i="19" s="1"/>
  <c r="J77" i="19"/>
  <c r="K76" i="19"/>
  <c r="O76" i="19" s="1"/>
  <c r="AF63" i="19"/>
  <c r="AI62" i="19"/>
  <c r="AI71" i="13"/>
  <c r="AF72" i="13"/>
  <c r="S72" i="18"/>
  <c r="R73" i="18"/>
  <c r="K73" i="18"/>
  <c r="O73" i="18" s="1"/>
  <c r="J74" i="18"/>
  <c r="K72" i="13"/>
  <c r="J73" i="13"/>
  <c r="AF78" i="18"/>
  <c r="AH76" i="18"/>
  <c r="AI75" i="18"/>
  <c r="K75" i="26" l="1"/>
  <c r="O75" i="26" s="1"/>
  <c r="J76" i="26"/>
  <c r="AI69" i="26"/>
  <c r="AF70" i="26"/>
  <c r="S74" i="26"/>
  <c r="T74" i="26" s="1"/>
  <c r="X74" i="26" s="1"/>
  <c r="Y74" i="26" s="1"/>
  <c r="R75" i="26"/>
  <c r="Y73" i="26"/>
  <c r="O72" i="13"/>
  <c r="AF75" i="20"/>
  <c r="AI74" i="20"/>
  <c r="K77" i="20"/>
  <c r="O77" i="20" s="1"/>
  <c r="J78" i="20"/>
  <c r="S75" i="20"/>
  <c r="T75" i="20" s="1"/>
  <c r="X75" i="20" s="1"/>
  <c r="Y75" i="20" s="1"/>
  <c r="R76" i="20"/>
  <c r="X70" i="13"/>
  <c r="Y70" i="13" s="1"/>
  <c r="S72" i="13"/>
  <c r="R73" i="13"/>
  <c r="T71" i="13"/>
  <c r="Y66" i="19"/>
  <c r="J78" i="19"/>
  <c r="K77" i="19"/>
  <c r="O77" i="19" s="1"/>
  <c r="S68" i="19"/>
  <c r="R69" i="19"/>
  <c r="T67" i="19"/>
  <c r="X67" i="19" s="1"/>
  <c r="AF64" i="19"/>
  <c r="AI63" i="19"/>
  <c r="AF73" i="13"/>
  <c r="AI72" i="13"/>
  <c r="K74" i="18"/>
  <c r="O74" i="18" s="1"/>
  <c r="J75" i="18"/>
  <c r="S73" i="18"/>
  <c r="T73" i="18" s="1"/>
  <c r="X73" i="18" s="1"/>
  <c r="Y73" i="18" s="1"/>
  <c r="R74" i="18"/>
  <c r="T72" i="18"/>
  <c r="X72" i="18" s="1"/>
  <c r="Y72" i="18" s="1"/>
  <c r="K73" i="13"/>
  <c r="J74" i="13"/>
  <c r="AH77" i="18"/>
  <c r="AI76" i="18"/>
  <c r="AF79" i="18"/>
  <c r="AF71" i="26" l="1"/>
  <c r="AI70" i="26"/>
  <c r="S75" i="26"/>
  <c r="T75" i="26" s="1"/>
  <c r="X75" i="26" s="1"/>
  <c r="Y75" i="26" s="1"/>
  <c r="R76" i="26"/>
  <c r="K76" i="26"/>
  <c r="O76" i="26" s="1"/>
  <c r="J77" i="26"/>
  <c r="O73" i="13"/>
  <c r="S76" i="20"/>
  <c r="T76" i="20" s="1"/>
  <c r="X76" i="20" s="1"/>
  <c r="Y76" i="20" s="1"/>
  <c r="R77" i="20"/>
  <c r="J79" i="20"/>
  <c r="K78" i="20"/>
  <c r="O78" i="20" s="1"/>
  <c r="AF76" i="20"/>
  <c r="AI75" i="20"/>
  <c r="T72" i="13"/>
  <c r="X71" i="13"/>
  <c r="Y71" i="13" s="1"/>
  <c r="S73" i="13"/>
  <c r="R74" i="13"/>
  <c r="Y67" i="19"/>
  <c r="S69" i="19"/>
  <c r="R70" i="19"/>
  <c r="T68" i="19"/>
  <c r="X68" i="19" s="1"/>
  <c r="J79" i="19"/>
  <c r="K78" i="19"/>
  <c r="O78" i="19" s="1"/>
  <c r="AI64" i="19"/>
  <c r="AF65" i="19"/>
  <c r="AI73" i="13"/>
  <c r="AF74" i="13"/>
  <c r="K75" i="18"/>
  <c r="O75" i="18" s="1"/>
  <c r="J76" i="18"/>
  <c r="S74" i="18"/>
  <c r="R75" i="18"/>
  <c r="K74" i="13"/>
  <c r="J75" i="13"/>
  <c r="AF80" i="18"/>
  <c r="AH78" i="18"/>
  <c r="AI77" i="18"/>
  <c r="K77" i="26" l="1"/>
  <c r="O77" i="26" s="1"/>
  <c r="J78" i="26"/>
  <c r="S76" i="26"/>
  <c r="T76" i="26" s="1"/>
  <c r="X76" i="26" s="1"/>
  <c r="Y76" i="26" s="1"/>
  <c r="R77" i="26"/>
  <c r="AF72" i="26"/>
  <c r="AI71" i="26"/>
  <c r="O74" i="13"/>
  <c r="AF77" i="20"/>
  <c r="AI76" i="20"/>
  <c r="S77" i="20"/>
  <c r="R78" i="20"/>
  <c r="K79" i="20"/>
  <c r="O79" i="20" s="1"/>
  <c r="J80" i="20"/>
  <c r="T73" i="13"/>
  <c r="X72" i="13"/>
  <c r="Y72" i="13" s="1"/>
  <c r="S74" i="13"/>
  <c r="R75" i="13"/>
  <c r="Y68" i="19"/>
  <c r="K79" i="19"/>
  <c r="O79" i="19" s="1"/>
  <c r="J80" i="19"/>
  <c r="S70" i="19"/>
  <c r="R71" i="19"/>
  <c r="T69" i="19"/>
  <c r="X69" i="19" s="1"/>
  <c r="AI65" i="19"/>
  <c r="AF66" i="19"/>
  <c r="AI74" i="13"/>
  <c r="AF75" i="13"/>
  <c r="T74" i="18"/>
  <c r="X74" i="18" s="1"/>
  <c r="Y74" i="18" s="1"/>
  <c r="K76" i="18"/>
  <c r="O76" i="18" s="1"/>
  <c r="J77" i="18"/>
  <c r="S75" i="18"/>
  <c r="T75" i="18" s="1"/>
  <c r="X75" i="18" s="1"/>
  <c r="Y75" i="18" s="1"/>
  <c r="R76" i="18"/>
  <c r="K75" i="13"/>
  <c r="J76" i="13"/>
  <c r="AH79" i="18"/>
  <c r="AI78" i="18"/>
  <c r="AF81" i="18"/>
  <c r="S77" i="26" l="1"/>
  <c r="T77" i="26" s="1"/>
  <c r="X77" i="26" s="1"/>
  <c r="Y77" i="26" s="1"/>
  <c r="R78" i="26"/>
  <c r="AF73" i="26"/>
  <c r="AI72" i="26"/>
  <c r="K78" i="26"/>
  <c r="O78" i="26" s="1"/>
  <c r="J79" i="26"/>
  <c r="O75" i="13"/>
  <c r="T77" i="20"/>
  <c r="X77" i="20" s="1"/>
  <c r="Y77" i="20" s="1"/>
  <c r="J81" i="20"/>
  <c r="K80" i="20"/>
  <c r="O80" i="20" s="1"/>
  <c r="S78" i="20"/>
  <c r="T78" i="20" s="1"/>
  <c r="X78" i="20" s="1"/>
  <c r="Y78" i="20" s="1"/>
  <c r="R79" i="20"/>
  <c r="AF78" i="20"/>
  <c r="AI77" i="20"/>
  <c r="X73" i="13"/>
  <c r="Y73" i="13" s="1"/>
  <c r="S75" i="13"/>
  <c r="R76" i="13"/>
  <c r="T74" i="13"/>
  <c r="Y69" i="19"/>
  <c r="AI66" i="19"/>
  <c r="AF67" i="19"/>
  <c r="S71" i="19"/>
  <c r="T71" i="19" s="1"/>
  <c r="X71" i="19" s="1"/>
  <c r="Y71" i="19" s="1"/>
  <c r="R72" i="19"/>
  <c r="T70" i="19"/>
  <c r="X70" i="19" s="1"/>
  <c r="Y70" i="19" s="1"/>
  <c r="J81" i="19"/>
  <c r="K80" i="19"/>
  <c r="O80" i="19" s="1"/>
  <c r="AF76" i="13"/>
  <c r="AI75" i="13"/>
  <c r="K77" i="18"/>
  <c r="O77" i="18" s="1"/>
  <c r="J78" i="18"/>
  <c r="S76" i="18"/>
  <c r="R77" i="18"/>
  <c r="K76" i="13"/>
  <c r="J77" i="13"/>
  <c r="AF82" i="18"/>
  <c r="AH80" i="18"/>
  <c r="AI79" i="18"/>
  <c r="K79" i="26" l="1"/>
  <c r="O79" i="26" s="1"/>
  <c r="J80" i="26"/>
  <c r="AF74" i="26"/>
  <c r="AI73" i="26"/>
  <c r="S78" i="26"/>
  <c r="T78" i="26" s="1"/>
  <c r="X78" i="26" s="1"/>
  <c r="Y78" i="26" s="1"/>
  <c r="R79" i="26"/>
  <c r="O76" i="13"/>
  <c r="AF79" i="20"/>
  <c r="AI78" i="20"/>
  <c r="S79" i="20"/>
  <c r="T79" i="20" s="1"/>
  <c r="X79" i="20" s="1"/>
  <c r="Y79" i="20" s="1"/>
  <c r="R80" i="20"/>
  <c r="K81" i="20"/>
  <c r="O81" i="20" s="1"/>
  <c r="J82" i="20"/>
  <c r="T75" i="13"/>
  <c r="X74" i="13"/>
  <c r="Y74" i="13" s="1"/>
  <c r="S76" i="13"/>
  <c r="R77" i="13"/>
  <c r="J82" i="19"/>
  <c r="K81" i="19"/>
  <c r="O81" i="19" s="1"/>
  <c r="S72" i="19"/>
  <c r="R73" i="19"/>
  <c r="AI67" i="19"/>
  <c r="AF68" i="19"/>
  <c r="AI76" i="13"/>
  <c r="AF77" i="13"/>
  <c r="T76" i="18"/>
  <c r="X76" i="18" s="1"/>
  <c r="Y76" i="18" s="1"/>
  <c r="K78" i="18"/>
  <c r="O78" i="18" s="1"/>
  <c r="J79" i="18"/>
  <c r="S77" i="18"/>
  <c r="R78" i="18"/>
  <c r="K77" i="13"/>
  <c r="J78" i="13"/>
  <c r="AH81" i="18"/>
  <c r="AI80" i="18"/>
  <c r="AF83" i="18"/>
  <c r="AF75" i="26" l="1"/>
  <c r="AI74" i="26"/>
  <c r="S79" i="26"/>
  <c r="T79" i="26" s="1"/>
  <c r="X79" i="26" s="1"/>
  <c r="Y79" i="26" s="1"/>
  <c r="R80" i="26"/>
  <c r="K80" i="26"/>
  <c r="O80" i="26" s="1"/>
  <c r="J81" i="26"/>
  <c r="O77" i="13"/>
  <c r="K82" i="20"/>
  <c r="O82" i="20" s="1"/>
  <c r="J83" i="20"/>
  <c r="S80" i="20"/>
  <c r="T80" i="20" s="1"/>
  <c r="X80" i="20" s="1"/>
  <c r="Y80" i="20" s="1"/>
  <c r="R81" i="20"/>
  <c r="AF80" i="20"/>
  <c r="AI79" i="20"/>
  <c r="X75" i="13"/>
  <c r="Y75" i="13" s="1"/>
  <c r="T76" i="13"/>
  <c r="R78" i="13"/>
  <c r="S77" i="13"/>
  <c r="AI68" i="19"/>
  <c r="AF69" i="19"/>
  <c r="S73" i="19"/>
  <c r="R74" i="19"/>
  <c r="J83" i="19"/>
  <c r="K82" i="19"/>
  <c r="O82" i="19" s="1"/>
  <c r="T72" i="19"/>
  <c r="X72" i="19" s="1"/>
  <c r="Y72" i="19" s="1"/>
  <c r="AF78" i="13"/>
  <c r="AI77" i="13"/>
  <c r="K79" i="18"/>
  <c r="O79" i="18" s="1"/>
  <c r="J80" i="18"/>
  <c r="S78" i="18"/>
  <c r="T78" i="18" s="1"/>
  <c r="X78" i="18" s="1"/>
  <c r="Y78" i="18" s="1"/>
  <c r="R79" i="18"/>
  <c r="T77" i="18"/>
  <c r="X77" i="18" s="1"/>
  <c r="Y77" i="18" s="1"/>
  <c r="K78" i="13"/>
  <c r="J79" i="13"/>
  <c r="AF84" i="18"/>
  <c r="AH82" i="18"/>
  <c r="AI81" i="18"/>
  <c r="J82" i="26" l="1"/>
  <c r="K81" i="26"/>
  <c r="O81" i="26" s="1"/>
  <c r="S80" i="26"/>
  <c r="T80" i="26" s="1"/>
  <c r="X80" i="26" s="1"/>
  <c r="Y80" i="26" s="1"/>
  <c r="R81" i="26"/>
  <c r="AI75" i="26"/>
  <c r="AF76" i="26"/>
  <c r="O78" i="13"/>
  <c r="S81" i="20"/>
  <c r="T81" i="20" s="1"/>
  <c r="X81" i="20" s="1"/>
  <c r="Y81" i="20" s="1"/>
  <c r="R82" i="20"/>
  <c r="K83" i="20"/>
  <c r="O83" i="20" s="1"/>
  <c r="J84" i="20"/>
  <c r="AF81" i="20"/>
  <c r="AI80" i="20"/>
  <c r="X76" i="13"/>
  <c r="Y76" i="13" s="1"/>
  <c r="T77" i="13"/>
  <c r="R79" i="13"/>
  <c r="S78" i="13"/>
  <c r="S74" i="19"/>
  <c r="R75" i="19"/>
  <c r="T73" i="19"/>
  <c r="X73" i="19" s="1"/>
  <c r="Y73" i="19" s="1"/>
  <c r="K83" i="19"/>
  <c r="O83" i="19" s="1"/>
  <c r="J84" i="19"/>
  <c r="AI69" i="19"/>
  <c r="AF70" i="19"/>
  <c r="AI78" i="13"/>
  <c r="AF79" i="13"/>
  <c r="K80" i="18"/>
  <c r="O80" i="18" s="1"/>
  <c r="J81" i="18"/>
  <c r="S79" i="18"/>
  <c r="R80" i="18"/>
  <c r="K79" i="13"/>
  <c r="J80" i="13"/>
  <c r="AH83" i="18"/>
  <c r="AI82" i="18"/>
  <c r="AF85" i="18"/>
  <c r="S81" i="26" l="1"/>
  <c r="T81" i="26" s="1"/>
  <c r="X81" i="26" s="1"/>
  <c r="Y81" i="26" s="1"/>
  <c r="R82" i="26"/>
  <c r="AF77" i="26"/>
  <c r="AI76" i="26"/>
  <c r="K82" i="26"/>
  <c r="O82" i="26" s="1"/>
  <c r="J83" i="26"/>
  <c r="O79" i="13"/>
  <c r="AF82" i="20"/>
  <c r="AI81" i="20"/>
  <c r="S82" i="20"/>
  <c r="T82" i="20" s="1"/>
  <c r="X82" i="20" s="1"/>
  <c r="Y82" i="20" s="1"/>
  <c r="R83" i="20"/>
  <c r="J85" i="20"/>
  <c r="K84" i="20"/>
  <c r="O84" i="20" s="1"/>
  <c r="X77" i="13"/>
  <c r="Y77" i="13" s="1"/>
  <c r="T78" i="13"/>
  <c r="R80" i="13"/>
  <c r="S79" i="13"/>
  <c r="AI70" i="19"/>
  <c r="AF71" i="19"/>
  <c r="J85" i="19"/>
  <c r="K84" i="19"/>
  <c r="O84" i="19" s="1"/>
  <c r="S75" i="19"/>
  <c r="R76" i="19"/>
  <c r="T74" i="19"/>
  <c r="X74" i="19" s="1"/>
  <c r="Y74" i="19" s="1"/>
  <c r="AF80" i="13"/>
  <c r="AI79" i="13"/>
  <c r="K81" i="18"/>
  <c r="O81" i="18" s="1"/>
  <c r="J82" i="18"/>
  <c r="T79" i="18"/>
  <c r="X79" i="18" s="1"/>
  <c r="Y79" i="18" s="1"/>
  <c r="S80" i="18"/>
  <c r="T80" i="18" s="1"/>
  <c r="X80" i="18" s="1"/>
  <c r="Y80" i="18" s="1"/>
  <c r="R81" i="18"/>
  <c r="K80" i="13"/>
  <c r="J81" i="13"/>
  <c r="AF86" i="18"/>
  <c r="AH84" i="18"/>
  <c r="AI83" i="18"/>
  <c r="AI77" i="26" l="1"/>
  <c r="AF78" i="26"/>
  <c r="K83" i="26"/>
  <c r="O83" i="26" s="1"/>
  <c r="J84" i="26"/>
  <c r="S82" i="26"/>
  <c r="T82" i="26" s="1"/>
  <c r="X82" i="26" s="1"/>
  <c r="Y82" i="26" s="1"/>
  <c r="R83" i="26"/>
  <c r="O80" i="13"/>
  <c r="K85" i="20"/>
  <c r="O85" i="20" s="1"/>
  <c r="J86" i="20"/>
  <c r="S83" i="20"/>
  <c r="R84" i="20"/>
  <c r="AF83" i="20"/>
  <c r="AI82" i="20"/>
  <c r="X78" i="13"/>
  <c r="Y78" i="13" s="1"/>
  <c r="R81" i="13"/>
  <c r="S80" i="13"/>
  <c r="T79" i="13"/>
  <c r="S76" i="19"/>
  <c r="R77" i="19"/>
  <c r="T75" i="19"/>
  <c r="X75" i="19" s="1"/>
  <c r="Y75" i="19" s="1"/>
  <c r="J86" i="19"/>
  <c r="K85" i="19"/>
  <c r="O85" i="19" s="1"/>
  <c r="AI71" i="19"/>
  <c r="AF72" i="19"/>
  <c r="AF81" i="13"/>
  <c r="AI80" i="13"/>
  <c r="S81" i="18"/>
  <c r="T81" i="18" s="1"/>
  <c r="X81" i="18" s="1"/>
  <c r="Y81" i="18" s="1"/>
  <c r="R82" i="18"/>
  <c r="K82" i="18"/>
  <c r="O82" i="18" s="1"/>
  <c r="J83" i="18"/>
  <c r="K81" i="13"/>
  <c r="J82" i="13"/>
  <c r="AH85" i="18"/>
  <c r="AI84" i="18"/>
  <c r="AF87" i="18"/>
  <c r="S83" i="26" l="1"/>
  <c r="T83" i="26" s="1"/>
  <c r="X83" i="26" s="1"/>
  <c r="Y83" i="26" s="1"/>
  <c r="R84" i="26"/>
  <c r="K84" i="26"/>
  <c r="O84" i="26" s="1"/>
  <c r="J85" i="26"/>
  <c r="AF79" i="26"/>
  <c r="AI78" i="26"/>
  <c r="O81" i="13"/>
  <c r="S84" i="20"/>
  <c r="T84" i="20" s="1"/>
  <c r="X84" i="20" s="1"/>
  <c r="Y84" i="20" s="1"/>
  <c r="R85" i="20"/>
  <c r="T83" i="20"/>
  <c r="X83" i="20" s="1"/>
  <c r="Y83" i="20" s="1"/>
  <c r="AF84" i="20"/>
  <c r="AI83" i="20"/>
  <c r="J87" i="20"/>
  <c r="K86" i="20"/>
  <c r="O86" i="20" s="1"/>
  <c r="X79" i="13"/>
  <c r="Y79" i="13" s="1"/>
  <c r="T80" i="13"/>
  <c r="S81" i="13"/>
  <c r="R82" i="13"/>
  <c r="J87" i="19"/>
  <c r="K86" i="19"/>
  <c r="O86" i="19" s="1"/>
  <c r="S77" i="19"/>
  <c r="R78" i="19"/>
  <c r="AI72" i="19"/>
  <c r="AF73" i="19"/>
  <c r="T76" i="19"/>
  <c r="X76" i="19" s="1"/>
  <c r="Y76" i="19" s="1"/>
  <c r="AF82" i="13"/>
  <c r="AI81" i="13"/>
  <c r="K83" i="18"/>
  <c r="O83" i="18" s="1"/>
  <c r="J84" i="18"/>
  <c r="S82" i="18"/>
  <c r="T82" i="18" s="1"/>
  <c r="X82" i="18" s="1"/>
  <c r="Y82" i="18" s="1"/>
  <c r="R83" i="18"/>
  <c r="K82" i="13"/>
  <c r="J83" i="13"/>
  <c r="AF88" i="18"/>
  <c r="AH86" i="18"/>
  <c r="AI85" i="18"/>
  <c r="K85" i="26" l="1"/>
  <c r="O85" i="26" s="1"/>
  <c r="J86" i="26"/>
  <c r="S84" i="26"/>
  <c r="T84" i="26" s="1"/>
  <c r="X84" i="26" s="1"/>
  <c r="Y84" i="26" s="1"/>
  <c r="R85" i="26"/>
  <c r="AF80" i="26"/>
  <c r="AI79" i="26"/>
  <c r="O82" i="13"/>
  <c r="AF85" i="20"/>
  <c r="AI84" i="20"/>
  <c r="K87" i="20"/>
  <c r="O87" i="20" s="1"/>
  <c r="J88" i="20"/>
  <c r="S85" i="20"/>
  <c r="T85" i="20" s="1"/>
  <c r="X85" i="20" s="1"/>
  <c r="Y85" i="20" s="1"/>
  <c r="R86" i="20"/>
  <c r="T81" i="13"/>
  <c r="X80" i="13"/>
  <c r="Y80" i="13" s="1"/>
  <c r="R83" i="13"/>
  <c r="S82" i="13"/>
  <c r="AI73" i="19"/>
  <c r="AF74" i="19"/>
  <c r="S78" i="19"/>
  <c r="R79" i="19"/>
  <c r="T77" i="19"/>
  <c r="X77" i="19" s="1"/>
  <c r="Y77" i="19" s="1"/>
  <c r="K87" i="19"/>
  <c r="O87" i="19" s="1"/>
  <c r="J88" i="19"/>
  <c r="AF83" i="13"/>
  <c r="AI82" i="13"/>
  <c r="K84" i="18"/>
  <c r="O84" i="18" s="1"/>
  <c r="J85" i="18"/>
  <c r="S83" i="18"/>
  <c r="T83" i="18" s="1"/>
  <c r="X83" i="18" s="1"/>
  <c r="Y83" i="18" s="1"/>
  <c r="R84" i="18"/>
  <c r="K83" i="13"/>
  <c r="J84" i="13"/>
  <c r="AH87" i="18"/>
  <c r="AI86" i="18"/>
  <c r="AF89" i="18"/>
  <c r="S85" i="26" l="1"/>
  <c r="T85" i="26" s="1"/>
  <c r="X85" i="26" s="1"/>
  <c r="Y85" i="26" s="1"/>
  <c r="R86" i="26"/>
  <c r="AF81" i="26"/>
  <c r="AI80" i="26"/>
  <c r="K86" i="26"/>
  <c r="O86" i="26" s="1"/>
  <c r="J87" i="26"/>
  <c r="O83" i="13"/>
  <c r="J89" i="20"/>
  <c r="K88" i="20"/>
  <c r="O88" i="20" s="1"/>
  <c r="S86" i="20"/>
  <c r="T86" i="20" s="1"/>
  <c r="X86" i="20" s="1"/>
  <c r="Y86" i="20" s="1"/>
  <c r="R87" i="20"/>
  <c r="AF86" i="20"/>
  <c r="AI85" i="20"/>
  <c r="X81" i="13"/>
  <c r="Y81" i="13" s="1"/>
  <c r="T82" i="13"/>
  <c r="S83" i="13"/>
  <c r="R84" i="13"/>
  <c r="J89" i="19"/>
  <c r="K88" i="19"/>
  <c r="O88" i="19" s="1"/>
  <c r="S79" i="19"/>
  <c r="T79" i="19" s="1"/>
  <c r="X79" i="19" s="1"/>
  <c r="Y79" i="19" s="1"/>
  <c r="R80" i="19"/>
  <c r="T78" i="19"/>
  <c r="X78" i="19" s="1"/>
  <c r="Y78" i="19" s="1"/>
  <c r="AI74" i="19"/>
  <c r="AF75" i="19"/>
  <c r="AI83" i="13"/>
  <c r="AF84" i="13"/>
  <c r="K85" i="18"/>
  <c r="O85" i="18" s="1"/>
  <c r="J86" i="18"/>
  <c r="S84" i="18"/>
  <c r="T84" i="18" s="1"/>
  <c r="X84" i="18" s="1"/>
  <c r="Y84" i="18" s="1"/>
  <c r="R85" i="18"/>
  <c r="K84" i="13"/>
  <c r="J85" i="13"/>
  <c r="AF90" i="18"/>
  <c r="AH88" i="18"/>
  <c r="AI87" i="18"/>
  <c r="K87" i="26" l="1"/>
  <c r="O87" i="26" s="1"/>
  <c r="J88" i="26"/>
  <c r="AF82" i="26"/>
  <c r="AI81" i="26"/>
  <c r="S86" i="26"/>
  <c r="T86" i="26" s="1"/>
  <c r="X86" i="26" s="1"/>
  <c r="Y86" i="26" s="1"/>
  <c r="R87" i="26"/>
  <c r="O84" i="13"/>
  <c r="AF87" i="20"/>
  <c r="AI86" i="20"/>
  <c r="K89" i="20"/>
  <c r="O89" i="20" s="1"/>
  <c r="J90" i="20"/>
  <c r="S87" i="20"/>
  <c r="T87" i="20" s="1"/>
  <c r="X87" i="20" s="1"/>
  <c r="Y87" i="20" s="1"/>
  <c r="R88" i="20"/>
  <c r="X82" i="13"/>
  <c r="Y82" i="13" s="1"/>
  <c r="T83" i="13"/>
  <c r="R85" i="13"/>
  <c r="S84" i="13"/>
  <c r="AI75" i="19"/>
  <c r="AF76" i="19"/>
  <c r="S80" i="19"/>
  <c r="R81" i="19"/>
  <c r="J90" i="19"/>
  <c r="K89" i="19"/>
  <c r="O89" i="19" s="1"/>
  <c r="AF85" i="13"/>
  <c r="AI84" i="13"/>
  <c r="S85" i="18"/>
  <c r="T85" i="18" s="1"/>
  <c r="X85" i="18" s="1"/>
  <c r="Y85" i="18" s="1"/>
  <c r="R86" i="18"/>
  <c r="K86" i="18"/>
  <c r="O86" i="18" s="1"/>
  <c r="J87" i="18"/>
  <c r="K85" i="13"/>
  <c r="J86" i="13"/>
  <c r="AH89" i="18"/>
  <c r="AI88" i="18"/>
  <c r="AF91" i="18"/>
  <c r="S87" i="26" l="1"/>
  <c r="T87" i="26" s="1"/>
  <c r="X87" i="26" s="1"/>
  <c r="Y87" i="26" s="1"/>
  <c r="R88" i="26"/>
  <c r="AF83" i="26"/>
  <c r="AI82" i="26"/>
  <c r="K88" i="26"/>
  <c r="O88" i="26" s="1"/>
  <c r="J89" i="26"/>
  <c r="O85" i="13"/>
  <c r="S88" i="20"/>
  <c r="T88" i="20" s="1"/>
  <c r="X88" i="20" s="1"/>
  <c r="Y88" i="20" s="1"/>
  <c r="R89" i="20"/>
  <c r="K90" i="20"/>
  <c r="O90" i="20" s="1"/>
  <c r="J91" i="20"/>
  <c r="AF88" i="20"/>
  <c r="AI87" i="20"/>
  <c r="X83" i="13"/>
  <c r="Y83" i="13" s="1"/>
  <c r="T84" i="13"/>
  <c r="R86" i="13"/>
  <c r="S85" i="13"/>
  <c r="J91" i="19"/>
  <c r="K90" i="19"/>
  <c r="O90" i="19" s="1"/>
  <c r="S81" i="19"/>
  <c r="R82" i="19"/>
  <c r="T80" i="19"/>
  <c r="X80" i="19" s="1"/>
  <c r="Y80" i="19" s="1"/>
  <c r="AI76" i="19"/>
  <c r="AF77" i="19"/>
  <c r="AF86" i="13"/>
  <c r="AI85" i="13"/>
  <c r="K87" i="18"/>
  <c r="O87" i="18" s="1"/>
  <c r="J88" i="18"/>
  <c r="S86" i="18"/>
  <c r="T86" i="18" s="1"/>
  <c r="X86" i="18" s="1"/>
  <c r="Y86" i="18" s="1"/>
  <c r="R87" i="18"/>
  <c r="K86" i="13"/>
  <c r="J87" i="13"/>
  <c r="AF92" i="18"/>
  <c r="AH90" i="18"/>
  <c r="AI89" i="18"/>
  <c r="K89" i="26" l="1"/>
  <c r="J90" i="26"/>
  <c r="O89" i="26"/>
  <c r="AI83" i="26"/>
  <c r="AF84" i="26"/>
  <c r="S88" i="26"/>
  <c r="T88" i="26" s="1"/>
  <c r="X88" i="26" s="1"/>
  <c r="Y88" i="26" s="1"/>
  <c r="R89" i="26"/>
  <c r="O86" i="13"/>
  <c r="AF89" i="20"/>
  <c r="AI88" i="20"/>
  <c r="K91" i="20"/>
  <c r="O91" i="20" s="1"/>
  <c r="J92" i="20"/>
  <c r="S89" i="20"/>
  <c r="T89" i="20" s="1"/>
  <c r="X89" i="20" s="1"/>
  <c r="Y89" i="20" s="1"/>
  <c r="R90" i="20"/>
  <c r="X84" i="13"/>
  <c r="Y84" i="13" s="1"/>
  <c r="T85" i="13"/>
  <c r="R87" i="13"/>
  <c r="S86" i="13"/>
  <c r="AI77" i="19"/>
  <c r="AF78" i="19"/>
  <c r="S82" i="19"/>
  <c r="R83" i="19"/>
  <c r="T81" i="19"/>
  <c r="X81" i="19" s="1"/>
  <c r="Y81" i="19" s="1"/>
  <c r="K91" i="19"/>
  <c r="O91" i="19" s="1"/>
  <c r="J92" i="19"/>
  <c r="AI86" i="13"/>
  <c r="AF87" i="13"/>
  <c r="S87" i="18"/>
  <c r="T87" i="18" s="1"/>
  <c r="X87" i="18" s="1"/>
  <c r="Y87" i="18" s="1"/>
  <c r="R88" i="18"/>
  <c r="K88" i="18"/>
  <c r="O88" i="18" s="1"/>
  <c r="J89" i="18"/>
  <c r="K87" i="13"/>
  <c r="J88" i="13"/>
  <c r="AH91" i="18"/>
  <c r="AI90" i="18"/>
  <c r="AF93" i="18"/>
  <c r="AF85" i="26" l="1"/>
  <c r="AI84" i="26"/>
  <c r="S89" i="26"/>
  <c r="T89" i="26" s="1"/>
  <c r="X89" i="26" s="1"/>
  <c r="Y89" i="26" s="1"/>
  <c r="R90" i="26"/>
  <c r="K90" i="26"/>
  <c r="O90" i="26" s="1"/>
  <c r="J91" i="26"/>
  <c r="O87" i="13"/>
  <c r="S90" i="20"/>
  <c r="T90" i="20" s="1"/>
  <c r="X90" i="20" s="1"/>
  <c r="Y90" i="20" s="1"/>
  <c r="R91" i="20"/>
  <c r="J93" i="20"/>
  <c r="K92" i="20"/>
  <c r="O92" i="20" s="1"/>
  <c r="AF90" i="20"/>
  <c r="AI89" i="20"/>
  <c r="X85" i="13"/>
  <c r="Y85" i="13" s="1"/>
  <c r="T86" i="13"/>
  <c r="R88" i="13"/>
  <c r="S87" i="13"/>
  <c r="J93" i="19"/>
  <c r="K92" i="19"/>
  <c r="O92" i="19" s="1"/>
  <c r="S83" i="19"/>
  <c r="T83" i="19" s="1"/>
  <c r="X83" i="19" s="1"/>
  <c r="Y83" i="19" s="1"/>
  <c r="R84" i="19"/>
  <c r="T82" i="19"/>
  <c r="X82" i="19" s="1"/>
  <c r="Y82" i="19" s="1"/>
  <c r="AI78" i="19"/>
  <c r="AF79" i="19"/>
  <c r="AF88" i="13"/>
  <c r="AI87" i="13"/>
  <c r="K89" i="18"/>
  <c r="O89" i="18" s="1"/>
  <c r="J90" i="18"/>
  <c r="S88" i="18"/>
  <c r="T88" i="18" s="1"/>
  <c r="X88" i="18" s="1"/>
  <c r="Y88" i="18" s="1"/>
  <c r="R89" i="18"/>
  <c r="K88" i="13"/>
  <c r="J89" i="13"/>
  <c r="AF94" i="18"/>
  <c r="AH92" i="18"/>
  <c r="AI91" i="18"/>
  <c r="K91" i="26" l="1"/>
  <c r="O91" i="26" s="1"/>
  <c r="J92" i="26"/>
  <c r="S90" i="26"/>
  <c r="T90" i="26" s="1"/>
  <c r="X90" i="26" s="1"/>
  <c r="Y90" i="26" s="1"/>
  <c r="R91" i="26"/>
  <c r="AI85" i="26"/>
  <c r="AF86" i="26"/>
  <c r="O88" i="13"/>
  <c r="K93" i="20"/>
  <c r="O93" i="20" s="1"/>
  <c r="J94" i="20"/>
  <c r="S91" i="20"/>
  <c r="R92" i="20"/>
  <c r="AF91" i="20"/>
  <c r="AI90" i="20"/>
  <c r="X86" i="13"/>
  <c r="Y86" i="13" s="1"/>
  <c r="T87" i="13"/>
  <c r="S88" i="13"/>
  <c r="R89" i="13"/>
  <c r="AI79" i="19"/>
  <c r="AF80" i="19"/>
  <c r="S84" i="19"/>
  <c r="T84" i="19" s="1"/>
  <c r="X84" i="19" s="1"/>
  <c r="Y84" i="19" s="1"/>
  <c r="R85" i="19"/>
  <c r="J94" i="19"/>
  <c r="K93" i="19"/>
  <c r="O93" i="19" s="1"/>
  <c r="AI88" i="13"/>
  <c r="AF89" i="13"/>
  <c r="K90" i="18"/>
  <c r="O90" i="18" s="1"/>
  <c r="J91" i="18"/>
  <c r="S89" i="18"/>
  <c r="T89" i="18" s="1"/>
  <c r="X89" i="18" s="1"/>
  <c r="Y89" i="18" s="1"/>
  <c r="R90" i="18"/>
  <c r="K89" i="13"/>
  <c r="J90" i="13"/>
  <c r="AH93" i="18"/>
  <c r="AI92" i="18"/>
  <c r="AF95" i="18"/>
  <c r="AF96" i="18" s="1"/>
  <c r="S91" i="26" l="1"/>
  <c r="T91" i="26" s="1"/>
  <c r="X91" i="26" s="1"/>
  <c r="Y91" i="26" s="1"/>
  <c r="R92" i="26"/>
  <c r="K92" i="26"/>
  <c r="O92" i="26" s="1"/>
  <c r="J93" i="26"/>
  <c r="AF87" i="26"/>
  <c r="AI86" i="26"/>
  <c r="O89" i="13"/>
  <c r="AF92" i="20"/>
  <c r="AI91" i="20"/>
  <c r="J95" i="20"/>
  <c r="K94" i="20"/>
  <c r="O94" i="20" s="1"/>
  <c r="T91" i="20"/>
  <c r="X91" i="20" s="1"/>
  <c r="Y91" i="20" s="1"/>
  <c r="S92" i="20"/>
  <c r="T92" i="20" s="1"/>
  <c r="X92" i="20" s="1"/>
  <c r="Y92" i="20" s="1"/>
  <c r="R93" i="20"/>
  <c r="X87" i="13"/>
  <c r="Y87" i="13" s="1"/>
  <c r="R90" i="13"/>
  <c r="S89" i="13"/>
  <c r="T88" i="13"/>
  <c r="J95" i="19"/>
  <c r="J96" i="19" s="1"/>
  <c r="K94" i="19"/>
  <c r="O94" i="19" s="1"/>
  <c r="S85" i="19"/>
  <c r="R86" i="19"/>
  <c r="AI80" i="19"/>
  <c r="AF81" i="19"/>
  <c r="AF90" i="13"/>
  <c r="AI89" i="13"/>
  <c r="AF97" i="18"/>
  <c r="K91" i="18"/>
  <c r="O91" i="18" s="1"/>
  <c r="J92" i="18"/>
  <c r="S90" i="18"/>
  <c r="R91" i="18"/>
  <c r="K90" i="13"/>
  <c r="J91" i="13"/>
  <c r="AH94" i="18"/>
  <c r="AI93" i="18"/>
  <c r="K96" i="19" l="1"/>
  <c r="O96" i="19" s="1"/>
  <c r="J97" i="19"/>
  <c r="K93" i="26"/>
  <c r="O93" i="26" s="1"/>
  <c r="J94" i="26"/>
  <c r="S92" i="26"/>
  <c r="R93" i="26"/>
  <c r="AF88" i="26"/>
  <c r="AI87" i="26"/>
  <c r="O90" i="13"/>
  <c r="K95" i="20"/>
  <c r="O95" i="20" s="1"/>
  <c r="D113" i="20" s="1"/>
  <c r="S93" i="20"/>
  <c r="T93" i="20" s="1"/>
  <c r="X93" i="20" s="1"/>
  <c r="Y93" i="20" s="1"/>
  <c r="R94" i="20"/>
  <c r="AF93" i="20"/>
  <c r="AI92" i="20"/>
  <c r="X88" i="13"/>
  <c r="Y88" i="13" s="1"/>
  <c r="T89" i="13"/>
  <c r="S90" i="13"/>
  <c r="R91" i="13"/>
  <c r="AI81" i="19"/>
  <c r="AF82" i="19"/>
  <c r="S86" i="19"/>
  <c r="R87" i="19"/>
  <c r="T85" i="19"/>
  <c r="X85" i="19" s="1"/>
  <c r="Y85" i="19" s="1"/>
  <c r="K95" i="19"/>
  <c r="O95" i="19" s="1"/>
  <c r="AI90" i="13"/>
  <c r="AF91" i="13"/>
  <c r="K92" i="18"/>
  <c r="O92" i="18" s="1"/>
  <c r="J93" i="18"/>
  <c r="T90" i="18"/>
  <c r="X90" i="18" s="1"/>
  <c r="Y90" i="18" s="1"/>
  <c r="S91" i="18"/>
  <c r="T91" i="18" s="1"/>
  <c r="X91" i="18" s="1"/>
  <c r="Y91" i="18" s="1"/>
  <c r="R92" i="18"/>
  <c r="AF98" i="18"/>
  <c r="K91" i="13"/>
  <c r="J92" i="13"/>
  <c r="AH95" i="18"/>
  <c r="AI94" i="18"/>
  <c r="K97" i="19" l="1"/>
  <c r="O97" i="19" s="1"/>
  <c r="J98" i="19"/>
  <c r="AI88" i="26"/>
  <c r="AF89" i="26"/>
  <c r="T92" i="26"/>
  <c r="X92" i="26" s="1"/>
  <c r="Y92" i="26" s="1"/>
  <c r="S93" i="26"/>
  <c r="T93" i="26" s="1"/>
  <c r="X93" i="26" s="1"/>
  <c r="Y93" i="26" s="1"/>
  <c r="R94" i="26"/>
  <c r="K94" i="26"/>
  <c r="O94" i="26" s="1"/>
  <c r="J95" i="26"/>
  <c r="J96" i="26" s="1"/>
  <c r="O91" i="13"/>
  <c r="AF94" i="20"/>
  <c r="AI93" i="20"/>
  <c r="S94" i="20"/>
  <c r="T94" i="20" s="1"/>
  <c r="X94" i="20" s="1"/>
  <c r="Y94" i="20" s="1"/>
  <c r="R95" i="20"/>
  <c r="S95" i="20" s="1"/>
  <c r="T95" i="20" s="1"/>
  <c r="X95" i="20" s="1"/>
  <c r="X89" i="13"/>
  <c r="Y89" i="13" s="1"/>
  <c r="T90" i="13"/>
  <c r="R92" i="13"/>
  <c r="S91" i="13"/>
  <c r="S87" i="19"/>
  <c r="T87" i="19" s="1"/>
  <c r="X87" i="19" s="1"/>
  <c r="Y87" i="19" s="1"/>
  <c r="R88" i="19"/>
  <c r="T86" i="19"/>
  <c r="X86" i="19" s="1"/>
  <c r="Y86" i="19" s="1"/>
  <c r="AI82" i="19"/>
  <c r="AF83" i="19"/>
  <c r="AF92" i="13"/>
  <c r="AI91" i="13"/>
  <c r="AF99" i="18"/>
  <c r="K93" i="18"/>
  <c r="O93" i="18" s="1"/>
  <c r="J94" i="18"/>
  <c r="AI95" i="18"/>
  <c r="AH96" i="18"/>
  <c r="S92" i="18"/>
  <c r="R93" i="18"/>
  <c r="K92" i="13"/>
  <c r="J93" i="13"/>
  <c r="K98" i="19" l="1"/>
  <c r="O98" i="19" s="1"/>
  <c r="J99" i="19"/>
  <c r="K96" i="26"/>
  <c r="O96" i="26" s="1"/>
  <c r="J97" i="26"/>
  <c r="K95" i="26"/>
  <c r="O95" i="26" s="1"/>
  <c r="S94" i="26"/>
  <c r="T94" i="26" s="1"/>
  <c r="X94" i="26" s="1"/>
  <c r="Y94" i="26" s="1"/>
  <c r="R95" i="26"/>
  <c r="AF90" i="26"/>
  <c r="AI89" i="26"/>
  <c r="O92" i="13"/>
  <c r="Y95" i="20"/>
  <c r="C113" i="20"/>
  <c r="E113" i="20" s="1"/>
  <c r="C127" i="20" s="1"/>
  <c r="H21" i="24" s="1"/>
  <c r="AF95" i="20"/>
  <c r="AI95" i="20" s="1"/>
  <c r="AI94" i="20"/>
  <c r="X90" i="13"/>
  <c r="Y90" i="13" s="1"/>
  <c r="T91" i="13"/>
  <c r="R93" i="13"/>
  <c r="S92" i="13"/>
  <c r="AI83" i="19"/>
  <c r="AF84" i="19"/>
  <c r="S88" i="19"/>
  <c r="R89" i="19"/>
  <c r="AF93" i="13"/>
  <c r="AI92" i="13"/>
  <c r="K94" i="18"/>
  <c r="O94" i="18" s="1"/>
  <c r="J95" i="18"/>
  <c r="T92" i="18"/>
  <c r="X92" i="18" s="1"/>
  <c r="Y92" i="18" s="1"/>
  <c r="AH97" i="18"/>
  <c r="AI96" i="18"/>
  <c r="S93" i="18"/>
  <c r="R94" i="18"/>
  <c r="AF100" i="18"/>
  <c r="K93" i="13"/>
  <c r="J94" i="13"/>
  <c r="K99" i="19" l="1"/>
  <c r="O99" i="19" s="1"/>
  <c r="J100" i="19"/>
  <c r="S95" i="26"/>
  <c r="T95" i="26" s="1"/>
  <c r="X95" i="26" s="1"/>
  <c r="Y95" i="26" s="1"/>
  <c r="R96" i="26"/>
  <c r="K97" i="26"/>
  <c r="O97" i="26" s="1"/>
  <c r="J98" i="26"/>
  <c r="AF91" i="26"/>
  <c r="AI90" i="26"/>
  <c r="O93" i="13"/>
  <c r="H25" i="24"/>
  <c r="F127" i="20"/>
  <c r="X91" i="13"/>
  <c r="Y91" i="13" s="1"/>
  <c r="T92" i="13"/>
  <c r="S93" i="13"/>
  <c r="R94" i="13"/>
  <c r="S89" i="19"/>
  <c r="R90" i="19"/>
  <c r="T88" i="19"/>
  <c r="X88" i="19" s="1"/>
  <c r="Y88" i="19" s="1"/>
  <c r="AI84" i="19"/>
  <c r="AF85" i="19"/>
  <c r="AF94" i="13"/>
  <c r="AI93" i="13"/>
  <c r="T93" i="18"/>
  <c r="X93" i="18" s="1"/>
  <c r="Y93" i="18" s="1"/>
  <c r="AH98" i="18"/>
  <c r="AI97" i="18"/>
  <c r="K95" i="18"/>
  <c r="O95" i="18" s="1"/>
  <c r="J96" i="18"/>
  <c r="AF101" i="18"/>
  <c r="S94" i="18"/>
  <c r="R95" i="18"/>
  <c r="K94" i="13"/>
  <c r="J95" i="13"/>
  <c r="J101" i="19" l="1"/>
  <c r="K100" i="19"/>
  <c r="O100" i="19" s="1"/>
  <c r="K98" i="26"/>
  <c r="O98" i="26" s="1"/>
  <c r="J99" i="26"/>
  <c r="S96" i="26"/>
  <c r="R97" i="26"/>
  <c r="AI91" i="26"/>
  <c r="AF92" i="26"/>
  <c r="O94" i="13"/>
  <c r="T93" i="13"/>
  <c r="X92" i="13"/>
  <c r="Y92" i="13" s="1"/>
  <c r="R95" i="13"/>
  <c r="S94" i="13"/>
  <c r="S90" i="19"/>
  <c r="R91" i="19"/>
  <c r="AI85" i="19"/>
  <c r="AF86" i="19"/>
  <c r="T89" i="19"/>
  <c r="X89" i="19" s="1"/>
  <c r="Y89" i="19" s="1"/>
  <c r="AF95" i="13"/>
  <c r="AI94" i="13"/>
  <c r="S95" i="18"/>
  <c r="T95" i="18" s="1"/>
  <c r="X95" i="18" s="1"/>
  <c r="Y95" i="18" s="1"/>
  <c r="R96" i="18"/>
  <c r="AF102" i="18"/>
  <c r="AH99" i="18"/>
  <c r="AI98" i="18"/>
  <c r="T94" i="18"/>
  <c r="X94" i="18" s="1"/>
  <c r="Y94" i="18" s="1"/>
  <c r="K96" i="18"/>
  <c r="O96" i="18" s="1"/>
  <c r="J97" i="18"/>
  <c r="K95" i="13"/>
  <c r="J96" i="13"/>
  <c r="J102" i="19" l="1"/>
  <c r="K101" i="19"/>
  <c r="O101" i="19" s="1"/>
  <c r="T96" i="26"/>
  <c r="X96" i="26" s="1"/>
  <c r="K99" i="26"/>
  <c r="J100" i="26"/>
  <c r="O99" i="26"/>
  <c r="S97" i="26"/>
  <c r="T97" i="26" s="1"/>
  <c r="X97" i="26" s="1"/>
  <c r="Y97" i="26" s="1"/>
  <c r="R98" i="26"/>
  <c r="AF93" i="26"/>
  <c r="AI92" i="26"/>
  <c r="O95" i="13"/>
  <c r="X93" i="13"/>
  <c r="Y93" i="13" s="1"/>
  <c r="T94" i="13"/>
  <c r="S95" i="13"/>
  <c r="R96" i="13"/>
  <c r="AI86" i="19"/>
  <c r="AF87" i="19"/>
  <c r="S91" i="19"/>
  <c r="T91" i="19" s="1"/>
  <c r="X91" i="19" s="1"/>
  <c r="Y91" i="19" s="1"/>
  <c r="R92" i="19"/>
  <c r="T90" i="19"/>
  <c r="X90" i="19" s="1"/>
  <c r="Y90" i="19" s="1"/>
  <c r="AI95" i="13"/>
  <c r="AF96" i="13"/>
  <c r="AF103" i="18"/>
  <c r="K97" i="18"/>
  <c r="O97" i="18" s="1"/>
  <c r="J98" i="18"/>
  <c r="S96" i="18"/>
  <c r="T96" i="18" s="1"/>
  <c r="X96" i="18" s="1"/>
  <c r="Y96" i="18" s="1"/>
  <c r="R97" i="18"/>
  <c r="AH100" i="18"/>
  <c r="AI99" i="18"/>
  <c r="K96" i="13"/>
  <c r="J97" i="13"/>
  <c r="K102" i="19" l="1"/>
  <c r="O102" i="19" s="1"/>
  <c r="J103" i="19"/>
  <c r="S98" i="26"/>
  <c r="T98" i="26" s="1"/>
  <c r="X98" i="26" s="1"/>
  <c r="Y98" i="26" s="1"/>
  <c r="R99" i="26"/>
  <c r="K100" i="26"/>
  <c r="J101" i="26"/>
  <c r="O100" i="26"/>
  <c r="Y96" i="26"/>
  <c r="AI93" i="26"/>
  <c r="AF94" i="26"/>
  <c r="O96" i="13"/>
  <c r="X94" i="13"/>
  <c r="Y94" i="13" s="1"/>
  <c r="T95" i="13"/>
  <c r="R97" i="13"/>
  <c r="S96" i="13"/>
  <c r="AI87" i="19"/>
  <c r="AF88" i="19"/>
  <c r="S92" i="19"/>
  <c r="R93" i="19"/>
  <c r="AF97" i="13"/>
  <c r="AI96" i="13"/>
  <c r="K98" i="18"/>
  <c r="O98" i="18" s="1"/>
  <c r="J99" i="18"/>
  <c r="S97" i="18"/>
  <c r="T97" i="18" s="1"/>
  <c r="X97" i="18" s="1"/>
  <c r="Y97" i="18" s="1"/>
  <c r="R98" i="18"/>
  <c r="AH101" i="18"/>
  <c r="AI100" i="18"/>
  <c r="AF104" i="18"/>
  <c r="K97" i="13"/>
  <c r="J98" i="13"/>
  <c r="K103" i="19" l="1"/>
  <c r="J104" i="19"/>
  <c r="O103" i="19"/>
  <c r="K101" i="26"/>
  <c r="J102" i="26"/>
  <c r="O101" i="26"/>
  <c r="S99" i="26"/>
  <c r="T99" i="26" s="1"/>
  <c r="X99" i="26" s="1"/>
  <c r="R100" i="26"/>
  <c r="AF95" i="26"/>
  <c r="AI94" i="26"/>
  <c r="O97" i="13"/>
  <c r="X95" i="13"/>
  <c r="Y95" i="13" s="1"/>
  <c r="T96" i="13"/>
  <c r="S97" i="13"/>
  <c r="R98" i="13"/>
  <c r="T92" i="19"/>
  <c r="X92" i="19" s="1"/>
  <c r="Y92" i="19" s="1"/>
  <c r="AI88" i="19"/>
  <c r="AF89" i="19"/>
  <c r="S93" i="19"/>
  <c r="R94" i="19"/>
  <c r="AF98" i="13"/>
  <c r="AI97" i="13"/>
  <c r="AH102" i="18"/>
  <c r="AI101" i="18"/>
  <c r="K99" i="18"/>
  <c r="O99" i="18" s="1"/>
  <c r="J100" i="18"/>
  <c r="AF105" i="18"/>
  <c r="S98" i="18"/>
  <c r="R99" i="18"/>
  <c r="K98" i="13"/>
  <c r="J99" i="13"/>
  <c r="J105" i="19" l="1"/>
  <c r="K104" i="19"/>
  <c r="O104" i="19" s="1"/>
  <c r="S100" i="26"/>
  <c r="R101" i="26"/>
  <c r="Y99" i="26"/>
  <c r="K102" i="26"/>
  <c r="O102" i="26" s="1"/>
  <c r="J103" i="26"/>
  <c r="AI95" i="26"/>
  <c r="AF96" i="26"/>
  <c r="O98" i="13"/>
  <c r="T97" i="13"/>
  <c r="X96" i="13"/>
  <c r="Y96" i="13" s="1"/>
  <c r="S98" i="13"/>
  <c r="R99" i="13"/>
  <c r="T93" i="19"/>
  <c r="X93" i="19" s="1"/>
  <c r="Y93" i="19" s="1"/>
  <c r="S94" i="19"/>
  <c r="R95" i="19"/>
  <c r="AI89" i="19"/>
  <c r="AF90" i="19"/>
  <c r="AI98" i="13"/>
  <c r="AF99" i="13"/>
  <c r="T98" i="18"/>
  <c r="X98" i="18" s="1"/>
  <c r="Y98" i="18" s="1"/>
  <c r="K100" i="18"/>
  <c r="O100" i="18" s="1"/>
  <c r="J101" i="18"/>
  <c r="AF106" i="18"/>
  <c r="S99" i="18"/>
  <c r="T99" i="18" s="1"/>
  <c r="X99" i="18" s="1"/>
  <c r="Y99" i="18" s="1"/>
  <c r="R100" i="18"/>
  <c r="AH103" i="18"/>
  <c r="AI102" i="18"/>
  <c r="K99" i="13"/>
  <c r="J100" i="13"/>
  <c r="S95" i="19" l="1"/>
  <c r="T95" i="19" s="1"/>
  <c r="X95" i="19" s="1"/>
  <c r="R96" i="19"/>
  <c r="K105" i="19"/>
  <c r="O105" i="19" s="1"/>
  <c r="J106" i="19"/>
  <c r="AF97" i="26"/>
  <c r="AI96" i="26"/>
  <c r="K103" i="26"/>
  <c r="O103" i="26" s="1"/>
  <c r="J104" i="26"/>
  <c r="S101" i="26"/>
  <c r="T101" i="26" s="1"/>
  <c r="X101" i="26" s="1"/>
  <c r="Y101" i="26" s="1"/>
  <c r="R102" i="26"/>
  <c r="T100" i="26"/>
  <c r="X100" i="26" s="1"/>
  <c r="O99" i="13"/>
  <c r="X97" i="13"/>
  <c r="Y97" i="13" s="1"/>
  <c r="R100" i="13"/>
  <c r="S99" i="13"/>
  <c r="T98" i="13"/>
  <c r="Y95" i="19"/>
  <c r="AI90" i="19"/>
  <c r="AF91" i="19"/>
  <c r="T94" i="19"/>
  <c r="X94" i="19" s="1"/>
  <c r="AF100" i="13"/>
  <c r="AI99" i="13"/>
  <c r="K101" i="18"/>
  <c r="O101" i="18" s="1"/>
  <c r="J102" i="18"/>
  <c r="AF107" i="18"/>
  <c r="AH104" i="18"/>
  <c r="AI103" i="18"/>
  <c r="S100" i="18"/>
  <c r="R101" i="18"/>
  <c r="K100" i="13"/>
  <c r="J101" i="13"/>
  <c r="J107" i="19" l="1"/>
  <c r="K106" i="19"/>
  <c r="O106" i="19" s="1"/>
  <c r="S96" i="19"/>
  <c r="R97" i="19"/>
  <c r="Y100" i="26"/>
  <c r="S102" i="26"/>
  <c r="T102" i="26" s="1"/>
  <c r="X102" i="26" s="1"/>
  <c r="Y102" i="26" s="1"/>
  <c r="R103" i="26"/>
  <c r="K104" i="26"/>
  <c r="O104" i="26" s="1"/>
  <c r="J105" i="26"/>
  <c r="AF98" i="26"/>
  <c r="AI97" i="26"/>
  <c r="O100" i="13"/>
  <c r="T99" i="13"/>
  <c r="X98" i="13"/>
  <c r="Y98" i="13" s="1"/>
  <c r="S100" i="13"/>
  <c r="R101" i="13"/>
  <c r="Y94" i="19"/>
  <c r="AI91" i="19"/>
  <c r="AF92" i="19"/>
  <c r="AI100" i="13"/>
  <c r="AF101" i="13"/>
  <c r="S101" i="18"/>
  <c r="T101" i="18" s="1"/>
  <c r="X101" i="18" s="1"/>
  <c r="Y101" i="18" s="1"/>
  <c r="R102" i="18"/>
  <c r="AF108" i="18"/>
  <c r="K102" i="18"/>
  <c r="O102" i="18" s="1"/>
  <c r="J103" i="18"/>
  <c r="T100" i="18"/>
  <c r="X100" i="18" s="1"/>
  <c r="Y100" i="18" s="1"/>
  <c r="AH105" i="18"/>
  <c r="AI104" i="18"/>
  <c r="K101" i="13"/>
  <c r="J102" i="13"/>
  <c r="S97" i="19" l="1"/>
  <c r="R98" i="19"/>
  <c r="T96" i="19"/>
  <c r="X96" i="19" s="1"/>
  <c r="K107" i="19"/>
  <c r="O107" i="19" s="1"/>
  <c r="J108" i="19"/>
  <c r="K105" i="26"/>
  <c r="O105" i="26" s="1"/>
  <c r="J106" i="26"/>
  <c r="AI98" i="26"/>
  <c r="AF99" i="26"/>
  <c r="S103" i="26"/>
  <c r="T103" i="26" s="1"/>
  <c r="X103" i="26" s="1"/>
  <c r="R104" i="26"/>
  <c r="O101" i="13"/>
  <c r="T100" i="13"/>
  <c r="X99" i="13"/>
  <c r="Y99" i="13" s="1"/>
  <c r="R102" i="13"/>
  <c r="S101" i="13"/>
  <c r="AI92" i="19"/>
  <c r="AF93" i="19"/>
  <c r="AF102" i="13"/>
  <c r="AI101" i="13"/>
  <c r="AF109" i="18"/>
  <c r="AH106" i="18"/>
  <c r="AI105" i="18"/>
  <c r="K103" i="18"/>
  <c r="O103" i="18" s="1"/>
  <c r="J104" i="18"/>
  <c r="S102" i="18"/>
  <c r="T102" i="18" s="1"/>
  <c r="X102" i="18" s="1"/>
  <c r="Y102" i="18" s="1"/>
  <c r="R103" i="18"/>
  <c r="K102" i="13"/>
  <c r="J103" i="13"/>
  <c r="K108" i="19" l="1"/>
  <c r="O108" i="19" s="1"/>
  <c r="J109" i="19"/>
  <c r="Y96" i="19"/>
  <c r="S98" i="19"/>
  <c r="R99" i="19"/>
  <c r="T97" i="19"/>
  <c r="X97" i="19" s="1"/>
  <c r="Y97" i="19" s="1"/>
  <c r="S104" i="26"/>
  <c r="T104" i="26" s="1"/>
  <c r="X104" i="26" s="1"/>
  <c r="Y104" i="26" s="1"/>
  <c r="R105" i="26"/>
  <c r="Y103" i="26"/>
  <c r="AF100" i="26"/>
  <c r="AI99" i="26"/>
  <c r="K106" i="26"/>
  <c r="O106" i="26" s="1"/>
  <c r="J107" i="26"/>
  <c r="O102" i="13"/>
  <c r="T101" i="13"/>
  <c r="X100" i="13"/>
  <c r="Y100" i="13" s="1"/>
  <c r="R103" i="13"/>
  <c r="S102" i="13"/>
  <c r="AI93" i="19"/>
  <c r="AF94" i="19"/>
  <c r="AI102" i="13"/>
  <c r="AF103" i="13"/>
  <c r="AH107" i="18"/>
  <c r="AI106" i="18"/>
  <c r="K104" i="18"/>
  <c r="O104" i="18" s="1"/>
  <c r="J105" i="18"/>
  <c r="S103" i="18"/>
  <c r="T103" i="18" s="1"/>
  <c r="X103" i="18" s="1"/>
  <c r="Y103" i="18" s="1"/>
  <c r="R104" i="18"/>
  <c r="AF110" i="18"/>
  <c r="K103" i="13"/>
  <c r="J104" i="13"/>
  <c r="S99" i="19" l="1"/>
  <c r="R100" i="19"/>
  <c r="T98" i="19"/>
  <c r="X98" i="19" s="1"/>
  <c r="K109" i="19"/>
  <c r="O109" i="19" s="1"/>
  <c r="J110" i="19"/>
  <c r="K107" i="26"/>
  <c r="J108" i="26"/>
  <c r="O107" i="26"/>
  <c r="AI100" i="26"/>
  <c r="AF101" i="26"/>
  <c r="S105" i="26"/>
  <c r="T105" i="26" s="1"/>
  <c r="X105" i="26" s="1"/>
  <c r="R106" i="26"/>
  <c r="O103" i="13"/>
  <c r="X101" i="13"/>
  <c r="Y101" i="13" s="1"/>
  <c r="T102" i="13"/>
  <c r="S103" i="13"/>
  <c r="R104" i="13"/>
  <c r="AI94" i="19"/>
  <c r="AF95" i="19"/>
  <c r="AF104" i="13"/>
  <c r="AI103" i="13"/>
  <c r="K105" i="18"/>
  <c r="O105" i="18" s="1"/>
  <c r="J106" i="18"/>
  <c r="AF111" i="18"/>
  <c r="S104" i="18"/>
  <c r="R105" i="18"/>
  <c r="AH108" i="18"/>
  <c r="AI107" i="18"/>
  <c r="K104" i="13"/>
  <c r="J105" i="13"/>
  <c r="J111" i="19" l="1"/>
  <c r="K110" i="19"/>
  <c r="O110" i="19" s="1"/>
  <c r="Y98" i="19"/>
  <c r="AI95" i="19"/>
  <c r="AF96" i="19"/>
  <c r="S100" i="19"/>
  <c r="R101" i="19"/>
  <c r="T99" i="19"/>
  <c r="X99" i="19" s="1"/>
  <c r="Y99" i="19" s="1"/>
  <c r="AF102" i="26"/>
  <c r="AI101" i="26"/>
  <c r="S106" i="26"/>
  <c r="T106" i="26" s="1"/>
  <c r="X106" i="26" s="1"/>
  <c r="Y106" i="26" s="1"/>
  <c r="R107" i="26"/>
  <c r="K108" i="26"/>
  <c r="J109" i="26"/>
  <c r="O108" i="26"/>
  <c r="Y105" i="26"/>
  <c r="O104" i="13"/>
  <c r="X102" i="13"/>
  <c r="Y102" i="13" s="1"/>
  <c r="S104" i="13"/>
  <c r="R105" i="13"/>
  <c r="T103" i="13"/>
  <c r="AF105" i="13"/>
  <c r="AI104" i="13"/>
  <c r="AH109" i="18"/>
  <c r="AI108" i="18"/>
  <c r="AF112" i="18"/>
  <c r="S105" i="18"/>
  <c r="R106" i="18"/>
  <c r="K106" i="18"/>
  <c r="O106" i="18" s="1"/>
  <c r="J107" i="18"/>
  <c r="T104" i="18"/>
  <c r="X104" i="18" s="1"/>
  <c r="Y104" i="18" s="1"/>
  <c r="K105" i="13"/>
  <c r="J106" i="13"/>
  <c r="K111" i="19" l="1"/>
  <c r="O111" i="19" s="1"/>
  <c r="J112" i="19"/>
  <c r="S101" i="19"/>
  <c r="R102" i="19"/>
  <c r="T100" i="19"/>
  <c r="X100" i="19" s="1"/>
  <c r="AF97" i="19"/>
  <c r="AI96" i="19"/>
  <c r="K109" i="26"/>
  <c r="O109" i="26" s="1"/>
  <c r="J110" i="26"/>
  <c r="S107" i="26"/>
  <c r="T107" i="26" s="1"/>
  <c r="X107" i="26" s="1"/>
  <c r="Y107" i="26" s="1"/>
  <c r="R108" i="26"/>
  <c r="AF103" i="26"/>
  <c r="AI102" i="26"/>
  <c r="O105" i="13"/>
  <c r="X103" i="13"/>
  <c r="Y103" i="13" s="1"/>
  <c r="T104" i="13"/>
  <c r="R106" i="13"/>
  <c r="S105" i="13"/>
  <c r="AI105" i="13"/>
  <c r="AF106" i="13"/>
  <c r="AF113" i="18"/>
  <c r="S106" i="18"/>
  <c r="R107" i="18"/>
  <c r="K107" i="18"/>
  <c r="O107" i="18" s="1"/>
  <c r="J108" i="18"/>
  <c r="T105" i="18"/>
  <c r="X105" i="18" s="1"/>
  <c r="Y105" i="18" s="1"/>
  <c r="AH110" i="18"/>
  <c r="AI109" i="18"/>
  <c r="K106" i="13"/>
  <c r="J107" i="13"/>
  <c r="Y100" i="19" l="1"/>
  <c r="AF98" i="19"/>
  <c r="AI97" i="19"/>
  <c r="K112" i="19"/>
  <c r="O112" i="19" s="1"/>
  <c r="J113" i="19"/>
  <c r="S102" i="19"/>
  <c r="R103" i="19"/>
  <c r="T101" i="19"/>
  <c r="X101" i="19" s="1"/>
  <c r="AF104" i="26"/>
  <c r="AI103" i="26"/>
  <c r="S108" i="26"/>
  <c r="R109" i="26"/>
  <c r="K110" i="26"/>
  <c r="O110" i="26" s="1"/>
  <c r="J111" i="26"/>
  <c r="O106" i="13"/>
  <c r="T105" i="13"/>
  <c r="X104" i="13"/>
  <c r="Y104" i="13" s="1"/>
  <c r="S106" i="13"/>
  <c r="R107" i="13"/>
  <c r="AI106" i="13"/>
  <c r="AF107" i="13"/>
  <c r="S107" i="18"/>
  <c r="T107" i="18" s="1"/>
  <c r="X107" i="18" s="1"/>
  <c r="Y107" i="18" s="1"/>
  <c r="R108" i="18"/>
  <c r="T106" i="18"/>
  <c r="X106" i="18" s="1"/>
  <c r="Y106" i="18" s="1"/>
  <c r="K108" i="18"/>
  <c r="O108" i="18" s="1"/>
  <c r="J109" i="18"/>
  <c r="AH111" i="18"/>
  <c r="AI110" i="18"/>
  <c r="AF114" i="18"/>
  <c r="K107" i="13"/>
  <c r="J108" i="13"/>
  <c r="Y101" i="19" l="1"/>
  <c r="S103" i="19"/>
  <c r="R104" i="19"/>
  <c r="T102" i="19"/>
  <c r="X102" i="19" s="1"/>
  <c r="Y102" i="19" s="1"/>
  <c r="J114" i="19"/>
  <c r="K113" i="19"/>
  <c r="O113" i="19" s="1"/>
  <c r="AI98" i="19"/>
  <c r="AF99" i="19"/>
  <c r="K111" i="26"/>
  <c r="O111" i="26" s="1"/>
  <c r="J112" i="26"/>
  <c r="S109" i="26"/>
  <c r="T109" i="26" s="1"/>
  <c r="X109" i="26" s="1"/>
  <c r="Y109" i="26" s="1"/>
  <c r="R110" i="26"/>
  <c r="T108" i="26"/>
  <c r="X108" i="26" s="1"/>
  <c r="Y108" i="26" s="1"/>
  <c r="AF105" i="26"/>
  <c r="AI104" i="26"/>
  <c r="O107" i="13"/>
  <c r="T106" i="13"/>
  <c r="X105" i="13"/>
  <c r="Y105" i="13" s="1"/>
  <c r="S107" i="13"/>
  <c r="R108" i="13"/>
  <c r="AI107" i="13"/>
  <c r="AF108" i="13"/>
  <c r="AH112" i="18"/>
  <c r="AI111" i="18"/>
  <c r="AF115" i="18"/>
  <c r="K109" i="18"/>
  <c r="O109" i="18" s="1"/>
  <c r="J110" i="18"/>
  <c r="S108" i="18"/>
  <c r="T108" i="18" s="1"/>
  <c r="X108" i="18" s="1"/>
  <c r="Y108" i="18" s="1"/>
  <c r="R109" i="18"/>
  <c r="K108" i="13"/>
  <c r="J109" i="13"/>
  <c r="K114" i="19" l="1"/>
  <c r="O114" i="19" s="1"/>
  <c r="J115" i="19"/>
  <c r="S104" i="19"/>
  <c r="R105" i="19"/>
  <c r="AF100" i="19"/>
  <c r="AI99" i="19"/>
  <c r="T103" i="19"/>
  <c r="X103" i="19" s="1"/>
  <c r="Y103" i="19" s="1"/>
  <c r="AF106" i="26"/>
  <c r="AI105" i="26"/>
  <c r="S110" i="26"/>
  <c r="T110" i="26" s="1"/>
  <c r="X110" i="26" s="1"/>
  <c r="Y110" i="26" s="1"/>
  <c r="R111" i="26"/>
  <c r="K112" i="26"/>
  <c r="J113" i="26"/>
  <c r="O112" i="26"/>
  <c r="O108" i="13"/>
  <c r="T107" i="13"/>
  <c r="X106" i="13"/>
  <c r="Y106" i="13" s="1"/>
  <c r="R109" i="13"/>
  <c r="S108" i="13"/>
  <c r="AI108" i="13"/>
  <c r="AF109" i="13"/>
  <c r="K110" i="18"/>
  <c r="O110" i="18" s="1"/>
  <c r="J111" i="18"/>
  <c r="S109" i="18"/>
  <c r="T109" i="18" s="1"/>
  <c r="X109" i="18" s="1"/>
  <c r="Y109" i="18" s="1"/>
  <c r="R110" i="18"/>
  <c r="AF116" i="18"/>
  <c r="AH113" i="18"/>
  <c r="AI112" i="18"/>
  <c r="K109" i="13"/>
  <c r="J110" i="13"/>
  <c r="S105" i="19" l="1"/>
  <c r="R106" i="19"/>
  <c r="T104" i="19"/>
  <c r="X104" i="19" s="1"/>
  <c r="Y104" i="19" s="1"/>
  <c r="K115" i="19"/>
  <c r="J116" i="19"/>
  <c r="O115" i="19"/>
  <c r="AI100" i="19"/>
  <c r="AF101" i="19"/>
  <c r="K113" i="26"/>
  <c r="O113" i="26" s="1"/>
  <c r="J114" i="26"/>
  <c r="S111" i="26"/>
  <c r="T111" i="26" s="1"/>
  <c r="X111" i="26" s="1"/>
  <c r="Y111" i="26" s="1"/>
  <c r="R112" i="26"/>
  <c r="AI106" i="26"/>
  <c r="AF107" i="26"/>
  <c r="O109" i="13"/>
  <c r="X107" i="13"/>
  <c r="Y107" i="13" s="1"/>
  <c r="T108" i="13"/>
  <c r="S109" i="13"/>
  <c r="R110" i="13"/>
  <c r="AF110" i="13"/>
  <c r="AI109" i="13"/>
  <c r="AF117" i="18"/>
  <c r="K111" i="18"/>
  <c r="O111" i="18" s="1"/>
  <c r="J112" i="18"/>
  <c r="AH114" i="18"/>
  <c r="AI113" i="18"/>
  <c r="S110" i="18"/>
  <c r="T110" i="18" s="1"/>
  <c r="X110" i="18" s="1"/>
  <c r="Y110" i="18" s="1"/>
  <c r="R111" i="18"/>
  <c r="K110" i="13"/>
  <c r="J111" i="13"/>
  <c r="K116" i="19" l="1"/>
  <c r="O116" i="19" s="1"/>
  <c r="J117" i="19"/>
  <c r="S106" i="19"/>
  <c r="R107" i="19"/>
  <c r="AF102" i="19"/>
  <c r="AI101" i="19"/>
  <c r="T105" i="19"/>
  <c r="X105" i="19" s="1"/>
  <c r="Y105" i="19" s="1"/>
  <c r="S112" i="26"/>
  <c r="R113" i="26"/>
  <c r="K114" i="26"/>
  <c r="O114" i="26" s="1"/>
  <c r="J115" i="26"/>
  <c r="AF108" i="26"/>
  <c r="AI107" i="26"/>
  <c r="O110" i="13"/>
  <c r="X108" i="13"/>
  <c r="Y108" i="13" s="1"/>
  <c r="R111" i="13"/>
  <c r="S110" i="13"/>
  <c r="T109" i="13"/>
  <c r="AI110" i="13"/>
  <c r="AF111" i="13"/>
  <c r="AH115" i="18"/>
  <c r="AI114" i="18"/>
  <c r="K112" i="18"/>
  <c r="O112" i="18" s="1"/>
  <c r="J113" i="18"/>
  <c r="S111" i="18"/>
  <c r="R112" i="18"/>
  <c r="AF118" i="18"/>
  <c r="K111" i="13"/>
  <c r="J112" i="13"/>
  <c r="AF103" i="19" l="1"/>
  <c r="AI102" i="19"/>
  <c r="S107" i="19"/>
  <c r="R108" i="19"/>
  <c r="T106" i="19"/>
  <c r="X106" i="19" s="1"/>
  <c r="Y106" i="19" s="1"/>
  <c r="J118" i="19"/>
  <c r="K117" i="19"/>
  <c r="O117" i="19" s="1"/>
  <c r="AF109" i="26"/>
  <c r="AI108" i="26"/>
  <c r="S113" i="26"/>
  <c r="T113" i="26" s="1"/>
  <c r="X113" i="26" s="1"/>
  <c r="Y113" i="26" s="1"/>
  <c r="R114" i="26"/>
  <c r="K115" i="26"/>
  <c r="O115" i="26" s="1"/>
  <c r="J116" i="26"/>
  <c r="T112" i="26"/>
  <c r="X112" i="26" s="1"/>
  <c r="Y112" i="26" s="1"/>
  <c r="O111" i="13"/>
  <c r="T110" i="13"/>
  <c r="X109" i="13"/>
  <c r="Y109" i="13" s="1"/>
  <c r="R112" i="13"/>
  <c r="S111" i="13"/>
  <c r="AF112" i="13"/>
  <c r="AI111" i="13"/>
  <c r="AF119" i="18"/>
  <c r="K113" i="18"/>
  <c r="O113" i="18" s="1"/>
  <c r="J114" i="18"/>
  <c r="S112" i="18"/>
  <c r="R113" i="18"/>
  <c r="T111" i="18"/>
  <c r="X111" i="18" s="1"/>
  <c r="Y111" i="18" s="1"/>
  <c r="AH116" i="18"/>
  <c r="AI115" i="18"/>
  <c r="K112" i="13"/>
  <c r="J113" i="13"/>
  <c r="K118" i="19" l="1"/>
  <c r="O118" i="19" s="1"/>
  <c r="J119" i="19"/>
  <c r="S108" i="19"/>
  <c r="R109" i="19"/>
  <c r="T107" i="19"/>
  <c r="X107" i="19" s="1"/>
  <c r="Y107" i="19" s="1"/>
  <c r="AI103" i="19"/>
  <c r="AF104" i="19"/>
  <c r="S114" i="26"/>
  <c r="T114" i="26" s="1"/>
  <c r="X114" i="26" s="1"/>
  <c r="Y114" i="26" s="1"/>
  <c r="R115" i="26"/>
  <c r="K116" i="26"/>
  <c r="O116" i="26" s="1"/>
  <c r="J117" i="26"/>
  <c r="AF110" i="26"/>
  <c r="AI109" i="26"/>
  <c r="O112" i="13"/>
  <c r="T111" i="13"/>
  <c r="X110" i="13"/>
  <c r="Y110" i="13" s="1"/>
  <c r="S112" i="13"/>
  <c r="R113" i="13"/>
  <c r="AF113" i="13"/>
  <c r="AI112" i="13"/>
  <c r="K114" i="18"/>
  <c r="O114" i="18" s="1"/>
  <c r="J115" i="18"/>
  <c r="S113" i="18"/>
  <c r="R114" i="18"/>
  <c r="AH117" i="18"/>
  <c r="AI116" i="18"/>
  <c r="T112" i="18"/>
  <c r="X112" i="18" s="1"/>
  <c r="Y112" i="18" s="1"/>
  <c r="AF120" i="18"/>
  <c r="K113" i="13"/>
  <c r="J114" i="13"/>
  <c r="S109" i="19" l="1"/>
  <c r="R110" i="19"/>
  <c r="AF105" i="19"/>
  <c r="AI104" i="19"/>
  <c r="T108" i="19"/>
  <c r="X108" i="19" s="1"/>
  <c r="Y108" i="19" s="1"/>
  <c r="K119" i="19"/>
  <c r="O119" i="19" s="1"/>
  <c r="J120" i="19"/>
  <c r="K117" i="26"/>
  <c r="O117" i="26" s="1"/>
  <c r="J118" i="26"/>
  <c r="AF111" i="26"/>
  <c r="AI110" i="26"/>
  <c r="S115" i="26"/>
  <c r="R116" i="26"/>
  <c r="O113" i="13"/>
  <c r="T112" i="13"/>
  <c r="X111" i="13"/>
  <c r="Y111" i="13" s="1"/>
  <c r="S113" i="13"/>
  <c r="R114" i="13"/>
  <c r="AF114" i="13"/>
  <c r="AI113" i="13"/>
  <c r="T113" i="18"/>
  <c r="X113" i="18" s="1"/>
  <c r="Y113" i="18" s="1"/>
  <c r="AH118" i="18"/>
  <c r="AI117" i="18"/>
  <c r="K115" i="18"/>
  <c r="O115" i="18" s="1"/>
  <c r="J116" i="18"/>
  <c r="AF121" i="18"/>
  <c r="S114" i="18"/>
  <c r="T114" i="18" s="1"/>
  <c r="X114" i="18" s="1"/>
  <c r="Y114" i="18" s="1"/>
  <c r="R115" i="18"/>
  <c r="K114" i="13"/>
  <c r="J115" i="13"/>
  <c r="J121" i="19" l="1"/>
  <c r="K120" i="19"/>
  <c r="O120" i="19" s="1"/>
  <c r="AI105" i="19"/>
  <c r="AF106" i="19"/>
  <c r="S110" i="19"/>
  <c r="R111" i="19"/>
  <c r="T109" i="19"/>
  <c r="X109" i="19" s="1"/>
  <c r="Y109" i="19" s="1"/>
  <c r="S116" i="26"/>
  <c r="T116" i="26" s="1"/>
  <c r="X116" i="26" s="1"/>
  <c r="Y116" i="26" s="1"/>
  <c r="R117" i="26"/>
  <c r="T115" i="26"/>
  <c r="X115" i="26" s="1"/>
  <c r="Y115" i="26" s="1"/>
  <c r="AF112" i="26"/>
  <c r="AI111" i="26"/>
  <c r="K118" i="26"/>
  <c r="O118" i="26" s="1"/>
  <c r="J119" i="26"/>
  <c r="O114" i="13"/>
  <c r="X112" i="13"/>
  <c r="Y112" i="13" s="1"/>
  <c r="R115" i="13"/>
  <c r="S114" i="13"/>
  <c r="T113" i="13"/>
  <c r="AF115" i="13"/>
  <c r="AI114" i="13"/>
  <c r="AH119" i="18"/>
  <c r="AI118" i="18"/>
  <c r="AF122" i="18"/>
  <c r="S115" i="18"/>
  <c r="R116" i="18"/>
  <c r="K116" i="18"/>
  <c r="O116" i="18" s="1"/>
  <c r="J117" i="18"/>
  <c r="K115" i="13"/>
  <c r="J116" i="13"/>
  <c r="AF107" i="19" l="1"/>
  <c r="AI106" i="19"/>
  <c r="S111" i="19"/>
  <c r="R112" i="19"/>
  <c r="T110" i="19"/>
  <c r="X110" i="19" s="1"/>
  <c r="Y110" i="19" s="1"/>
  <c r="K121" i="19"/>
  <c r="O121" i="19" s="1"/>
  <c r="J122" i="19"/>
  <c r="AI112" i="26"/>
  <c r="AF113" i="26"/>
  <c r="K119" i="26"/>
  <c r="O119" i="26" s="1"/>
  <c r="J120" i="26"/>
  <c r="S117" i="26"/>
  <c r="R118" i="26"/>
  <c r="O115" i="13"/>
  <c r="X113" i="13"/>
  <c r="Y113" i="13" s="1"/>
  <c r="T114" i="13"/>
  <c r="R116" i="13"/>
  <c r="S115" i="13"/>
  <c r="AF116" i="13"/>
  <c r="AI115" i="13"/>
  <c r="AF123" i="18"/>
  <c r="K117" i="18"/>
  <c r="O117" i="18" s="1"/>
  <c r="J118" i="18"/>
  <c r="S116" i="18"/>
  <c r="R117" i="18"/>
  <c r="T115" i="18"/>
  <c r="X115" i="18" s="1"/>
  <c r="Y115" i="18" s="1"/>
  <c r="AH120" i="18"/>
  <c r="AI119" i="18"/>
  <c r="K116" i="13"/>
  <c r="J117" i="13"/>
  <c r="J123" i="19" l="1"/>
  <c r="K122" i="19"/>
  <c r="O122" i="19" s="1"/>
  <c r="S112" i="19"/>
  <c r="R113" i="19"/>
  <c r="T111" i="19"/>
  <c r="X111" i="19" s="1"/>
  <c r="Y111" i="19" s="1"/>
  <c r="AF108" i="19"/>
  <c r="AI107" i="19"/>
  <c r="K120" i="26"/>
  <c r="O120" i="26" s="1"/>
  <c r="J121" i="26"/>
  <c r="S118" i="26"/>
  <c r="T118" i="26" s="1"/>
  <c r="X118" i="26" s="1"/>
  <c r="Y118" i="26" s="1"/>
  <c r="R119" i="26"/>
  <c r="AF114" i="26"/>
  <c r="AI113" i="26"/>
  <c r="T117" i="26"/>
  <c r="X117" i="26" s="1"/>
  <c r="Y117" i="26" s="1"/>
  <c r="O116" i="13"/>
  <c r="T115" i="13"/>
  <c r="X114" i="13"/>
  <c r="Y114" i="13" s="1"/>
  <c r="R117" i="13"/>
  <c r="S116" i="13"/>
  <c r="AF117" i="13"/>
  <c r="AI116" i="13"/>
  <c r="K118" i="18"/>
  <c r="O118" i="18" s="1"/>
  <c r="J119" i="18"/>
  <c r="S117" i="18"/>
  <c r="R118" i="18"/>
  <c r="AH121" i="18"/>
  <c r="AI120" i="18"/>
  <c r="T116" i="18"/>
  <c r="X116" i="18" s="1"/>
  <c r="Y116" i="18" s="1"/>
  <c r="AF124" i="18"/>
  <c r="K117" i="13"/>
  <c r="J118" i="13"/>
  <c r="AI108" i="19" l="1"/>
  <c r="AF109" i="19"/>
  <c r="S113" i="19"/>
  <c r="R114" i="19"/>
  <c r="T112" i="19"/>
  <c r="X112" i="19" s="1"/>
  <c r="Y112" i="19" s="1"/>
  <c r="K123" i="19"/>
  <c r="O123" i="19" s="1"/>
  <c r="J124" i="19"/>
  <c r="S119" i="26"/>
  <c r="R120" i="26"/>
  <c r="AI114" i="26"/>
  <c r="AF115" i="26"/>
  <c r="K121" i="26"/>
  <c r="O121" i="26" s="1"/>
  <c r="J122" i="26"/>
  <c r="O117" i="13"/>
  <c r="X115" i="13"/>
  <c r="Y115" i="13" s="1"/>
  <c r="T116" i="13"/>
  <c r="R118" i="13"/>
  <c r="S117" i="13"/>
  <c r="AF118" i="13"/>
  <c r="AI117" i="13"/>
  <c r="AF125" i="18"/>
  <c r="K119" i="18"/>
  <c r="O119" i="18" s="1"/>
  <c r="J120" i="18"/>
  <c r="T117" i="18"/>
  <c r="X117" i="18" s="1"/>
  <c r="Y117" i="18" s="1"/>
  <c r="AH122" i="18"/>
  <c r="AI121" i="18"/>
  <c r="S118" i="18"/>
  <c r="R119" i="18"/>
  <c r="K118" i="13"/>
  <c r="J119" i="13"/>
  <c r="J125" i="19" l="1"/>
  <c r="K125" i="19" s="1"/>
  <c r="O125" i="19" s="1"/>
  <c r="D113" i="19" s="1"/>
  <c r="K124" i="19"/>
  <c r="O124" i="19" s="1"/>
  <c r="S114" i="19"/>
  <c r="R115" i="19"/>
  <c r="T113" i="19"/>
  <c r="X113" i="19" s="1"/>
  <c r="Y113" i="19" s="1"/>
  <c r="AF110" i="19"/>
  <c r="AI109" i="19"/>
  <c r="AF116" i="26"/>
  <c r="AI115" i="26"/>
  <c r="S120" i="26"/>
  <c r="T120" i="26" s="1"/>
  <c r="X120" i="26" s="1"/>
  <c r="Y120" i="26" s="1"/>
  <c r="R121" i="26"/>
  <c r="K122" i="26"/>
  <c r="O122" i="26" s="1"/>
  <c r="J123" i="26"/>
  <c r="T119" i="26"/>
  <c r="X119" i="26" s="1"/>
  <c r="Y119" i="26" s="1"/>
  <c r="O118" i="13"/>
  <c r="T117" i="13"/>
  <c r="X116" i="13"/>
  <c r="Y116" i="13" s="1"/>
  <c r="S118" i="13"/>
  <c r="R119" i="13"/>
  <c r="AI118" i="13"/>
  <c r="AF119" i="13"/>
  <c r="AH123" i="18"/>
  <c r="AI122" i="18"/>
  <c r="K120" i="18"/>
  <c r="O120" i="18" s="1"/>
  <c r="J121" i="18"/>
  <c r="S119" i="18"/>
  <c r="R120" i="18"/>
  <c r="T118" i="18"/>
  <c r="X118" i="18" s="1"/>
  <c r="Y118" i="18" s="1"/>
  <c r="AF126" i="18"/>
  <c r="K119" i="13"/>
  <c r="J120" i="13"/>
  <c r="AF111" i="19" l="1"/>
  <c r="AI110" i="19"/>
  <c r="S115" i="19"/>
  <c r="R116" i="19"/>
  <c r="T114" i="19"/>
  <c r="X114" i="19" s="1"/>
  <c r="Y114" i="19" s="1"/>
  <c r="K123" i="26"/>
  <c r="J124" i="26"/>
  <c r="O123" i="26"/>
  <c r="S121" i="26"/>
  <c r="R122" i="26"/>
  <c r="AI116" i="26"/>
  <c r="AF117" i="26"/>
  <c r="O119" i="13"/>
  <c r="X117" i="13"/>
  <c r="Y117" i="13" s="1"/>
  <c r="R120" i="13"/>
  <c r="S119" i="13"/>
  <c r="T118" i="13"/>
  <c r="AF120" i="13"/>
  <c r="AI119" i="13"/>
  <c r="K121" i="18"/>
  <c r="O121" i="18" s="1"/>
  <c r="J122" i="18"/>
  <c r="AF127" i="18"/>
  <c r="T119" i="18"/>
  <c r="X119" i="18" s="1"/>
  <c r="Y119" i="18" s="1"/>
  <c r="S120" i="18"/>
  <c r="T120" i="18" s="1"/>
  <c r="X120" i="18" s="1"/>
  <c r="Y120" i="18" s="1"/>
  <c r="R121" i="18"/>
  <c r="AH124" i="18"/>
  <c r="AI123" i="18"/>
  <c r="K120" i="13"/>
  <c r="J121" i="13"/>
  <c r="S116" i="19" l="1"/>
  <c r="R117" i="19"/>
  <c r="T115" i="19"/>
  <c r="X115" i="19" s="1"/>
  <c r="Y115" i="19" s="1"/>
  <c r="AI111" i="19"/>
  <c r="AF112" i="19"/>
  <c r="AF118" i="26"/>
  <c r="AI117" i="26"/>
  <c r="T121" i="26"/>
  <c r="X121" i="26" s="1"/>
  <c r="Y121" i="26" s="1"/>
  <c r="K124" i="26"/>
  <c r="O124" i="26" s="1"/>
  <c r="J125" i="26"/>
  <c r="S122" i="26"/>
  <c r="T122" i="26" s="1"/>
  <c r="X122" i="26" s="1"/>
  <c r="Y122" i="26" s="1"/>
  <c r="R123" i="26"/>
  <c r="O120" i="13"/>
  <c r="T119" i="13"/>
  <c r="X118" i="13"/>
  <c r="Y118" i="13" s="1"/>
  <c r="S120" i="13"/>
  <c r="R121" i="13"/>
  <c r="AI120" i="13"/>
  <c r="AF121" i="13"/>
  <c r="AF128" i="18"/>
  <c r="K122" i="18"/>
  <c r="O122" i="18" s="1"/>
  <c r="J123" i="18"/>
  <c r="S121" i="18"/>
  <c r="R122" i="18"/>
  <c r="AH125" i="18"/>
  <c r="AI124" i="18"/>
  <c r="K121" i="13"/>
  <c r="J122" i="13"/>
  <c r="S117" i="19" l="1"/>
  <c r="R118" i="19"/>
  <c r="AF113" i="19"/>
  <c r="AI112" i="19"/>
  <c r="T116" i="19"/>
  <c r="X116" i="19" s="1"/>
  <c r="Y116" i="19" s="1"/>
  <c r="K125" i="26"/>
  <c r="O125" i="26" s="1"/>
  <c r="J126" i="26"/>
  <c r="S123" i="26"/>
  <c r="R124" i="26"/>
  <c r="AF119" i="26"/>
  <c r="AI118" i="26"/>
  <c r="O121" i="13"/>
  <c r="X119" i="13"/>
  <c r="Y119" i="13" s="1"/>
  <c r="T120" i="13"/>
  <c r="S121" i="13"/>
  <c r="R122" i="13"/>
  <c r="AI121" i="13"/>
  <c r="AF122" i="13"/>
  <c r="S122" i="18"/>
  <c r="T122" i="18" s="1"/>
  <c r="X122" i="18" s="1"/>
  <c r="Y122" i="18" s="1"/>
  <c r="R123" i="18"/>
  <c r="AH126" i="18"/>
  <c r="AI125" i="18"/>
  <c r="K123" i="18"/>
  <c r="O123" i="18" s="1"/>
  <c r="J124" i="18"/>
  <c r="T121" i="18"/>
  <c r="X121" i="18" s="1"/>
  <c r="Y121" i="18" s="1"/>
  <c r="AF129" i="18"/>
  <c r="K122" i="13"/>
  <c r="J123" i="13"/>
  <c r="AI113" i="19" l="1"/>
  <c r="AF114" i="19"/>
  <c r="S118" i="19"/>
  <c r="R119" i="19"/>
  <c r="T117" i="19"/>
  <c r="X117" i="19" s="1"/>
  <c r="Y117" i="19" s="1"/>
  <c r="T123" i="26"/>
  <c r="X123" i="26" s="1"/>
  <c r="Y123" i="26" s="1"/>
  <c r="AF120" i="26"/>
  <c r="AI119" i="26"/>
  <c r="K126" i="26"/>
  <c r="J127" i="26"/>
  <c r="O126" i="26"/>
  <c r="S124" i="26"/>
  <c r="T124" i="26" s="1"/>
  <c r="X124" i="26" s="1"/>
  <c r="Y124" i="26" s="1"/>
  <c r="R125" i="26"/>
  <c r="O122" i="13"/>
  <c r="X120" i="13"/>
  <c r="Y120" i="13" s="1"/>
  <c r="S122" i="13"/>
  <c r="R123" i="13"/>
  <c r="T121" i="13"/>
  <c r="AF123" i="13"/>
  <c r="AI122" i="13"/>
  <c r="AH127" i="18"/>
  <c r="AI126" i="18"/>
  <c r="AF130" i="18"/>
  <c r="K124" i="18"/>
  <c r="O124" i="18" s="1"/>
  <c r="J125" i="18"/>
  <c r="S123" i="18"/>
  <c r="R124" i="18"/>
  <c r="K123" i="13"/>
  <c r="J124" i="13"/>
  <c r="T118" i="19" l="1"/>
  <c r="X118" i="19" s="1"/>
  <c r="Y118" i="19" s="1"/>
  <c r="AF115" i="19"/>
  <c r="AI114" i="19"/>
  <c r="S119" i="19"/>
  <c r="R120" i="19"/>
  <c r="AF121" i="26"/>
  <c r="AI120" i="26"/>
  <c r="K127" i="26"/>
  <c r="O127" i="26" s="1"/>
  <c r="J128" i="26"/>
  <c r="S125" i="26"/>
  <c r="T125" i="26" s="1"/>
  <c r="X125" i="26" s="1"/>
  <c r="Y125" i="26" s="1"/>
  <c r="R126" i="26"/>
  <c r="O123" i="13"/>
  <c r="X121" i="13"/>
  <c r="Y121" i="13" s="1"/>
  <c r="R124" i="13"/>
  <c r="S123" i="13"/>
  <c r="T122" i="13"/>
  <c r="AF124" i="13"/>
  <c r="AI123" i="13"/>
  <c r="AF131" i="18"/>
  <c r="T123" i="18"/>
  <c r="X123" i="18" s="1"/>
  <c r="Y123" i="18" s="1"/>
  <c r="K125" i="18"/>
  <c r="O125" i="18" s="1"/>
  <c r="J126" i="18"/>
  <c r="S124" i="18"/>
  <c r="T124" i="18" s="1"/>
  <c r="X124" i="18" s="1"/>
  <c r="Y124" i="18" s="1"/>
  <c r="R125" i="18"/>
  <c r="AH128" i="18"/>
  <c r="AI127" i="18"/>
  <c r="K124" i="13"/>
  <c r="J125" i="13"/>
  <c r="AF116" i="19" l="1"/>
  <c r="AI115" i="19"/>
  <c r="S120" i="19"/>
  <c r="R121" i="19"/>
  <c r="T119" i="19"/>
  <c r="X119" i="19" s="1"/>
  <c r="Y119" i="19" s="1"/>
  <c r="S126" i="26"/>
  <c r="T126" i="26" s="1"/>
  <c r="X126" i="26" s="1"/>
  <c r="Y126" i="26" s="1"/>
  <c r="R127" i="26"/>
  <c r="K128" i="26"/>
  <c r="O128" i="26" s="1"/>
  <c r="J129" i="26"/>
  <c r="AF122" i="26"/>
  <c r="AI121" i="26"/>
  <c r="J126" i="13"/>
  <c r="K126" i="13" s="1"/>
  <c r="O124" i="13"/>
  <c r="T123" i="13"/>
  <c r="X122" i="13"/>
  <c r="Y122" i="13" s="1"/>
  <c r="R125" i="13"/>
  <c r="S124" i="13"/>
  <c r="J127" i="13"/>
  <c r="AI124" i="13"/>
  <c r="AF125" i="13"/>
  <c r="AH129" i="18"/>
  <c r="AI128" i="18"/>
  <c r="K126" i="18"/>
  <c r="O126" i="18" s="1"/>
  <c r="J127" i="18"/>
  <c r="S125" i="18"/>
  <c r="R126" i="18"/>
  <c r="AF132" i="18"/>
  <c r="K125" i="13"/>
  <c r="S121" i="19" l="1"/>
  <c r="R122" i="19"/>
  <c r="T120" i="19"/>
  <c r="X120" i="19" s="1"/>
  <c r="Y120" i="19" s="1"/>
  <c r="AF117" i="19"/>
  <c r="AI116" i="19"/>
  <c r="K129" i="26"/>
  <c r="J130" i="26"/>
  <c r="O129" i="26"/>
  <c r="AI122" i="26"/>
  <c r="AF123" i="26"/>
  <c r="S127" i="26"/>
  <c r="T127" i="26" s="1"/>
  <c r="X127" i="26" s="1"/>
  <c r="Y127" i="26" s="1"/>
  <c r="R128" i="26"/>
  <c r="O126" i="13"/>
  <c r="O125" i="13"/>
  <c r="T124" i="13"/>
  <c r="X123" i="13"/>
  <c r="Y123" i="13" s="1"/>
  <c r="S125" i="13"/>
  <c r="R126" i="13"/>
  <c r="AF126" i="13"/>
  <c r="AI125" i="13"/>
  <c r="K127" i="13"/>
  <c r="J128" i="13"/>
  <c r="AF133" i="18"/>
  <c r="K127" i="18"/>
  <c r="O127" i="18" s="1"/>
  <c r="J128" i="18"/>
  <c r="S126" i="18"/>
  <c r="R127" i="18"/>
  <c r="T125" i="18"/>
  <c r="X125" i="18" s="1"/>
  <c r="Y125" i="18" s="1"/>
  <c r="AH130" i="18"/>
  <c r="AI129" i="18"/>
  <c r="S122" i="19" l="1"/>
  <c r="R123" i="19"/>
  <c r="AI117" i="19"/>
  <c r="AF118" i="19"/>
  <c r="T121" i="19"/>
  <c r="X121" i="19" s="1"/>
  <c r="Y121" i="19" s="1"/>
  <c r="AF124" i="26"/>
  <c r="AI123" i="26"/>
  <c r="S128" i="26"/>
  <c r="T128" i="26" s="1"/>
  <c r="X128" i="26" s="1"/>
  <c r="Y128" i="26" s="1"/>
  <c r="R129" i="26"/>
  <c r="K130" i="26"/>
  <c r="O130" i="26" s="1"/>
  <c r="J131" i="26"/>
  <c r="O127" i="13"/>
  <c r="X124" i="13"/>
  <c r="Y124" i="13" s="1"/>
  <c r="T125" i="13"/>
  <c r="R127" i="13"/>
  <c r="S126" i="13"/>
  <c r="AF127" i="13"/>
  <c r="AI126" i="13"/>
  <c r="K128" i="13"/>
  <c r="J129" i="13"/>
  <c r="K128" i="18"/>
  <c r="O128" i="18" s="1"/>
  <c r="J129" i="18"/>
  <c r="S127" i="18"/>
  <c r="R128" i="18"/>
  <c r="AH131" i="18"/>
  <c r="AI130" i="18"/>
  <c r="T126" i="18"/>
  <c r="X126" i="18" s="1"/>
  <c r="Y126" i="18" s="1"/>
  <c r="AF134" i="18"/>
  <c r="AI118" i="19" l="1"/>
  <c r="AF119" i="19"/>
  <c r="S123" i="19"/>
  <c r="R124" i="19"/>
  <c r="T122" i="19"/>
  <c r="X122" i="19" s="1"/>
  <c r="Y122" i="19" s="1"/>
  <c r="S129" i="26"/>
  <c r="T129" i="26" s="1"/>
  <c r="X129" i="26" s="1"/>
  <c r="Y129" i="26" s="1"/>
  <c r="R130" i="26"/>
  <c r="K131" i="26"/>
  <c r="O131" i="26" s="1"/>
  <c r="J132" i="26"/>
  <c r="AI124" i="26"/>
  <c r="AF125" i="26"/>
  <c r="O128" i="13"/>
  <c r="X125" i="13"/>
  <c r="Y125" i="13" s="1"/>
  <c r="T126" i="13"/>
  <c r="S127" i="13"/>
  <c r="R128" i="13"/>
  <c r="K129" i="13"/>
  <c r="J130" i="13"/>
  <c r="AF128" i="13"/>
  <c r="AI127" i="13"/>
  <c r="AF135" i="18"/>
  <c r="T127" i="18"/>
  <c r="X127" i="18" s="1"/>
  <c r="Y127" i="18" s="1"/>
  <c r="AH132" i="18"/>
  <c r="AI131" i="18"/>
  <c r="K129" i="18"/>
  <c r="O129" i="18" s="1"/>
  <c r="J130" i="18"/>
  <c r="S128" i="18"/>
  <c r="R129" i="18"/>
  <c r="S124" i="19" l="1"/>
  <c r="R125" i="19"/>
  <c r="S125" i="19" s="1"/>
  <c r="T123" i="19"/>
  <c r="X123" i="19" s="1"/>
  <c r="Y123" i="19" s="1"/>
  <c r="AF120" i="19"/>
  <c r="AI119" i="19"/>
  <c r="K132" i="26"/>
  <c r="J133" i="26"/>
  <c r="O132" i="26"/>
  <c r="AF126" i="26"/>
  <c r="AI125" i="26"/>
  <c r="S130" i="26"/>
  <c r="T130" i="26" s="1"/>
  <c r="X130" i="26" s="1"/>
  <c r="Y130" i="26" s="1"/>
  <c r="R131" i="26"/>
  <c r="O129" i="13"/>
  <c r="T127" i="13"/>
  <c r="X126" i="13"/>
  <c r="Y126" i="13" s="1"/>
  <c r="R129" i="13"/>
  <c r="S128" i="13"/>
  <c r="AF129" i="13"/>
  <c r="AI128" i="13"/>
  <c r="K130" i="13"/>
  <c r="J131" i="13"/>
  <c r="K130" i="18"/>
  <c r="O130" i="18" s="1"/>
  <c r="J131" i="18"/>
  <c r="S129" i="18"/>
  <c r="R130" i="18"/>
  <c r="T128" i="18"/>
  <c r="X128" i="18" s="1"/>
  <c r="Y128" i="18" s="1"/>
  <c r="AH133" i="18"/>
  <c r="AI132" i="18"/>
  <c r="AF136" i="18"/>
  <c r="T125" i="19" l="1"/>
  <c r="X125" i="19" s="1"/>
  <c r="AF121" i="19"/>
  <c r="AI120" i="19"/>
  <c r="T124" i="19"/>
  <c r="X124" i="19" s="1"/>
  <c r="Y124" i="19" s="1"/>
  <c r="AF127" i="26"/>
  <c r="AI126" i="26"/>
  <c r="S131" i="26"/>
  <c r="T131" i="26" s="1"/>
  <c r="X131" i="26" s="1"/>
  <c r="Y131" i="26" s="1"/>
  <c r="R132" i="26"/>
  <c r="K133" i="26"/>
  <c r="J134" i="26"/>
  <c r="O133" i="26"/>
  <c r="O130" i="13"/>
  <c r="X127" i="13"/>
  <c r="Y127" i="13" s="1"/>
  <c r="T128" i="13"/>
  <c r="S129" i="13"/>
  <c r="R130" i="13"/>
  <c r="AF130" i="13"/>
  <c r="AI129" i="13"/>
  <c r="K131" i="13"/>
  <c r="J132" i="13"/>
  <c r="T129" i="18"/>
  <c r="X129" i="18" s="1"/>
  <c r="Y129" i="18" s="1"/>
  <c r="AF137" i="18"/>
  <c r="K131" i="18"/>
  <c r="O131" i="18" s="1"/>
  <c r="J132" i="18"/>
  <c r="AH134" i="18"/>
  <c r="AI133" i="18"/>
  <c r="S130" i="18"/>
  <c r="T130" i="18" s="1"/>
  <c r="X130" i="18" s="1"/>
  <c r="Y130" i="18" s="1"/>
  <c r="R131" i="18"/>
  <c r="Y125" i="19" l="1"/>
  <c r="C113" i="19"/>
  <c r="E113" i="19" s="1"/>
  <c r="C127" i="19" s="1"/>
  <c r="AF122" i="19"/>
  <c r="AI121" i="19"/>
  <c r="S132" i="26"/>
  <c r="T132" i="26" s="1"/>
  <c r="X132" i="26" s="1"/>
  <c r="Y132" i="26" s="1"/>
  <c r="R133" i="26"/>
  <c r="J135" i="26"/>
  <c r="K134" i="26"/>
  <c r="O134" i="26" s="1"/>
  <c r="AF128" i="26"/>
  <c r="AI127" i="26"/>
  <c r="O131" i="13"/>
  <c r="X128" i="13"/>
  <c r="Y128" i="13" s="1"/>
  <c r="T129" i="13"/>
  <c r="R131" i="13"/>
  <c r="S130" i="13"/>
  <c r="K132" i="13"/>
  <c r="J133" i="13"/>
  <c r="AF131" i="13"/>
  <c r="AI130" i="13"/>
  <c r="AF138" i="18"/>
  <c r="AH135" i="18"/>
  <c r="AI134" i="18"/>
  <c r="S131" i="18"/>
  <c r="R132" i="18"/>
  <c r="K132" i="18"/>
  <c r="O132" i="18" s="1"/>
  <c r="J133" i="18"/>
  <c r="AF123" i="19" l="1"/>
  <c r="AI122" i="19"/>
  <c r="F127" i="19"/>
  <c r="G21" i="24"/>
  <c r="G25" i="24" s="1"/>
  <c r="K135" i="26"/>
  <c r="J136" i="26"/>
  <c r="O135" i="26"/>
  <c r="AF129" i="26"/>
  <c r="AI128" i="26"/>
  <c r="S133" i="26"/>
  <c r="T133" i="26" s="1"/>
  <c r="X133" i="26" s="1"/>
  <c r="Y133" i="26" s="1"/>
  <c r="R134" i="26"/>
  <c r="O132" i="13"/>
  <c r="T130" i="13"/>
  <c r="X129" i="13"/>
  <c r="Y129" i="13" s="1"/>
  <c r="S131" i="13"/>
  <c r="R132" i="13"/>
  <c r="K133" i="13"/>
  <c r="J134" i="13"/>
  <c r="AF132" i="13"/>
  <c r="AI131" i="13"/>
  <c r="AH136" i="18"/>
  <c r="AI135" i="18"/>
  <c r="S132" i="18"/>
  <c r="R133" i="18"/>
  <c r="K133" i="18"/>
  <c r="O133" i="18" s="1"/>
  <c r="J134" i="18"/>
  <c r="T131" i="18"/>
  <c r="X131" i="18" s="1"/>
  <c r="Y131" i="18" s="1"/>
  <c r="AF139" i="18"/>
  <c r="AI123" i="19" l="1"/>
  <c r="AF124" i="19"/>
  <c r="AF130" i="26"/>
  <c r="AI129" i="26"/>
  <c r="S134" i="26"/>
  <c r="T134" i="26" s="1"/>
  <c r="X134" i="26" s="1"/>
  <c r="Y134" i="26" s="1"/>
  <c r="R135" i="26"/>
  <c r="K136" i="26"/>
  <c r="O136" i="26" s="1"/>
  <c r="J137" i="26"/>
  <c r="O133" i="13"/>
  <c r="T131" i="13"/>
  <c r="X130" i="13"/>
  <c r="Y130" i="13" s="1"/>
  <c r="R133" i="13"/>
  <c r="S132" i="13"/>
  <c r="K134" i="13"/>
  <c r="J135" i="13"/>
  <c r="AF133" i="13"/>
  <c r="AI132" i="13"/>
  <c r="T132" i="18"/>
  <c r="X132" i="18" s="1"/>
  <c r="Y132" i="18" s="1"/>
  <c r="S133" i="18"/>
  <c r="R134" i="18"/>
  <c r="K134" i="18"/>
  <c r="O134" i="18" s="1"/>
  <c r="J135" i="18"/>
  <c r="AF140" i="18"/>
  <c r="AH137" i="18"/>
  <c r="AI136" i="18"/>
  <c r="AI124" i="19" l="1"/>
  <c r="AF125" i="19"/>
  <c r="AI125" i="19" s="1"/>
  <c r="S135" i="26"/>
  <c r="T135" i="26" s="1"/>
  <c r="X135" i="26" s="1"/>
  <c r="Y135" i="26" s="1"/>
  <c r="R136" i="26"/>
  <c r="K137" i="26"/>
  <c r="J138" i="26"/>
  <c r="O137" i="26"/>
  <c r="AI130" i="26"/>
  <c r="AF131" i="26"/>
  <c r="O134" i="13"/>
  <c r="T132" i="13"/>
  <c r="X131" i="13"/>
  <c r="Y131" i="13" s="1"/>
  <c r="R134" i="13"/>
  <c r="S133" i="13"/>
  <c r="AF134" i="13"/>
  <c r="AI133" i="13"/>
  <c r="K135" i="13"/>
  <c r="J136" i="13"/>
  <c r="T133" i="18"/>
  <c r="X133" i="18" s="1"/>
  <c r="Y133" i="18" s="1"/>
  <c r="AF141" i="18"/>
  <c r="S134" i="18"/>
  <c r="T134" i="18" s="1"/>
  <c r="X134" i="18" s="1"/>
  <c r="Y134" i="18" s="1"/>
  <c r="R135" i="18"/>
  <c r="K135" i="18"/>
  <c r="O135" i="18" s="1"/>
  <c r="J136" i="18"/>
  <c r="AH138" i="18"/>
  <c r="AI137" i="18"/>
  <c r="K138" i="26" l="1"/>
  <c r="O138" i="26" s="1"/>
  <c r="J139" i="26"/>
  <c r="S136" i="26"/>
  <c r="T136" i="26" s="1"/>
  <c r="X136" i="26" s="1"/>
  <c r="Y136" i="26" s="1"/>
  <c r="R137" i="26"/>
  <c r="AF132" i="26"/>
  <c r="AI131" i="26"/>
  <c r="O135" i="13"/>
  <c r="T133" i="13"/>
  <c r="X132" i="13"/>
  <c r="Y132" i="13" s="1"/>
  <c r="S134" i="13"/>
  <c r="R135" i="13"/>
  <c r="K136" i="13"/>
  <c r="J137" i="13"/>
  <c r="AF135" i="13"/>
  <c r="AI134" i="13"/>
  <c r="AF142" i="18"/>
  <c r="K136" i="18"/>
  <c r="O136" i="18" s="1"/>
  <c r="J137" i="18"/>
  <c r="AH139" i="18"/>
  <c r="AI138" i="18"/>
  <c r="S135" i="18"/>
  <c r="R136" i="18"/>
  <c r="S137" i="26" l="1"/>
  <c r="T137" i="26" s="1"/>
  <c r="X137" i="26" s="1"/>
  <c r="Y137" i="26" s="1"/>
  <c r="R138" i="26"/>
  <c r="AF133" i="26"/>
  <c r="AI132" i="26"/>
  <c r="K139" i="26"/>
  <c r="O139" i="26" s="1"/>
  <c r="J140" i="26"/>
  <c r="O136" i="13"/>
  <c r="X133" i="13"/>
  <c r="Y133" i="13" s="1"/>
  <c r="T134" i="13"/>
  <c r="R136" i="13"/>
  <c r="S135" i="13"/>
  <c r="AF136" i="13"/>
  <c r="AI135" i="13"/>
  <c r="K137" i="13"/>
  <c r="J138" i="13"/>
  <c r="T135" i="18"/>
  <c r="X135" i="18" s="1"/>
  <c r="Y135" i="18" s="1"/>
  <c r="AH140" i="18"/>
  <c r="AI139" i="18"/>
  <c r="K137" i="18"/>
  <c r="O137" i="18" s="1"/>
  <c r="J138" i="18"/>
  <c r="S136" i="18"/>
  <c r="R137" i="18"/>
  <c r="AF143" i="18"/>
  <c r="AF134" i="26" l="1"/>
  <c r="AI133" i="26"/>
  <c r="K140" i="26"/>
  <c r="O140" i="26" s="1"/>
  <c r="J141" i="26"/>
  <c r="S138" i="26"/>
  <c r="T138" i="26" s="1"/>
  <c r="X138" i="26" s="1"/>
  <c r="Y138" i="26" s="1"/>
  <c r="R139" i="26"/>
  <c r="O137" i="13"/>
  <c r="X134" i="13"/>
  <c r="Y134" i="13" s="1"/>
  <c r="T135" i="13"/>
  <c r="R137" i="13"/>
  <c r="S136" i="13"/>
  <c r="K138" i="13"/>
  <c r="J139" i="13"/>
  <c r="AF137" i="13"/>
  <c r="AI136" i="13"/>
  <c r="T136" i="18"/>
  <c r="X136" i="18" s="1"/>
  <c r="Y136" i="18" s="1"/>
  <c r="S137" i="18"/>
  <c r="R138" i="18"/>
  <c r="AH141" i="18"/>
  <c r="AI140" i="18"/>
  <c r="K138" i="18"/>
  <c r="O138" i="18" s="1"/>
  <c r="J139" i="18"/>
  <c r="AF144" i="18"/>
  <c r="S139" i="26" l="1"/>
  <c r="T139" i="26" s="1"/>
  <c r="X139" i="26" s="1"/>
  <c r="Y139" i="26" s="1"/>
  <c r="R140" i="26"/>
  <c r="K141" i="26"/>
  <c r="O141" i="26" s="1"/>
  <c r="J142" i="26"/>
  <c r="AF135" i="26"/>
  <c r="AI134" i="26"/>
  <c r="O138" i="13"/>
  <c r="T136" i="13"/>
  <c r="X135" i="13"/>
  <c r="Y135" i="13" s="1"/>
  <c r="S137" i="13"/>
  <c r="R138" i="13"/>
  <c r="AF138" i="13"/>
  <c r="AI137" i="13"/>
  <c r="K139" i="13"/>
  <c r="J140" i="13"/>
  <c r="T137" i="18"/>
  <c r="X137" i="18" s="1"/>
  <c r="Y137" i="18" s="1"/>
  <c r="AF145" i="18"/>
  <c r="K139" i="18"/>
  <c r="O139" i="18" s="1"/>
  <c r="J140" i="18"/>
  <c r="S138" i="18"/>
  <c r="T138" i="18" s="1"/>
  <c r="X138" i="18" s="1"/>
  <c r="Y138" i="18" s="1"/>
  <c r="R139" i="18"/>
  <c r="AH142" i="18"/>
  <c r="AI141" i="18"/>
  <c r="K142" i="26" l="1"/>
  <c r="O142" i="26" s="1"/>
  <c r="J143" i="26"/>
  <c r="AF136" i="26"/>
  <c r="AI135" i="26"/>
  <c r="S140" i="26"/>
  <c r="T140" i="26" s="1"/>
  <c r="X140" i="26" s="1"/>
  <c r="Y140" i="26" s="1"/>
  <c r="R141" i="26"/>
  <c r="O139" i="13"/>
  <c r="X136" i="13"/>
  <c r="Y136" i="13" s="1"/>
  <c r="T137" i="13"/>
  <c r="R139" i="13"/>
  <c r="S138" i="13"/>
  <c r="AF139" i="13"/>
  <c r="AI138" i="13"/>
  <c r="K140" i="13"/>
  <c r="J141" i="13"/>
  <c r="AF146" i="18"/>
  <c r="S139" i="18"/>
  <c r="R140" i="18"/>
  <c r="K140" i="18"/>
  <c r="O140" i="18" s="1"/>
  <c r="J141" i="18"/>
  <c r="AH143" i="18"/>
  <c r="AI142" i="18"/>
  <c r="AF137" i="26" l="1"/>
  <c r="AI136" i="26"/>
  <c r="K143" i="26"/>
  <c r="J144" i="26"/>
  <c r="O143" i="26"/>
  <c r="S141" i="26"/>
  <c r="T141" i="26" s="1"/>
  <c r="X141" i="26" s="1"/>
  <c r="Y141" i="26" s="1"/>
  <c r="R142" i="26"/>
  <c r="O140" i="13"/>
  <c r="X137" i="13"/>
  <c r="Y137" i="13" s="1"/>
  <c r="T138" i="13"/>
  <c r="S139" i="13"/>
  <c r="R140" i="13"/>
  <c r="K141" i="13"/>
  <c r="J142" i="13"/>
  <c r="AF140" i="13"/>
  <c r="AI139" i="13"/>
  <c r="T139" i="18"/>
  <c r="X139" i="18" s="1"/>
  <c r="Y139" i="18" s="1"/>
  <c r="S140" i="18"/>
  <c r="R141" i="18"/>
  <c r="K141" i="18"/>
  <c r="O141" i="18" s="1"/>
  <c r="J142" i="18"/>
  <c r="AH144" i="18"/>
  <c r="AI143" i="18"/>
  <c r="AF147" i="18"/>
  <c r="K144" i="26" l="1"/>
  <c r="J145" i="26"/>
  <c r="O144" i="26"/>
  <c r="S142" i="26"/>
  <c r="T142" i="26" s="1"/>
  <c r="X142" i="26" s="1"/>
  <c r="Y142" i="26" s="1"/>
  <c r="R143" i="26"/>
  <c r="AF138" i="26"/>
  <c r="AI137" i="26"/>
  <c r="O141" i="13"/>
  <c r="X138" i="13"/>
  <c r="Y138" i="13" s="1"/>
  <c r="T139" i="13"/>
  <c r="R141" i="13"/>
  <c r="S140" i="13"/>
  <c r="AF141" i="13"/>
  <c r="AI140" i="13"/>
  <c r="K142" i="13"/>
  <c r="J143" i="13"/>
  <c r="AH145" i="18"/>
  <c r="AI144" i="18"/>
  <c r="T140" i="18"/>
  <c r="X140" i="18" s="1"/>
  <c r="Y140" i="18" s="1"/>
  <c r="S141" i="18"/>
  <c r="R142" i="18"/>
  <c r="K142" i="18"/>
  <c r="O142" i="18" s="1"/>
  <c r="J143" i="18"/>
  <c r="AF148" i="18"/>
  <c r="AI138" i="26" l="1"/>
  <c r="AF139" i="26"/>
  <c r="K145" i="26"/>
  <c r="J146" i="26"/>
  <c r="O145" i="26"/>
  <c r="S143" i="26"/>
  <c r="T143" i="26" s="1"/>
  <c r="X143" i="26" s="1"/>
  <c r="Y143" i="26" s="1"/>
  <c r="R144" i="26"/>
  <c r="O142" i="13"/>
  <c r="T140" i="13"/>
  <c r="X139" i="13"/>
  <c r="Y139" i="13" s="1"/>
  <c r="R142" i="13"/>
  <c r="S141" i="13"/>
  <c r="AF142" i="13"/>
  <c r="AI141" i="13"/>
  <c r="K143" i="13"/>
  <c r="J144" i="13"/>
  <c r="K143" i="18"/>
  <c r="O143" i="18" s="1"/>
  <c r="J144" i="18"/>
  <c r="AF149" i="18"/>
  <c r="S142" i="18"/>
  <c r="R143" i="18"/>
  <c r="T141" i="18"/>
  <c r="X141" i="18" s="1"/>
  <c r="Y141" i="18" s="1"/>
  <c r="AH146" i="18"/>
  <c r="AI145" i="18"/>
  <c r="S144" i="26" l="1"/>
  <c r="T144" i="26" s="1"/>
  <c r="X144" i="26" s="1"/>
  <c r="Y144" i="26" s="1"/>
  <c r="R145" i="26"/>
  <c r="AF140" i="26"/>
  <c r="AI139" i="26"/>
  <c r="K146" i="26"/>
  <c r="O146" i="26" s="1"/>
  <c r="J147" i="26"/>
  <c r="O143" i="13"/>
  <c r="T141" i="13"/>
  <c r="X140" i="13"/>
  <c r="Y140" i="13" s="1"/>
  <c r="R143" i="13"/>
  <c r="S142" i="13"/>
  <c r="AF143" i="13"/>
  <c r="AI142" i="13"/>
  <c r="K144" i="13"/>
  <c r="J145" i="13"/>
  <c r="AF150" i="18"/>
  <c r="S143" i="18"/>
  <c r="R144" i="18"/>
  <c r="K144" i="18"/>
  <c r="O144" i="18" s="1"/>
  <c r="J145" i="18"/>
  <c r="AH147" i="18"/>
  <c r="AI146" i="18"/>
  <c r="T142" i="18"/>
  <c r="X142" i="18" s="1"/>
  <c r="Y142" i="18" s="1"/>
  <c r="K147" i="26" l="1"/>
  <c r="J148" i="26"/>
  <c r="O147" i="26"/>
  <c r="AI140" i="26"/>
  <c r="AF141" i="26"/>
  <c r="S145" i="26"/>
  <c r="T145" i="26" s="1"/>
  <c r="X145" i="26" s="1"/>
  <c r="Y145" i="26" s="1"/>
  <c r="R146" i="26"/>
  <c r="O144" i="13"/>
  <c r="T142" i="13"/>
  <c r="X141" i="13"/>
  <c r="Y141" i="13" s="1"/>
  <c r="S143" i="13"/>
  <c r="R144" i="13"/>
  <c r="AF144" i="13"/>
  <c r="AI143" i="13"/>
  <c r="K145" i="13"/>
  <c r="J146" i="13"/>
  <c r="AH148" i="18"/>
  <c r="AI147" i="18"/>
  <c r="S144" i="18"/>
  <c r="R145" i="18"/>
  <c r="T143" i="18"/>
  <c r="X143" i="18" s="1"/>
  <c r="Y143" i="18" s="1"/>
  <c r="K145" i="18"/>
  <c r="O145" i="18" s="1"/>
  <c r="J146" i="18"/>
  <c r="AF151" i="18"/>
  <c r="S146" i="26" l="1"/>
  <c r="T146" i="26" s="1"/>
  <c r="X146" i="26" s="1"/>
  <c r="Y146" i="26" s="1"/>
  <c r="R147" i="26"/>
  <c r="AF142" i="26"/>
  <c r="AI141" i="26"/>
  <c r="K148" i="26"/>
  <c r="O148" i="26" s="1"/>
  <c r="J149" i="26"/>
  <c r="O145" i="13"/>
  <c r="T143" i="13"/>
  <c r="X142" i="13"/>
  <c r="Y142" i="13" s="1"/>
  <c r="S144" i="13"/>
  <c r="R145" i="13"/>
  <c r="AF145" i="13"/>
  <c r="AI144" i="13"/>
  <c r="K146" i="13"/>
  <c r="J147" i="13"/>
  <c r="T144" i="18"/>
  <c r="X144" i="18" s="1"/>
  <c r="Y144" i="18" s="1"/>
  <c r="K146" i="18"/>
  <c r="O146" i="18" s="1"/>
  <c r="J147" i="18"/>
  <c r="S145" i="18"/>
  <c r="R146" i="18"/>
  <c r="AF152" i="18"/>
  <c r="AH149" i="18"/>
  <c r="AI148" i="18"/>
  <c r="AF143" i="26" l="1"/>
  <c r="AI142" i="26"/>
  <c r="S147" i="26"/>
  <c r="T147" i="26" s="1"/>
  <c r="X147" i="26" s="1"/>
  <c r="Y147" i="26" s="1"/>
  <c r="R148" i="26"/>
  <c r="K149" i="26"/>
  <c r="O149" i="26" s="1"/>
  <c r="J150" i="26"/>
  <c r="O146" i="13"/>
  <c r="X143" i="13"/>
  <c r="Y143" i="13" s="1"/>
  <c r="R146" i="13"/>
  <c r="S145" i="13"/>
  <c r="T144" i="13"/>
  <c r="K147" i="13"/>
  <c r="J148" i="13"/>
  <c r="AF146" i="13"/>
  <c r="AI145" i="13"/>
  <c r="AF153" i="18"/>
  <c r="S146" i="18"/>
  <c r="T146" i="18" s="1"/>
  <c r="X146" i="18" s="1"/>
  <c r="Y146" i="18" s="1"/>
  <c r="R147" i="18"/>
  <c r="AH150" i="18"/>
  <c r="AI149" i="18"/>
  <c r="T145" i="18"/>
  <c r="X145" i="18" s="1"/>
  <c r="Y145" i="18" s="1"/>
  <c r="K147" i="18"/>
  <c r="O147" i="18" s="1"/>
  <c r="J148" i="18"/>
  <c r="S148" i="26" l="1"/>
  <c r="T148" i="26" s="1"/>
  <c r="X148" i="26" s="1"/>
  <c r="Y148" i="26" s="1"/>
  <c r="R149" i="26"/>
  <c r="J151" i="26"/>
  <c r="K150" i="26"/>
  <c r="O150" i="26" s="1"/>
  <c r="AF144" i="26"/>
  <c r="AI143" i="26"/>
  <c r="O147" i="13"/>
  <c r="X144" i="13"/>
  <c r="Y144" i="13" s="1"/>
  <c r="T145" i="13"/>
  <c r="S146" i="13"/>
  <c r="R147" i="13"/>
  <c r="AF147" i="13"/>
  <c r="AI146" i="13"/>
  <c r="K148" i="13"/>
  <c r="J149" i="13"/>
  <c r="S147" i="18"/>
  <c r="R148" i="18"/>
  <c r="K148" i="18"/>
  <c r="O148" i="18" s="1"/>
  <c r="J149" i="18"/>
  <c r="AH151" i="18"/>
  <c r="AI150" i="18"/>
  <c r="AF154" i="18"/>
  <c r="K151" i="26" l="1"/>
  <c r="J152" i="26"/>
  <c r="O151" i="26"/>
  <c r="AI144" i="26"/>
  <c r="AF145" i="26"/>
  <c r="S149" i="26"/>
  <c r="T149" i="26" s="1"/>
  <c r="X149" i="26" s="1"/>
  <c r="Y149" i="26" s="1"/>
  <c r="R150" i="26"/>
  <c r="O148" i="13"/>
  <c r="X145" i="13"/>
  <c r="Y145" i="13" s="1"/>
  <c r="T146" i="13"/>
  <c r="S147" i="13"/>
  <c r="R148" i="13"/>
  <c r="AF148" i="13"/>
  <c r="AI147" i="13"/>
  <c r="K149" i="13"/>
  <c r="J150" i="13"/>
  <c r="AF155" i="18"/>
  <c r="K149" i="18"/>
  <c r="O149" i="18" s="1"/>
  <c r="J150" i="18"/>
  <c r="AH152" i="18"/>
  <c r="AI151" i="18"/>
  <c r="S148" i="18"/>
  <c r="R149" i="18"/>
  <c r="T147" i="18"/>
  <c r="X147" i="18" s="1"/>
  <c r="Y147" i="18" s="1"/>
  <c r="S150" i="26" l="1"/>
  <c r="T150" i="26" s="1"/>
  <c r="X150" i="26" s="1"/>
  <c r="Y150" i="26" s="1"/>
  <c r="R151" i="26"/>
  <c r="K152" i="26"/>
  <c r="O152" i="26" s="1"/>
  <c r="J153" i="26"/>
  <c r="AF146" i="26"/>
  <c r="AI145" i="26"/>
  <c r="O149" i="13"/>
  <c r="T147" i="13"/>
  <c r="X146" i="13"/>
  <c r="Y146" i="13" s="1"/>
  <c r="S148" i="13"/>
  <c r="R149" i="13"/>
  <c r="AF149" i="13"/>
  <c r="AI148" i="13"/>
  <c r="J151" i="13"/>
  <c r="K150" i="13"/>
  <c r="T148" i="18"/>
  <c r="X148" i="18" s="1"/>
  <c r="Y148" i="18" s="1"/>
  <c r="K150" i="18"/>
  <c r="O150" i="18" s="1"/>
  <c r="J151" i="18"/>
  <c r="S149" i="18"/>
  <c r="R150" i="18"/>
  <c r="AH153" i="18"/>
  <c r="AI152" i="18"/>
  <c r="AF156" i="18"/>
  <c r="K153" i="26" l="1"/>
  <c r="O153" i="26" s="1"/>
  <c r="J154" i="26"/>
  <c r="S151" i="26"/>
  <c r="T151" i="26" s="1"/>
  <c r="X151" i="26" s="1"/>
  <c r="Y151" i="26" s="1"/>
  <c r="R152" i="26"/>
  <c r="AI146" i="26"/>
  <c r="AF147" i="26"/>
  <c r="O150" i="13"/>
  <c r="X147" i="13"/>
  <c r="Y147" i="13" s="1"/>
  <c r="S149" i="13"/>
  <c r="R150" i="13"/>
  <c r="T148" i="13"/>
  <c r="AF150" i="13"/>
  <c r="AI149" i="13"/>
  <c r="K151" i="13"/>
  <c r="J152" i="13"/>
  <c r="AH154" i="18"/>
  <c r="AI153" i="18"/>
  <c r="S150" i="18"/>
  <c r="T150" i="18" s="1"/>
  <c r="X150" i="18" s="1"/>
  <c r="Y150" i="18" s="1"/>
  <c r="R151" i="18"/>
  <c r="AF157" i="18"/>
  <c r="T149" i="18"/>
  <c r="X149" i="18" s="1"/>
  <c r="Y149" i="18" s="1"/>
  <c r="K151" i="18"/>
  <c r="O151" i="18" s="1"/>
  <c r="J152" i="18"/>
  <c r="AF148" i="26" l="1"/>
  <c r="AI147" i="26"/>
  <c r="J155" i="26"/>
  <c r="K155" i="26" s="1"/>
  <c r="O155" i="26" s="1"/>
  <c r="K154" i="26"/>
  <c r="O154" i="26" s="1"/>
  <c r="S152" i="26"/>
  <c r="T152" i="26" s="1"/>
  <c r="X152" i="26" s="1"/>
  <c r="Y152" i="26" s="1"/>
  <c r="R153" i="26"/>
  <c r="O151" i="13"/>
  <c r="T149" i="13"/>
  <c r="X148" i="13"/>
  <c r="Y148" i="13" s="1"/>
  <c r="R151" i="13"/>
  <c r="S150" i="13"/>
  <c r="K152" i="13"/>
  <c r="J153" i="13"/>
  <c r="AF151" i="13"/>
  <c r="AI150" i="13"/>
  <c r="S151" i="18"/>
  <c r="R152" i="18"/>
  <c r="K152" i="18"/>
  <c r="O152" i="18" s="1"/>
  <c r="J153" i="18"/>
  <c r="AF158" i="18"/>
  <c r="AH155" i="18"/>
  <c r="AI154" i="18"/>
  <c r="D113" i="26" l="1"/>
  <c r="S153" i="26"/>
  <c r="T153" i="26" s="1"/>
  <c r="X153" i="26" s="1"/>
  <c r="Y153" i="26" s="1"/>
  <c r="R154" i="26"/>
  <c r="AI148" i="26"/>
  <c r="AF149" i="26"/>
  <c r="O152" i="13"/>
  <c r="X149" i="13"/>
  <c r="Y149" i="13" s="1"/>
  <c r="T150" i="13"/>
  <c r="S151" i="13"/>
  <c r="R152" i="13"/>
  <c r="K153" i="13"/>
  <c r="J154" i="13"/>
  <c r="AF152" i="13"/>
  <c r="AI151" i="13"/>
  <c r="AH156" i="18"/>
  <c r="AI155" i="18"/>
  <c r="AF159" i="18"/>
  <c r="S152" i="18"/>
  <c r="R153" i="18"/>
  <c r="K153" i="18"/>
  <c r="O153" i="18" s="1"/>
  <c r="J154" i="18"/>
  <c r="T151" i="18"/>
  <c r="X151" i="18" s="1"/>
  <c r="Y151" i="18" s="1"/>
  <c r="AF150" i="26" l="1"/>
  <c r="AI149" i="26"/>
  <c r="S154" i="26"/>
  <c r="T154" i="26" s="1"/>
  <c r="X154" i="26" s="1"/>
  <c r="Y154" i="26" s="1"/>
  <c r="R155" i="26"/>
  <c r="S155" i="26" s="1"/>
  <c r="T155" i="26" s="1"/>
  <c r="X155" i="26" s="1"/>
  <c r="O153" i="13"/>
  <c r="X150" i="13"/>
  <c r="Y150" i="13" s="1"/>
  <c r="T151" i="13"/>
  <c r="S152" i="13"/>
  <c r="R153" i="13"/>
  <c r="AF153" i="13"/>
  <c r="AI152" i="13"/>
  <c r="K154" i="13"/>
  <c r="J155" i="13"/>
  <c r="AF160" i="18"/>
  <c r="S153" i="18"/>
  <c r="R154" i="18"/>
  <c r="K154" i="18"/>
  <c r="O154" i="18" s="1"/>
  <c r="J155" i="18"/>
  <c r="T152" i="18"/>
  <c r="X152" i="18" s="1"/>
  <c r="Y152" i="18" s="1"/>
  <c r="AH157" i="18"/>
  <c r="AI156" i="18"/>
  <c r="Y155" i="26" l="1"/>
  <c r="C113" i="26"/>
  <c r="E113" i="26" s="1"/>
  <c r="C127" i="26" s="1"/>
  <c r="I21" i="24" s="1"/>
  <c r="AF151" i="26"/>
  <c r="AI150" i="26"/>
  <c r="O154" i="13"/>
  <c r="X151" i="13"/>
  <c r="Y151" i="13" s="1"/>
  <c r="T152" i="13"/>
  <c r="S153" i="13"/>
  <c r="R154" i="13"/>
  <c r="K155" i="13"/>
  <c r="J156" i="13"/>
  <c r="AF154" i="13"/>
  <c r="AI153" i="13"/>
  <c r="T153" i="18"/>
  <c r="X153" i="18" s="1"/>
  <c r="Y153" i="18" s="1"/>
  <c r="S154" i="18"/>
  <c r="T154" i="18" s="1"/>
  <c r="X154" i="18" s="1"/>
  <c r="Y154" i="18" s="1"/>
  <c r="R155" i="18"/>
  <c r="AH158" i="18"/>
  <c r="AI157" i="18"/>
  <c r="K155" i="18"/>
  <c r="O155" i="18" s="1"/>
  <c r="J156" i="18"/>
  <c r="AF161" i="18"/>
  <c r="F127" i="26" l="1"/>
  <c r="AF152" i="26"/>
  <c r="AI151" i="26"/>
  <c r="O155" i="13"/>
  <c r="X152" i="13"/>
  <c r="Y152" i="13" s="1"/>
  <c r="S154" i="13"/>
  <c r="R155" i="13"/>
  <c r="T153" i="13"/>
  <c r="K156" i="13"/>
  <c r="J157" i="13"/>
  <c r="AF155" i="13"/>
  <c r="AI154" i="13"/>
  <c r="K156" i="18"/>
  <c r="O156" i="18" s="1"/>
  <c r="J157" i="18"/>
  <c r="S155" i="18"/>
  <c r="R156" i="18"/>
  <c r="AF162" i="18"/>
  <c r="AH159" i="18"/>
  <c r="AI158" i="18"/>
  <c r="AF153" i="26" l="1"/>
  <c r="AI152" i="26"/>
  <c r="I25" i="24"/>
  <c r="O156" i="13"/>
  <c r="T154" i="13"/>
  <c r="X153" i="13"/>
  <c r="Y153" i="13" s="1"/>
  <c r="S155" i="13"/>
  <c r="R156" i="13"/>
  <c r="AF156" i="13"/>
  <c r="AI155" i="13"/>
  <c r="K157" i="13"/>
  <c r="J158" i="13"/>
  <c r="AH160" i="18"/>
  <c r="AI159" i="18"/>
  <c r="T155" i="18"/>
  <c r="X155" i="18" s="1"/>
  <c r="Y155" i="18" s="1"/>
  <c r="K157" i="18"/>
  <c r="O157" i="18" s="1"/>
  <c r="J158" i="18"/>
  <c r="AF163" i="18"/>
  <c r="S156" i="18"/>
  <c r="R157" i="18"/>
  <c r="AF154" i="26" l="1"/>
  <c r="AI153" i="26"/>
  <c r="O157" i="13"/>
  <c r="X154" i="13"/>
  <c r="Y154" i="13" s="1"/>
  <c r="S156" i="13"/>
  <c r="R157" i="13"/>
  <c r="T155" i="13"/>
  <c r="AF157" i="13"/>
  <c r="AI156" i="13"/>
  <c r="K158" i="13"/>
  <c r="J159" i="13"/>
  <c r="AF164" i="18"/>
  <c r="S157" i="18"/>
  <c r="R158" i="18"/>
  <c r="K158" i="18"/>
  <c r="O158" i="18" s="1"/>
  <c r="J159" i="18"/>
  <c r="T156" i="18"/>
  <c r="X156" i="18" s="1"/>
  <c r="Y156" i="18" s="1"/>
  <c r="AH161" i="18"/>
  <c r="AI160" i="18"/>
  <c r="AI154" i="26" l="1"/>
  <c r="AF155" i="26"/>
  <c r="AI155" i="26" s="1"/>
  <c r="O158" i="13"/>
  <c r="T156" i="13"/>
  <c r="X155" i="13"/>
  <c r="Y155" i="13" s="1"/>
  <c r="R158" i="13"/>
  <c r="S157" i="13"/>
  <c r="K159" i="13"/>
  <c r="J160" i="13"/>
  <c r="AF158" i="13"/>
  <c r="AI157" i="13"/>
  <c r="S158" i="18"/>
  <c r="R159" i="18"/>
  <c r="T157" i="18"/>
  <c r="X157" i="18" s="1"/>
  <c r="Y157" i="18" s="1"/>
  <c r="K159" i="18"/>
  <c r="O159" i="18" s="1"/>
  <c r="J160" i="18"/>
  <c r="AH162" i="18"/>
  <c r="AI161" i="18"/>
  <c r="AF165" i="18"/>
  <c r="O159" i="13" l="1"/>
  <c r="X156" i="13"/>
  <c r="Y156" i="13" s="1"/>
  <c r="T157" i="13"/>
  <c r="S158" i="13"/>
  <c r="R159" i="13"/>
  <c r="K160" i="13"/>
  <c r="J161" i="13"/>
  <c r="AF159" i="13"/>
  <c r="AI158" i="13"/>
  <c r="S159" i="18"/>
  <c r="R160" i="18"/>
  <c r="AH163" i="18"/>
  <c r="AI162" i="18"/>
  <c r="AF166" i="18"/>
  <c r="K160" i="18"/>
  <c r="O160" i="18" s="1"/>
  <c r="J161" i="18"/>
  <c r="T158" i="18"/>
  <c r="X158" i="18" s="1"/>
  <c r="Y158" i="18" s="1"/>
  <c r="O160" i="13" l="1"/>
  <c r="X157" i="13"/>
  <c r="Y157" i="13" s="1"/>
  <c r="T158" i="13"/>
  <c r="S159" i="13"/>
  <c r="R160" i="13"/>
  <c r="AF160" i="13"/>
  <c r="AI159" i="13"/>
  <c r="K161" i="13"/>
  <c r="J162" i="13"/>
  <c r="AH164" i="18"/>
  <c r="AI163" i="18"/>
  <c r="K161" i="18"/>
  <c r="O161" i="18" s="1"/>
  <c r="J162" i="18"/>
  <c r="S160" i="18"/>
  <c r="R161" i="18"/>
  <c r="AF167" i="18"/>
  <c r="T159" i="18"/>
  <c r="X159" i="18" s="1"/>
  <c r="Y159" i="18" s="1"/>
  <c r="O161" i="13" l="1"/>
  <c r="X158" i="13"/>
  <c r="Y158" i="13" s="1"/>
  <c r="R161" i="13"/>
  <c r="S160" i="13"/>
  <c r="T159" i="13"/>
  <c r="K162" i="13"/>
  <c r="J163" i="13"/>
  <c r="AF161" i="13"/>
  <c r="AI160" i="13"/>
  <c r="K162" i="18"/>
  <c r="O162" i="18" s="1"/>
  <c r="J163" i="18"/>
  <c r="S161" i="18"/>
  <c r="R162" i="18"/>
  <c r="AF168" i="18"/>
  <c r="T160" i="18"/>
  <c r="X160" i="18" s="1"/>
  <c r="Y160" i="18" s="1"/>
  <c r="AH165" i="18"/>
  <c r="AI164" i="18"/>
  <c r="O162" i="13" l="1"/>
  <c r="X159" i="13"/>
  <c r="Y159" i="13" s="1"/>
  <c r="T160" i="13"/>
  <c r="S161" i="13"/>
  <c r="R162" i="13"/>
  <c r="AF162" i="13"/>
  <c r="AI161" i="13"/>
  <c r="K163" i="13"/>
  <c r="J164" i="13"/>
  <c r="T161" i="18"/>
  <c r="X161" i="18" s="1"/>
  <c r="Y161" i="18" s="1"/>
  <c r="AF169" i="18"/>
  <c r="K163" i="18"/>
  <c r="O163" i="18" s="1"/>
  <c r="J164" i="18"/>
  <c r="AH166" i="18"/>
  <c r="AI165" i="18"/>
  <c r="S162" i="18"/>
  <c r="R163" i="18"/>
  <c r="O163" i="13" l="1"/>
  <c r="X160" i="13"/>
  <c r="Y160" i="13" s="1"/>
  <c r="T161" i="13"/>
  <c r="S162" i="13"/>
  <c r="R163" i="13"/>
  <c r="K164" i="13"/>
  <c r="J165" i="13"/>
  <c r="AF163" i="13"/>
  <c r="AI162" i="13"/>
  <c r="S163" i="18"/>
  <c r="R164" i="18"/>
  <c r="AF170" i="18"/>
  <c r="T162" i="18"/>
  <c r="X162" i="18" s="1"/>
  <c r="Y162" i="18" s="1"/>
  <c r="K164" i="18"/>
  <c r="O164" i="18" s="1"/>
  <c r="J165" i="18"/>
  <c r="AH167" i="18"/>
  <c r="AI166" i="18"/>
  <c r="O164" i="13" l="1"/>
  <c r="X161" i="13"/>
  <c r="Y161" i="13" s="1"/>
  <c r="T162" i="13"/>
  <c r="R164" i="13"/>
  <c r="S163" i="13"/>
  <c r="AF164" i="13"/>
  <c r="AI163" i="13"/>
  <c r="K165" i="13"/>
  <c r="AF171" i="18"/>
  <c r="AH168" i="18"/>
  <c r="AI167" i="18"/>
  <c r="S164" i="18"/>
  <c r="R165" i="18"/>
  <c r="K165" i="18"/>
  <c r="O165" i="18" s="1"/>
  <c r="J166" i="18"/>
  <c r="T163" i="18"/>
  <c r="X163" i="18" s="1"/>
  <c r="Y163" i="18" s="1"/>
  <c r="O165" i="13" l="1"/>
  <c r="D113" i="13" s="1"/>
  <c r="X162" i="13"/>
  <c r="Y162" i="13" s="1"/>
  <c r="T163" i="13"/>
  <c r="R165" i="13"/>
  <c r="S164" i="13"/>
  <c r="AF165" i="13"/>
  <c r="AI165" i="13" s="1"/>
  <c r="AI164" i="13"/>
  <c r="K166" i="18"/>
  <c r="O166" i="18" s="1"/>
  <c r="J167" i="18"/>
  <c r="AH169" i="18"/>
  <c r="AI168" i="18"/>
  <c r="S165" i="18"/>
  <c r="R166" i="18"/>
  <c r="T164" i="18"/>
  <c r="X164" i="18" s="1"/>
  <c r="Y164" i="18" s="1"/>
  <c r="AF172" i="18"/>
  <c r="T164" i="13" l="1"/>
  <c r="X163" i="13"/>
  <c r="Y163" i="13" s="1"/>
  <c r="S165" i="13"/>
  <c r="Y164" i="13"/>
  <c r="S166" i="18"/>
  <c r="T166" i="18" s="1"/>
  <c r="X166" i="18" s="1"/>
  <c r="Y166" i="18" s="1"/>
  <c r="R167" i="18"/>
  <c r="AF173" i="18"/>
  <c r="T165" i="18"/>
  <c r="X165" i="18" s="1"/>
  <c r="Y165" i="18" s="1"/>
  <c r="K167" i="18"/>
  <c r="O167" i="18" s="1"/>
  <c r="J168" i="18"/>
  <c r="AH170" i="18"/>
  <c r="AI169" i="18"/>
  <c r="T165" i="13" l="1"/>
  <c r="X164" i="13"/>
  <c r="AF174" i="18"/>
  <c r="AH171" i="18"/>
  <c r="AI170" i="18"/>
  <c r="S167" i="18"/>
  <c r="R168" i="18"/>
  <c r="K168" i="18"/>
  <c r="O168" i="18" s="1"/>
  <c r="J169" i="18"/>
  <c r="X165" i="13" l="1"/>
  <c r="Y165" i="13" s="1"/>
  <c r="K169" i="18"/>
  <c r="O169" i="18" s="1"/>
  <c r="J170" i="18"/>
  <c r="AH172" i="18"/>
  <c r="AI171" i="18"/>
  <c r="S168" i="18"/>
  <c r="R169" i="18"/>
  <c r="T167" i="18"/>
  <c r="X167" i="18" s="1"/>
  <c r="Y167" i="18" s="1"/>
  <c r="AF175" i="18"/>
  <c r="C113" i="13" l="1"/>
  <c r="E113" i="13" s="1"/>
  <c r="C127" i="13" s="1"/>
  <c r="E21" i="24" s="1"/>
  <c r="E25" i="24" s="1"/>
  <c r="AH173" i="18"/>
  <c r="AI172" i="18"/>
  <c r="S169" i="18"/>
  <c r="T169" i="18" s="1"/>
  <c r="X169" i="18" s="1"/>
  <c r="Y169" i="18" s="1"/>
  <c r="R170" i="18"/>
  <c r="K170" i="18"/>
  <c r="O170" i="18" s="1"/>
  <c r="J171" i="18"/>
  <c r="AF176" i="18"/>
  <c r="T168" i="18"/>
  <c r="X168" i="18" s="1"/>
  <c r="Y168" i="18" s="1"/>
  <c r="F127" i="13" l="1"/>
  <c r="AF177" i="18"/>
  <c r="K171" i="18"/>
  <c r="O171" i="18" s="1"/>
  <c r="J172" i="18"/>
  <c r="S170" i="18"/>
  <c r="R171" i="18"/>
  <c r="AH174" i="18"/>
  <c r="AI173" i="18"/>
  <c r="AH175" i="18" l="1"/>
  <c r="AI174" i="18"/>
  <c r="K172" i="18"/>
  <c r="O172" i="18" s="1"/>
  <c r="J173" i="18"/>
  <c r="S171" i="18"/>
  <c r="R172" i="18"/>
  <c r="T170" i="18"/>
  <c r="X170" i="18" s="1"/>
  <c r="Y170" i="18" s="1"/>
  <c r="AF178" i="18"/>
  <c r="K173" i="18" l="1"/>
  <c r="O173" i="18" s="1"/>
  <c r="J174" i="18"/>
  <c r="S172" i="18"/>
  <c r="T172" i="18" s="1"/>
  <c r="X172" i="18" s="1"/>
  <c r="Y172" i="18" s="1"/>
  <c r="R173" i="18"/>
  <c r="AF179" i="18"/>
  <c r="T171" i="18"/>
  <c r="X171" i="18" s="1"/>
  <c r="Y171" i="18" s="1"/>
  <c r="AH176" i="18"/>
  <c r="AI175" i="18"/>
  <c r="S173" i="18" l="1"/>
  <c r="T173" i="18" s="1"/>
  <c r="X173" i="18" s="1"/>
  <c r="Y173" i="18" s="1"/>
  <c r="R174" i="18"/>
  <c r="K174" i="18"/>
  <c r="O174" i="18" s="1"/>
  <c r="J175" i="18"/>
  <c r="AH177" i="18"/>
  <c r="AI176" i="18"/>
  <c r="AF180" i="18"/>
  <c r="K175" i="18" l="1"/>
  <c r="O175" i="18" s="1"/>
  <c r="J176" i="18"/>
  <c r="AH178" i="18"/>
  <c r="AI177" i="18"/>
  <c r="S174" i="18"/>
  <c r="R175" i="18"/>
  <c r="AF181" i="18"/>
  <c r="AH179" i="18" l="1"/>
  <c r="AI178" i="18"/>
  <c r="K176" i="18"/>
  <c r="O176" i="18" s="1"/>
  <c r="J177" i="18"/>
  <c r="AF182" i="18"/>
  <c r="S175" i="18"/>
  <c r="R176" i="18"/>
  <c r="T174" i="18"/>
  <c r="X174" i="18" s="1"/>
  <c r="Y174" i="18" s="1"/>
  <c r="K177" i="18" l="1"/>
  <c r="O177" i="18" s="1"/>
  <c r="J178" i="18"/>
  <c r="AF183" i="18"/>
  <c r="T175" i="18"/>
  <c r="X175" i="18" s="1"/>
  <c r="Y175" i="18" s="1"/>
  <c r="S176" i="18"/>
  <c r="R177" i="18"/>
  <c r="AH180" i="18"/>
  <c r="AI179" i="18"/>
  <c r="T176" i="18" l="1"/>
  <c r="X176" i="18" s="1"/>
  <c r="Y176" i="18" s="1"/>
  <c r="AH181" i="18"/>
  <c r="AI180" i="18"/>
  <c r="K178" i="18"/>
  <c r="O178" i="18" s="1"/>
  <c r="J179" i="18"/>
  <c r="AF184" i="18"/>
  <c r="S177" i="18"/>
  <c r="T177" i="18" s="1"/>
  <c r="X177" i="18" s="1"/>
  <c r="Y177" i="18" s="1"/>
  <c r="R178" i="18"/>
  <c r="AH182" i="18" l="1"/>
  <c r="AI181" i="18"/>
  <c r="AF185" i="18"/>
  <c r="S178" i="18"/>
  <c r="T178" i="18" s="1"/>
  <c r="X178" i="18" s="1"/>
  <c r="Y178" i="18" s="1"/>
  <c r="R179" i="18"/>
  <c r="K179" i="18"/>
  <c r="O179" i="18" s="1"/>
  <c r="J180" i="18"/>
  <c r="AF186" i="18" l="1"/>
  <c r="K180" i="18"/>
  <c r="O180" i="18" s="1"/>
  <c r="J181" i="18"/>
  <c r="S179" i="18"/>
  <c r="T179" i="18" s="1"/>
  <c r="X179" i="18" s="1"/>
  <c r="Y179" i="18" s="1"/>
  <c r="R180" i="18"/>
  <c r="AH183" i="18"/>
  <c r="AI182" i="18"/>
  <c r="AH184" i="18" l="1"/>
  <c r="AI183" i="18"/>
  <c r="K181" i="18"/>
  <c r="O181" i="18" s="1"/>
  <c r="J182" i="18"/>
  <c r="S180" i="18"/>
  <c r="T180" i="18" s="1"/>
  <c r="X180" i="18" s="1"/>
  <c r="Y180" i="18" s="1"/>
  <c r="R181" i="18"/>
  <c r="AF187" i="18"/>
  <c r="S181" i="18" l="1"/>
  <c r="T181" i="18" s="1"/>
  <c r="X181" i="18" s="1"/>
  <c r="Y181" i="18" s="1"/>
  <c r="R182" i="18"/>
  <c r="AF188" i="18"/>
  <c r="K182" i="18"/>
  <c r="O182" i="18" s="1"/>
  <c r="J183" i="18"/>
  <c r="AH185" i="18"/>
  <c r="AI184" i="18"/>
  <c r="AH186" i="18" l="1"/>
  <c r="AI185" i="18"/>
  <c r="AF189" i="18"/>
  <c r="K183" i="18"/>
  <c r="O183" i="18" s="1"/>
  <c r="J184" i="18"/>
  <c r="S182" i="18"/>
  <c r="T182" i="18" s="1"/>
  <c r="X182" i="18" s="1"/>
  <c r="Y182" i="18" s="1"/>
  <c r="R183" i="18"/>
  <c r="S183" i="18" l="1"/>
  <c r="R184" i="18"/>
  <c r="AF190" i="18"/>
  <c r="K184" i="18"/>
  <c r="O184" i="18" s="1"/>
  <c r="J185" i="18"/>
  <c r="AH187" i="18"/>
  <c r="AI186" i="18"/>
  <c r="AH188" i="18" l="1"/>
  <c r="AI187" i="18"/>
  <c r="K185" i="18"/>
  <c r="O185" i="18" s="1"/>
  <c r="J186" i="18"/>
  <c r="S184" i="18"/>
  <c r="T184" i="18" s="1"/>
  <c r="X184" i="18" s="1"/>
  <c r="Y184" i="18" s="1"/>
  <c r="R185" i="18"/>
  <c r="AF191" i="18"/>
  <c r="T183" i="18"/>
  <c r="X183" i="18" s="1"/>
  <c r="Y183" i="18" s="1"/>
  <c r="S185" i="18" l="1"/>
  <c r="T185" i="18" s="1"/>
  <c r="X185" i="18" s="1"/>
  <c r="Y185" i="18" s="1"/>
  <c r="R186" i="18"/>
  <c r="AF192" i="18"/>
  <c r="K186" i="18"/>
  <c r="O186" i="18" s="1"/>
  <c r="J187" i="18"/>
  <c r="AH189" i="18"/>
  <c r="AI188" i="18"/>
  <c r="AF193" i="18" l="1"/>
  <c r="S186" i="18"/>
  <c r="T186" i="18" s="1"/>
  <c r="X186" i="18" s="1"/>
  <c r="Y186" i="18" s="1"/>
  <c r="R187" i="18"/>
  <c r="AH190" i="18"/>
  <c r="AI189" i="18"/>
  <c r="K187" i="18"/>
  <c r="O187" i="18" s="1"/>
  <c r="J188" i="18"/>
  <c r="K188" i="18" l="1"/>
  <c r="O188" i="18" s="1"/>
  <c r="J189" i="18"/>
  <c r="S187" i="18"/>
  <c r="T187" i="18" s="1"/>
  <c r="X187" i="18" s="1"/>
  <c r="Y187" i="18" s="1"/>
  <c r="R188" i="18"/>
  <c r="AH191" i="18"/>
  <c r="AI190" i="18"/>
  <c r="AF194" i="18"/>
  <c r="AF195" i="18" l="1"/>
  <c r="AH192" i="18"/>
  <c r="AI191" i="18"/>
  <c r="K189" i="18"/>
  <c r="O189" i="18" s="1"/>
  <c r="J190" i="18"/>
  <c r="S188" i="18"/>
  <c r="T188" i="18" s="1"/>
  <c r="X188" i="18" s="1"/>
  <c r="Y188" i="18" s="1"/>
  <c r="R189" i="18"/>
  <c r="AH193" i="18" l="1"/>
  <c r="AI192" i="18"/>
  <c r="K190" i="18"/>
  <c r="O190" i="18" s="1"/>
  <c r="J191" i="18"/>
  <c r="S189" i="18"/>
  <c r="R190" i="18"/>
  <c r="AF196" i="18"/>
  <c r="AF197" i="18" l="1"/>
  <c r="K191" i="18"/>
  <c r="O191" i="18" s="1"/>
  <c r="J192" i="18"/>
  <c r="S190" i="18"/>
  <c r="T190" i="18" s="1"/>
  <c r="X190" i="18" s="1"/>
  <c r="Y190" i="18" s="1"/>
  <c r="R191" i="18"/>
  <c r="T189" i="18"/>
  <c r="X189" i="18" s="1"/>
  <c r="Y189" i="18" s="1"/>
  <c r="AH194" i="18"/>
  <c r="AI193" i="18"/>
  <c r="AH195" i="18" l="1"/>
  <c r="AI194" i="18"/>
  <c r="K192" i="18"/>
  <c r="O192" i="18" s="1"/>
  <c r="J193" i="18"/>
  <c r="S191" i="18"/>
  <c r="R192" i="18"/>
  <c r="AF198" i="18"/>
  <c r="K193" i="18" l="1"/>
  <c r="O193" i="18" s="1"/>
  <c r="J194" i="18"/>
  <c r="AF199" i="18"/>
  <c r="S192" i="18"/>
  <c r="T192" i="18" s="1"/>
  <c r="X192" i="18" s="1"/>
  <c r="Y192" i="18" s="1"/>
  <c r="R193" i="18"/>
  <c r="T191" i="18"/>
  <c r="X191" i="18" s="1"/>
  <c r="Y191" i="18" s="1"/>
  <c r="AH196" i="18"/>
  <c r="AI195" i="18"/>
  <c r="AF200" i="18" l="1"/>
  <c r="S193" i="18"/>
  <c r="T193" i="18" s="1"/>
  <c r="X193" i="18" s="1"/>
  <c r="Y193" i="18" s="1"/>
  <c r="R194" i="18"/>
  <c r="K194" i="18"/>
  <c r="O194" i="18" s="1"/>
  <c r="J195" i="18"/>
  <c r="AH197" i="18"/>
  <c r="AI196" i="18"/>
  <c r="AH198" i="18" l="1"/>
  <c r="AI197" i="18"/>
  <c r="S194" i="18"/>
  <c r="T194" i="18" s="1"/>
  <c r="X194" i="18" s="1"/>
  <c r="Y194" i="18" s="1"/>
  <c r="R195" i="18"/>
  <c r="K195" i="18"/>
  <c r="O195" i="18" s="1"/>
  <c r="J196" i="18"/>
  <c r="AF201" i="18"/>
  <c r="AF202" i="18" l="1"/>
  <c r="S195" i="18"/>
  <c r="T195" i="18" s="1"/>
  <c r="X195" i="18" s="1"/>
  <c r="Y195" i="18" s="1"/>
  <c r="R196" i="18"/>
  <c r="K196" i="18"/>
  <c r="O196" i="18" s="1"/>
  <c r="J197" i="18"/>
  <c r="AH199" i="18"/>
  <c r="AI198" i="18"/>
  <c r="AH200" i="18" l="1"/>
  <c r="AI199" i="18"/>
  <c r="S196" i="18"/>
  <c r="T196" i="18" s="1"/>
  <c r="X196" i="18" s="1"/>
  <c r="Y196" i="18" s="1"/>
  <c r="R197" i="18"/>
  <c r="K197" i="18"/>
  <c r="O197" i="18" s="1"/>
  <c r="J198" i="18"/>
  <c r="AF203" i="18"/>
  <c r="AF204" i="18" l="1"/>
  <c r="S197" i="18"/>
  <c r="R198" i="18"/>
  <c r="K198" i="18"/>
  <c r="O198" i="18" s="1"/>
  <c r="J199" i="18"/>
  <c r="AH201" i="18"/>
  <c r="AI200" i="18"/>
  <c r="AH202" i="18" l="1"/>
  <c r="AI201" i="18"/>
  <c r="S198" i="18"/>
  <c r="T198" i="18" s="1"/>
  <c r="X198" i="18" s="1"/>
  <c r="Y198" i="18" s="1"/>
  <c r="R199" i="18"/>
  <c r="T197" i="18"/>
  <c r="X197" i="18" s="1"/>
  <c r="Y197" i="18" s="1"/>
  <c r="K199" i="18"/>
  <c r="O199" i="18" s="1"/>
  <c r="J200" i="18"/>
  <c r="AF205" i="18"/>
  <c r="S199" i="18" l="1"/>
  <c r="R200" i="18"/>
  <c r="K200" i="18"/>
  <c r="O200" i="18" s="1"/>
  <c r="J201" i="18"/>
  <c r="AH203" i="18"/>
  <c r="AI202" i="18"/>
  <c r="AH204" i="18" l="1"/>
  <c r="AI203" i="18"/>
  <c r="S200" i="18"/>
  <c r="T200" i="18" s="1"/>
  <c r="X200" i="18" s="1"/>
  <c r="Y200" i="18" s="1"/>
  <c r="R201" i="18"/>
  <c r="K201" i="18"/>
  <c r="O201" i="18" s="1"/>
  <c r="J202" i="18"/>
  <c r="T199" i="18"/>
  <c r="X199" i="18" s="1"/>
  <c r="Y199" i="18" s="1"/>
  <c r="S201" i="18" l="1"/>
  <c r="T201" i="18" s="1"/>
  <c r="X201" i="18" s="1"/>
  <c r="Y201" i="18" s="1"/>
  <c r="R202" i="18"/>
  <c r="K202" i="18"/>
  <c r="O202" i="18" s="1"/>
  <c r="J203" i="18"/>
  <c r="AH205" i="18"/>
  <c r="AI205" i="18" s="1"/>
  <c r="AI204" i="18"/>
  <c r="K203" i="18" l="1"/>
  <c r="O203" i="18" s="1"/>
  <c r="J204" i="18"/>
  <c r="S202" i="18"/>
  <c r="T202" i="18" s="1"/>
  <c r="X202" i="18" s="1"/>
  <c r="Y202" i="18" s="1"/>
  <c r="R203" i="18"/>
  <c r="K204" i="18" l="1"/>
  <c r="O204" i="18" s="1"/>
  <c r="J205" i="18"/>
  <c r="K205" i="18" s="1"/>
  <c r="O205" i="18" s="1"/>
  <c r="S203" i="18"/>
  <c r="T203" i="18" s="1"/>
  <c r="X203" i="18" s="1"/>
  <c r="Y203" i="18" s="1"/>
  <c r="R204" i="18"/>
  <c r="D113" i="18" l="1"/>
  <c r="S204" i="18"/>
  <c r="T204" i="18" s="1"/>
  <c r="X204" i="18" s="1"/>
  <c r="Y204" i="18" s="1"/>
  <c r="R205" i="18"/>
  <c r="S205" i="18" s="1"/>
  <c r="T205" i="18" s="1"/>
  <c r="X205" i="18" s="1"/>
  <c r="Y205" i="18" l="1"/>
  <c r="C113" i="18"/>
  <c r="E113" i="18" s="1"/>
  <c r="C127" i="18" s="1"/>
  <c r="F21" i="24" l="1"/>
  <c r="F127" i="18"/>
  <c r="F25" i="24" l="1"/>
  <c r="J32" i="24"/>
  <c r="R21" i="24"/>
  <c r="J36" i="24" l="1"/>
  <c r="R36" i="24" s="1"/>
  <c r="K32" i="24"/>
  <c r="R25" i="24"/>
</calcChain>
</file>

<file path=xl/sharedStrings.xml><?xml version="1.0" encoding="utf-8"?>
<sst xmlns="http://schemas.openxmlformats.org/spreadsheetml/2006/main" count="2012" uniqueCount="297">
  <si>
    <t>Vignes et vergers</t>
  </si>
  <si>
    <t>Cultures</t>
  </si>
  <si>
    <t>Prairies permanentes</t>
  </si>
  <si>
    <t>S(n)</t>
  </si>
  <si>
    <t xml:space="preserve">Arbousier </t>
  </si>
  <si>
    <t xml:space="preserve">Essence </t>
  </si>
  <si>
    <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</si>
  <si>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 xml:space="preserve">Alisier torminal </t>
  </si>
  <si>
    <t xml:space="preserve">Aulne vert </t>
  </si>
  <si>
    <t xml:space="preserve">Grands aulnes </t>
  </si>
  <si>
    <t xml:space="preserve">Bouleaux </t>
  </si>
  <si>
    <t xml:space="preserve">Cèdre de l’Atlas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</si>
  <si>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</si>
  <si>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</si>
  <si>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</si>
  <si>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</si>
  <si>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</si>
  <si>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</si>
  <si>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</si>
  <si>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</si>
  <si>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</si>
  <si>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</si>
  <si>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</si>
  <si>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</si>
  <si>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</si>
  <si>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</si>
  <si>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</si>
  <si>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</si>
  <si>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</si>
  <si>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</si>
  <si>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</si>
  <si>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</si>
  <si>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</si>
  <si>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</si>
  <si>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</si>
  <si>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</si>
  <si>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</si>
  <si>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</si>
  <si>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</si>
  <si>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</si>
  <si>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</si>
  <si>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</si>
  <si>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</si>
  <si>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</si>
  <si>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</si>
  <si>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</si>
  <si>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</si>
  <si>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</si>
  <si>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</si>
  <si>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</si>
  <si>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</si>
  <si>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</si>
  <si>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</si>
  <si>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</si>
  <si>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</si>
  <si>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</si>
  <si>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</si>
  <si>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</si>
  <si>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</si>
  <si>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</si>
  <si>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</si>
  <si>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</si>
  <si>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</si>
  <si>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</si>
  <si>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</si>
  <si>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</si>
  <si>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</si>
  <si>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</si>
  <si>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</si>
  <si>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</si>
  <si>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</si>
  <si>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</si>
  <si>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S(ref)</t>
  </si>
  <si>
    <t>Sol</t>
  </si>
  <si>
    <t>Litière</t>
  </si>
  <si>
    <t>Risques généraux</t>
  </si>
  <si>
    <t>Année</t>
  </si>
  <si>
    <t>OUI</t>
  </si>
  <si>
    <t>BO</t>
  </si>
  <si>
    <t>BE</t>
  </si>
  <si>
    <t>BI - papier</t>
  </si>
  <si>
    <t>BI - panneaux</t>
  </si>
  <si>
    <t>BI - générique</t>
  </si>
  <si>
    <t>V(7)</t>
  </si>
  <si>
    <t>Commune</t>
  </si>
  <si>
    <t>DONNEES PRINCIPALES</t>
  </si>
  <si>
    <t xml:space="preserve">Classe de fertilité : </t>
  </si>
  <si>
    <t xml:space="preserve">Risque incendie : </t>
  </si>
  <si>
    <t xml:space="preserve">Taille : </t>
  </si>
  <si>
    <t>Rabais 1</t>
  </si>
  <si>
    <t>Rabais 2</t>
  </si>
  <si>
    <t>Rabais 3</t>
  </si>
  <si>
    <t>Rabais 4</t>
  </si>
  <si>
    <t>Rabais appliqué</t>
  </si>
  <si>
    <t xml:space="preserve">Obligatoire </t>
  </si>
  <si>
    <t xml:space="preserve">Risque d’incendie </t>
  </si>
  <si>
    <t>Justification de la classe de production</t>
  </si>
  <si>
    <t xml:space="preserve"> a. par l'écosystème forestier (avant rabais) :</t>
  </si>
  <si>
    <t xml:space="preserve">2) Réductions d'émissions de l'Empreinte (REE) générables : </t>
  </si>
  <si>
    <t>Non concerné</t>
  </si>
  <si>
    <t xml:space="preserve">Analyse économique </t>
  </si>
  <si>
    <t xml:space="preserve">Sous-total : </t>
  </si>
  <si>
    <t>Sous-total :</t>
  </si>
  <si>
    <t>Sous-total</t>
  </si>
  <si>
    <t>BR(n)</t>
  </si>
  <si>
    <t>BA(n)</t>
  </si>
  <si>
    <t>L(n)</t>
  </si>
  <si>
    <t>M(n)</t>
  </si>
  <si>
    <t>BA(ref)</t>
  </si>
  <si>
    <t>BR(ref)</t>
  </si>
  <si>
    <t>L(ref)</t>
  </si>
  <si>
    <t>M(ref)</t>
  </si>
  <si>
    <t>Stock(n)</t>
  </si>
  <si>
    <t>Stock(ref)</t>
  </si>
  <si>
    <t>début</t>
  </si>
  <si>
    <t>fin</t>
  </si>
  <si>
    <t>Vtot</t>
  </si>
  <si>
    <t>FEB</t>
  </si>
  <si>
    <t>Accroissement courant</t>
  </si>
  <si>
    <t>Vtot(n)</t>
  </si>
  <si>
    <t>DELTA</t>
  </si>
  <si>
    <t>Source :</t>
  </si>
  <si>
    <t>Table utilisée :</t>
  </si>
  <si>
    <t>Nul</t>
  </si>
  <si>
    <t>Biomasse</t>
  </si>
  <si>
    <t>REA Produits bois</t>
  </si>
  <si>
    <t>RABAIS APPLICABLES</t>
  </si>
  <si>
    <t>b. par les produits bois (avant rabais) :</t>
  </si>
  <si>
    <t>RECAPITULATIF REDUCTIONS D'EMISSIONS</t>
  </si>
  <si>
    <t>REA Foret</t>
  </si>
  <si>
    <t>REA produits</t>
  </si>
  <si>
    <t>Essence</t>
  </si>
  <si>
    <t>PROJET</t>
  </si>
  <si>
    <t>ACTUEL</t>
  </si>
  <si>
    <t>REFERENCE</t>
  </si>
  <si>
    <t>Forêt tempérée</t>
  </si>
  <si>
    <t>Durée de révolution</t>
  </si>
  <si>
    <t>Litière existante</t>
  </si>
  <si>
    <t>totale</t>
  </si>
  <si>
    <t>Accroissement annuel courant</t>
  </si>
  <si>
    <t>Facteur exp. Branche</t>
  </si>
  <si>
    <t>Accroissement</t>
  </si>
  <si>
    <t>TABLE D'ACCROISSEMENT ANNUEL COURANT PAR INTERVALLE</t>
  </si>
  <si>
    <t>Surface concernée</t>
  </si>
  <si>
    <t>SCENARIO REA(forêt) PROJET</t>
  </si>
  <si>
    <t>S(Projet)</t>
  </si>
  <si>
    <t>V éclairci 
(m³/ha)</t>
  </si>
  <si>
    <t>% Sciages</t>
  </si>
  <si>
    <t>% Panneaux</t>
  </si>
  <si>
    <t>% Pâte à 
papier</t>
  </si>
  <si>
    <t>Stock 
sciages (tCO₂/ha)</t>
  </si>
  <si>
    <t>Stock 
panneaux (tCO₂/ha)</t>
  </si>
  <si>
    <t>Stocks pâte 
à papier (tCO₂/ha)</t>
  </si>
  <si>
    <t>Stock produits 
bois (tCO₂/ha)</t>
  </si>
  <si>
    <t>Equilibre sol</t>
  </si>
  <si>
    <t>Infradensité (tMS/m³)</t>
  </si>
  <si>
    <t>Volume d'éclaircie</t>
  </si>
  <si>
    <t>Coef. Subs.</t>
  </si>
  <si>
    <t>t(1/2)</t>
  </si>
  <si>
    <t>SCENARIO REA(produits) PROJET</t>
  </si>
  <si>
    <t>REI substitution</t>
  </si>
  <si>
    <t>% Bois énergie</t>
  </si>
  <si>
    <t>Substit.
sciages (tCO₂/ha)</t>
  </si>
  <si>
    <t>Substit.
panneaux (tCO₂/ha)</t>
  </si>
  <si>
    <t>Substit. papier (tCO₂/ha)</t>
  </si>
  <si>
    <t>Substit. Énergie (tCO₂/ha)</t>
  </si>
  <si>
    <t>Delta</t>
  </si>
  <si>
    <t>Sur une révolution</t>
  </si>
  <si>
    <t>Sur 30 ans</t>
  </si>
  <si>
    <t>REA Forêt</t>
  </si>
  <si>
    <t>RE générables</t>
  </si>
  <si>
    <t>SCENARIO REI(substitution) PROJET</t>
  </si>
  <si>
    <t>SCENARIO REA REFERENCE</t>
  </si>
  <si>
    <t>DONNEES D'ENTREE</t>
  </si>
  <si>
    <t>Surface</t>
  </si>
  <si>
    <t>REA (Forêt)</t>
  </si>
  <si>
    <t>REA (Produits)</t>
  </si>
  <si>
    <t>REI (substitution)</t>
  </si>
  <si>
    <t>Nature des sols</t>
  </si>
  <si>
    <t>Département</t>
  </si>
  <si>
    <t>Région</t>
  </si>
  <si>
    <t>TOTAL REG avant rabais :</t>
  </si>
  <si>
    <t>REDUCTIONS D'EMISSIONS GENERABLES AVANT RABAIS</t>
  </si>
  <si>
    <t>RECAPITULATIFS DES RESULTATS PAR ESSENCE ET NATURE DE SOLS</t>
  </si>
  <si>
    <t>1) Réductions d'émissions anticipées (REA) générables</t>
  </si>
  <si>
    <t>TABLES DE PRODUCTION EMPLOYEES</t>
  </si>
  <si>
    <t xml:space="preserve">TOTAL REG après rabais : </t>
  </si>
  <si>
    <t>Volume Sciage (m3/ha)</t>
  </si>
  <si>
    <t>Volume Panneaux (m3/ha)</t>
  </si>
  <si>
    <t>Volume Papier (m3/ha)</t>
  </si>
  <si>
    <t>Volume Energie (m3/ha)</t>
  </si>
  <si>
    <t>Avant rabais</t>
  </si>
  <si>
    <t>Après rabais</t>
  </si>
  <si>
    <t>table</t>
  </si>
  <si>
    <t xml:space="preserve">source : </t>
  </si>
  <si>
    <t>Inflation</t>
  </si>
  <si>
    <t>DEPENSES</t>
  </si>
  <si>
    <t>RECETTES</t>
  </si>
  <si>
    <t>Plantation</t>
  </si>
  <si>
    <t>Entretien</t>
  </si>
  <si>
    <t>Gestion</t>
  </si>
  <si>
    <t>Assurances</t>
  </si>
  <si>
    <t>TFNB</t>
  </si>
  <si>
    <t>Gibier</t>
  </si>
  <si>
    <t>Entretien N+1</t>
  </si>
  <si>
    <t>Entretien N+2</t>
  </si>
  <si>
    <t>Entretien N+3</t>
  </si>
  <si>
    <t>Entretien N+4</t>
  </si>
  <si>
    <t>Entretien N+5</t>
  </si>
  <si>
    <t>Volume Sciage</t>
  </si>
  <si>
    <t>Volume Panneaux</t>
  </si>
  <si>
    <t>Volume papier</t>
  </si>
  <si>
    <t>Volume bois énergie</t>
  </si>
  <si>
    <t>Taxe foncière</t>
  </si>
  <si>
    <t>Entretiens courants</t>
  </si>
  <si>
    <t>Révolution</t>
  </si>
  <si>
    <t>Sols</t>
  </si>
  <si>
    <t>Données communes</t>
  </si>
  <si>
    <t>Honoraires gestion</t>
  </si>
  <si>
    <t>Surface totale</t>
  </si>
  <si>
    <t>€/ha</t>
  </si>
  <si>
    <t>Entret. N+1</t>
  </si>
  <si>
    <t>Entret. N+2</t>
  </si>
  <si>
    <t>Entret. N+3</t>
  </si>
  <si>
    <t>Entret. N+4</t>
  </si>
  <si>
    <t>Entret. N+5</t>
  </si>
  <si>
    <t>Autre entretiens courants</t>
  </si>
  <si>
    <t>Type</t>
  </si>
  <si>
    <t>Feuillus</t>
  </si>
  <si>
    <t>Résineux</t>
  </si>
  <si>
    <t>Peupliers</t>
  </si>
  <si>
    <t>Pin Maritime intensif</t>
  </si>
  <si>
    <t>Coefficients de substitution 30 ans</t>
  </si>
  <si>
    <t>Coefficient appliqué</t>
  </si>
  <si>
    <t>Valeur BO</t>
  </si>
  <si>
    <t>Valeur BI</t>
  </si>
  <si>
    <t>Valeur BE</t>
  </si>
  <si>
    <t>sources :</t>
  </si>
  <si>
    <t>https://franceboisforet.fr/wp-content/uploads/2020/05/Indicateur-2020-des-prix-du-bois-sur-pied-en-for%C3%AAt-priv%C3%A9e.pdf</t>
  </si>
  <si>
    <t>Colonne1</t>
  </si>
  <si>
    <t>http://arborea.com/vente-et-cours-du-bois/feuillus-nobles/</t>
  </si>
  <si>
    <t>http://www.leboisinternational.com/asset/uploads/2019/01/V1902-Cours-bois-sur-pied-Nov-Dec-2018.pdf</t>
  </si>
  <si>
    <t>https://www.europeansa-online.com/bois_sur_pied.php</t>
  </si>
  <si>
    <t>http://observatoire.franceboisforet.com/donnees-de-la-filiere/amont-forestier/experts-forestiers/</t>
  </si>
  <si>
    <t>https://nouvelle-aquitaine.cnpf.fr/n/le-prix-des-bois/n:2396</t>
  </si>
  <si>
    <t>Colonne2</t>
  </si>
  <si>
    <t>Colonne3</t>
  </si>
  <si>
    <t>Colonne4</t>
  </si>
  <si>
    <t>Valeur sur pied (en €/m3)</t>
  </si>
  <si>
    <t>Colonne5</t>
  </si>
  <si>
    <t>??</t>
  </si>
  <si>
    <t>Colonne42</t>
  </si>
  <si>
    <t>Revenu Coupe</t>
  </si>
  <si>
    <t>R(n)-C(n) /(1+r)^n</t>
  </si>
  <si>
    <t>VAN référence</t>
  </si>
  <si>
    <t>DeltaVAN</t>
  </si>
  <si>
    <t>DEPENSES-RECETTES</t>
  </si>
  <si>
    <t>RECETTES ISSUES DES COUPES</t>
  </si>
  <si>
    <t>RECAPITULATIF</t>
  </si>
  <si>
    <t>Destination biomasse éclaircies (avant transformation)</t>
  </si>
  <si>
    <t>néant</t>
  </si>
  <si>
    <t>Moyenne sur 30 ans</t>
  </si>
  <si>
    <t>VAN projet</t>
  </si>
  <si>
    <t>SUBVENTIONS</t>
  </si>
  <si>
    <t>Revenus tirés de la coupe (avant projet)</t>
  </si>
  <si>
    <t>Douglas</t>
  </si>
  <si>
    <t>Gibier/regarnis</t>
  </si>
  <si>
    <t>Classe de fertilité 16 (moyenne)</t>
  </si>
  <si>
    <t>Forest Management Tables - Hummel and Christies</t>
  </si>
  <si>
    <r>
      <rPr>
        <u/>
        <sz val="11"/>
        <color theme="1"/>
        <rFont val="Gill Sans MT"/>
        <family val="2"/>
      </rPr>
      <t>Scénario projet</t>
    </r>
    <r>
      <rPr>
        <sz val="11"/>
        <color theme="1"/>
        <rFont val="Gill Sans MT"/>
        <family val="2"/>
      </rPr>
      <t xml:space="preserve"> : boisement</t>
    </r>
  </si>
  <si>
    <t>Tables britanniques pour le Douglas</t>
  </si>
  <si>
    <t>Tables britanniques pour le Chene</t>
  </si>
  <si>
    <t>Facteur expansion branche</t>
  </si>
  <si>
    <t>classe très forte</t>
  </si>
  <si>
    <t>classe forte</t>
  </si>
  <si>
    <t>Saint-Julien-des-Landes</t>
  </si>
  <si>
    <t>Vendée (85)</t>
  </si>
  <si>
    <t>Pays de la Loire</t>
  </si>
  <si>
    <t>classe moyenne</t>
  </si>
  <si>
    <t>Tables britanniques pour le Hêtre
Classe de fertilité 8 (moyenne-forte)</t>
  </si>
  <si>
    <t>A défaut de tables disponibles pour le charme, nous avons retenu la table britannique pour le hêtre, conseillée par les tables anglaises</t>
  </si>
  <si>
    <t>Chenes et alisier - fertilité très forte</t>
  </si>
  <si>
    <t>Classe de fertilité 8 (forte)</t>
  </si>
  <si>
    <t>Charme</t>
  </si>
  <si>
    <t>Chenes, merisier, cormier - fertilité forte</t>
  </si>
  <si>
    <t>Tables britanniques pour le Chene
Classe de fertilité 6 (moyenne)</t>
  </si>
  <si>
    <t>Aucune table n'est disponible pour le merisier et le cormier, nous appliquons donc la croissance du chene pour ces essences</t>
  </si>
  <si>
    <t>Pin Maritime</t>
  </si>
  <si>
    <t>Tables britanniques pour le Pin Contorta</t>
  </si>
  <si>
    <t>Pin Laricio de Corse, sylvestre, sequoia</t>
  </si>
  <si>
    <t>Afin de simplifier les calculs, nous avons assimilé les croissance du sequoia sempervirens et du pin sylvestre à celle du Pin Laricio de Corse, représentant plus de 75% de ce bouquet d'essences.</t>
  </si>
  <si>
    <t>Tables britanniques pour le Pin Laricio de Corse - fertilité forte</t>
  </si>
  <si>
    <r>
      <rPr>
        <u/>
        <sz val="11"/>
        <color theme="1"/>
        <rFont val="Gill Sans MT"/>
        <family val="2"/>
      </rPr>
      <t>Scénario de référence</t>
    </r>
    <r>
      <rPr>
        <sz val="11"/>
        <color theme="1"/>
        <rFont val="Gill Sans MT"/>
        <family val="2"/>
      </rPr>
      <t xml:space="preserve"> :</t>
    </r>
  </si>
  <si>
    <t>Très bonne - Bonne - Moyenne</t>
  </si>
  <si>
    <r>
      <t>25 ha de cultures ou prairies temporaires :</t>
    </r>
    <r>
      <rPr>
        <b/>
        <sz val="11"/>
        <color theme="1"/>
        <rFont val="Gill Sans MT"/>
        <family val="2"/>
      </rPr>
      <t xml:space="preserve"> maintien en cultures/PT</t>
    </r>
  </si>
  <si>
    <r>
      <t xml:space="preserve">12,6 ha de prairies permanentes : </t>
    </r>
    <r>
      <rPr>
        <b/>
        <sz val="11"/>
        <color theme="1"/>
        <rFont val="Gill Sans MT"/>
        <family val="2"/>
      </rPr>
      <t>maintien en prairies</t>
    </r>
  </si>
  <si>
    <r>
      <rPr>
        <u/>
        <sz val="11"/>
        <color theme="1"/>
        <rFont val="Gill Sans MT"/>
        <family val="2"/>
      </rPr>
      <t>Etat initial</t>
    </r>
    <r>
      <rPr>
        <sz val="11"/>
        <color theme="1"/>
        <rFont val="Gill Sans MT"/>
        <family val="2"/>
      </rPr>
      <t xml:space="preserve"> : terres agricoles (25ha cultures/prairies temp.+12,6ha prairies permanentes)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</si>
</sst>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-* #,##0.00_-;\-* #,##0.00_-;_-* &quot;-&quot;??_-;_-@_-"/>
    <numFmt numFmtId="167" formatCode="0_/&quot; tC/ha&quot;"/>
    <numFmt numFmtId="168" formatCode="0.00&quot; ha&quot;"/>
    <numFmt numFmtId="169" formatCode="_-* #,##0\ _€_-;\-* #,##0\ _€_-;_-* &quot;-&quot;??\ _€_-;_-@_-"/>
    <numFmt numFmtId="170" formatCode="0&quot; m3&quot;"/>
    <numFmt numFmtId="171" formatCode="_-* #,##0&quot; tCO2/ha&quot;\ _€_-;\-* #,##0&quot; tCO2/ha&quot;\ _€_-;_-* &quot;-&quot;??\ _€_-;_-@_-"/>
    <numFmt numFmtId="172" formatCode="0.00&quot; tC02&quot;"/>
    <numFmt numFmtId="173" formatCode="0&quot; ans&quot;"/>
    <numFmt numFmtId="174" formatCode="0.00&quot; m3/an&quot;"/>
    <numFmt numFmtId="175" formatCode="0.0&quot; m3&quot;"/>
    <numFmt numFmtId="176" formatCode="0.0&quot; €/ha/an&quot;"/>
    <numFmt numFmtId="177" formatCode="&quot;à N+&quot;0"/>
    <numFmt numFmtId="178" formatCode="0.0"/>
    <numFmt numFmtId="179" formatCode="_-* #,##0\ &quot;€&quot;_-;\-* #,##0\ &quot;€&quot;_-;_-* &quot;-&quot;??\ &quot;€&quot;_-;_-@_-"/>
    <numFmt numFmtId="180" formatCode="_-* #,##0.0\ _€_-;\-* #,##0.0\ _€_-;_-* &quot;-&quot;??\ _€_-;_-@_-"/>
    <numFmt numFmtId="181" formatCode="&quot;Année &quot;0"/>
    <numFmt numFmtId="182" formatCode="#,##0\ &quot;€&quot;"/>
    <numFmt numFmtId="184" formatCode="0.0000&quot; ha&quot;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i/>
      <sz val="11"/>
      <color theme="1"/>
      <name val="Gill Sans MT"/>
      <family val="2"/>
    </font>
    <font>
      <u/>
      <sz val="11"/>
      <color theme="1"/>
      <name val="Gill Sans MT"/>
      <family val="2"/>
    </font>
    <font>
      <u/>
      <sz val="11"/>
      <color theme="10"/>
      <name val="Gill Sans MT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Times New Roman"/>
      <family val="1"/>
    </font>
    <font>
      <i/>
      <sz val="11"/>
      <color rgb="FFFF0000"/>
      <name val="Gill Sans MT"/>
      <family val="2"/>
    </font>
    <font>
      <sz val="11"/>
      <name val="Gill Sans MT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DashDot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/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thin">
        <color indexed="64"/>
      </bottom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thin">
        <color indexed="64"/>
      </bottom>
      <diagonal/>
    </border>
    <border>
      <left style="mediumDashDot">
        <color rgb="FFFF0000"/>
      </left>
      <right/>
      <top/>
      <bottom/>
      <diagonal/>
    </border>
    <border>
      <left/>
      <right style="mediumDashDot">
        <color rgb="FFFF0000"/>
      </right>
      <top/>
      <bottom/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/>
      <bottom style="mediumDashDot">
        <color rgb="FFFF000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mediumDashDot">
        <color rgb="FFFF0000"/>
      </bottom>
      <diagonal/>
    </border>
    <border>
      <left/>
      <right/>
      <top style="mediumDashDotDot">
        <color rgb="FFFF0000"/>
      </top>
      <bottom/>
      <diagonal/>
    </border>
    <border>
      <left/>
      <right style="mediumDashDotDot">
        <color rgb="FFFF0000"/>
      </right>
      <top style="mediumDashDotDot">
        <color rgb="FFFF0000"/>
      </top>
      <bottom/>
      <diagonal/>
    </border>
    <border>
      <left/>
      <right style="mediumDashDotDot">
        <color rgb="FFFF0000"/>
      </right>
      <top/>
      <bottom/>
      <diagonal/>
    </border>
    <border>
      <left/>
      <right/>
      <top/>
      <bottom style="mediumDashDotDot">
        <color rgb="FFFF0000"/>
      </bottom>
      <diagonal/>
    </border>
    <border>
      <left/>
      <right style="mediumDashDotDot">
        <color rgb="FFFF0000"/>
      </right>
      <top/>
      <bottom style="mediumDashDotDot">
        <color rgb="FFFF0000"/>
      </bottom>
      <diagonal/>
    </border>
    <border>
      <left style="mediumDashDotDot">
        <color rgb="FFFF0000"/>
      </left>
      <right style="mediumDashDotDot">
        <color rgb="FFFF0000"/>
      </right>
      <top style="mediumDashDotDot">
        <color rgb="FFFF0000"/>
      </top>
      <bottom/>
      <diagonal/>
    </border>
    <border>
      <left style="mediumDashDotDot">
        <color rgb="FFFF0000"/>
      </left>
      <right style="mediumDashDotDot">
        <color rgb="FFFF0000"/>
      </right>
      <top/>
      <bottom/>
      <diagonal/>
    </border>
    <border>
      <left style="mediumDashDotDot">
        <color rgb="FFFF0000"/>
      </left>
      <right style="mediumDashDotDot">
        <color rgb="FFFF0000"/>
      </right>
      <top/>
      <bottom style="mediumDashDotDot">
        <color rgb="FFFF0000"/>
      </bottom>
      <diagonal/>
    </border>
    <border>
      <left style="mediumDashDot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DashDot">
        <color rgb="FFFF0000"/>
      </right>
      <top/>
      <bottom/>
      <diagonal/>
    </border>
    <border>
      <left style="mediumDashDot">
        <color rgb="FFFF0000"/>
      </left>
      <right/>
      <top style="mediumDashDot">
        <color rgb="FFFF0000"/>
      </top>
      <bottom style="mediumDashDot">
        <color rgb="FFFF0000"/>
      </bottom>
      <diagonal/>
    </border>
    <border>
      <left/>
      <right/>
      <top style="mediumDashDot">
        <color rgb="FFFF0000"/>
      </top>
      <bottom style="mediumDashDot">
        <color rgb="FFFF0000"/>
      </bottom>
      <diagonal/>
    </border>
    <border>
      <left/>
      <right style="mediumDashDot">
        <color rgb="FFFF0000"/>
      </right>
      <top style="mediumDashDot">
        <color rgb="FFFF0000"/>
      </top>
      <bottom style="mediumDashDot">
        <color rgb="FFFF0000"/>
      </bottom>
      <diagonal/>
    </border>
    <border>
      <left style="thin">
        <color rgb="FFFF0000"/>
      </left>
      <right/>
      <top style="mediumDashDotDot">
        <color rgb="FFFF0000"/>
      </top>
      <bottom/>
      <diagonal/>
    </border>
    <border>
      <left/>
      <right style="thin">
        <color rgb="FFFF0000"/>
      </right>
      <top style="mediumDashDotDot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mediumDashDotDot">
        <color rgb="FFFF0000"/>
      </bottom>
      <diagonal/>
    </border>
    <border>
      <left/>
      <right style="thin">
        <color rgb="FFFF0000"/>
      </right>
      <top/>
      <bottom style="mediumDashDotDot">
        <color rgb="FFFF0000"/>
      </bottom>
      <diagonal/>
    </border>
    <border>
      <left style="mediumDashDotDot">
        <color rgb="FFFF0000"/>
      </left>
      <right/>
      <top style="mediumDashDotDot">
        <color rgb="FFFF0000"/>
      </top>
      <bottom style="mediumDashDotDot">
        <color rgb="FFFF0000"/>
      </bottom>
      <diagonal/>
    </border>
    <border>
      <left/>
      <right style="mediumDashDotDot">
        <color rgb="FFFF0000"/>
      </right>
      <top style="mediumDashDotDot">
        <color rgb="FFFF0000"/>
      </top>
      <bottom style="mediumDashDotDot">
        <color rgb="FFFF0000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429">
    <xf numFmtId="0" fontId="0" fillId="0" borderId="0" xfId="0"/>
    <xf numFmtId="0" fontId="4" fillId="0" borderId="0" xfId="3"/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/>
    <xf numFmtId="9" fontId="0" fillId="0" borderId="0" xfId="2" applyFont="1"/>
    <xf numFmtId="169" fontId="0" fillId="0" borderId="0" xfId="1" applyNumberFormat="1" applyFont="1"/>
    <xf numFmtId="165" fontId="0" fillId="0" borderId="0" xfId="0" applyNumberFormat="1"/>
    <xf numFmtId="165" fontId="0" fillId="0" borderId="0" xfId="1" applyNumberFormat="1" applyFont="1"/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0" xfId="0" applyFont="1" applyBorder="1"/>
    <xf numFmtId="0" fontId="13" fillId="0" borderId="10" xfId="0" applyFont="1" applyBorder="1"/>
    <xf numFmtId="0" fontId="13" fillId="0" borderId="11" xfId="0" applyFont="1" applyBorder="1"/>
    <xf numFmtId="0" fontId="13" fillId="0" borderId="12" xfId="0" applyFont="1" applyBorder="1"/>
    <xf numFmtId="0" fontId="13" fillId="0" borderId="13" xfId="0" applyFont="1" applyBorder="1"/>
    <xf numFmtId="0" fontId="13" fillId="0" borderId="0" xfId="0" applyFont="1"/>
    <xf numFmtId="0" fontId="12" fillId="0" borderId="0" xfId="0" applyFont="1" applyBorder="1"/>
    <xf numFmtId="0" fontId="13" fillId="0" borderId="0" xfId="0" applyFont="1" applyAlignment="1">
      <alignment wrapText="1"/>
    </xf>
    <xf numFmtId="0" fontId="14" fillId="0" borderId="16" xfId="0" applyFont="1" applyBorder="1" applyAlignment="1">
      <alignment horizontal="center" vertical="center" wrapText="1"/>
    </xf>
    <xf numFmtId="0" fontId="3" fillId="0" borderId="0" xfId="0" applyFont="1" applyAlignment="1"/>
    <xf numFmtId="165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16" fillId="0" borderId="0" xfId="0" applyFont="1" applyBorder="1"/>
    <xf numFmtId="0" fontId="12" fillId="0" borderId="0" xfId="0" applyFont="1"/>
    <xf numFmtId="0" fontId="16" fillId="0" borderId="0" xfId="0" applyFont="1"/>
    <xf numFmtId="172" fontId="12" fillId="0" borderId="0" xfId="0" applyNumberFormat="1" applyFont="1" applyBorder="1"/>
    <xf numFmtId="0" fontId="12" fillId="0" borderId="0" xfId="0" applyFont="1" applyBorder="1" applyAlignment="1">
      <alignment horizontal="right"/>
    </xf>
    <xf numFmtId="165" fontId="0" fillId="0" borderId="0" xfId="1" applyNumberFormat="1" applyFont="1" applyBorder="1" applyAlignment="1">
      <alignment horizontal="center"/>
    </xf>
    <xf numFmtId="165" fontId="0" fillId="0" borderId="27" xfId="1" applyNumberFormat="1" applyFont="1" applyBorder="1" applyAlignment="1">
      <alignment horizontal="center"/>
    </xf>
    <xf numFmtId="165" fontId="0" fillId="0" borderId="2" xfId="1" applyNumberFormat="1" applyFont="1" applyBorder="1" applyAlignment="1">
      <alignment horizontal="center"/>
    </xf>
    <xf numFmtId="165" fontId="0" fillId="0" borderId="35" xfId="1" applyNumberFormat="1" applyFont="1" applyBorder="1" applyAlignment="1">
      <alignment horizontal="center"/>
    </xf>
    <xf numFmtId="165" fontId="0" fillId="0" borderId="38" xfId="1" applyNumberFormat="1" applyFont="1" applyBorder="1" applyAlignment="1">
      <alignment horizontal="center"/>
    </xf>
    <xf numFmtId="165" fontId="0" fillId="0" borderId="23" xfId="0" applyNumberFormat="1" applyBorder="1"/>
    <xf numFmtId="165" fontId="0" fillId="0" borderId="24" xfId="0" applyNumberFormat="1" applyBorder="1"/>
    <xf numFmtId="0" fontId="0" fillId="0" borderId="33" xfId="0" applyBorder="1"/>
    <xf numFmtId="0" fontId="0" fillId="0" borderId="34" xfId="0" applyBorder="1"/>
    <xf numFmtId="170" fontId="0" fillId="0" borderId="34" xfId="0" applyNumberFormat="1" applyBorder="1"/>
    <xf numFmtId="0" fontId="0" fillId="0" borderId="36" xfId="0" applyBorder="1"/>
    <xf numFmtId="170" fontId="0" fillId="0" borderId="37" xfId="0" applyNumberFormat="1" applyBorder="1"/>
    <xf numFmtId="0" fontId="0" fillId="0" borderId="40" xfId="0" applyBorder="1"/>
    <xf numFmtId="170" fontId="0" fillId="0" borderId="41" xfId="0" applyNumberFormat="1" applyBorder="1"/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174" fontId="0" fillId="0" borderId="42" xfId="1" applyNumberFormat="1" applyFont="1" applyBorder="1" applyAlignment="1">
      <alignment horizontal="center"/>
    </xf>
    <xf numFmtId="174" fontId="0" fillId="0" borderId="35" xfId="1" applyNumberFormat="1" applyFont="1" applyBorder="1" applyAlignment="1">
      <alignment horizontal="center"/>
    </xf>
    <xf numFmtId="174" fontId="0" fillId="0" borderId="38" xfId="1" applyNumberFormat="1" applyFont="1" applyBorder="1" applyAlignment="1">
      <alignment horizontal="center"/>
    </xf>
    <xf numFmtId="165" fontId="0" fillId="0" borderId="14" xfId="1" applyNumberFormat="1" applyFont="1" applyBorder="1" applyAlignment="1">
      <alignment horizontal="center"/>
    </xf>
    <xf numFmtId="165" fontId="11" fillId="0" borderId="14" xfId="1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165" fontId="11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19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165" fontId="9" fillId="0" borderId="14" xfId="1" applyNumberFormat="1" applyFont="1" applyBorder="1" applyAlignment="1">
      <alignment horizontal="center" vertical="center" wrapText="1"/>
    </xf>
    <xf numFmtId="165" fontId="3" fillId="0" borderId="14" xfId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165" fontId="18" fillId="0" borderId="46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vertical="center" wrapText="1"/>
    </xf>
    <xf numFmtId="165" fontId="0" fillId="0" borderId="18" xfId="1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0" fillId="0" borderId="23" xfId="1" applyNumberFormat="1" applyFont="1" applyBorder="1" applyAlignment="1">
      <alignment horizontal="center"/>
    </xf>
    <xf numFmtId="165" fontId="0" fillId="0" borderId="24" xfId="1" applyNumberFormat="1" applyFont="1" applyBorder="1" applyAlignment="1">
      <alignment horizontal="center"/>
    </xf>
    <xf numFmtId="171" fontId="20" fillId="0" borderId="0" xfId="0" applyNumberFormat="1" applyFont="1" applyFill="1"/>
    <xf numFmtId="169" fontId="21" fillId="0" borderId="0" xfId="1" applyNumberFormat="1" applyFont="1" applyAlignment="1">
      <alignment horizontal="center"/>
    </xf>
    <xf numFmtId="0" fontId="21" fillId="0" borderId="0" xfId="0" applyFont="1"/>
    <xf numFmtId="0" fontId="20" fillId="0" borderId="0" xfId="0" applyFont="1" applyAlignment="1">
      <alignment horizontal="right"/>
    </xf>
    <xf numFmtId="171" fontId="21" fillId="0" borderId="0" xfId="0" applyNumberFormat="1" applyFont="1" applyFill="1"/>
    <xf numFmtId="165" fontId="21" fillId="0" borderId="0" xfId="1" applyNumberFormat="1" applyFont="1" applyAlignment="1">
      <alignment horizontal="center"/>
    </xf>
    <xf numFmtId="0" fontId="20" fillId="0" borderId="0" xfId="0" applyFont="1"/>
    <xf numFmtId="171" fontId="21" fillId="0" borderId="0" xfId="0" applyNumberFormat="1" applyFont="1"/>
    <xf numFmtId="171" fontId="3" fillId="0" borderId="0" xfId="0" applyNumberFormat="1" applyFont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8" fillId="0" borderId="1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3" fillId="0" borderId="0" xfId="0" applyFont="1"/>
    <xf numFmtId="0" fontId="0" fillId="0" borderId="30" xfId="0" applyBorder="1" applyAlignment="1">
      <alignment horizontal="center"/>
    </xf>
    <xf numFmtId="167" fontId="11" fillId="0" borderId="32" xfId="0" applyNumberFormat="1" applyFont="1" applyBorder="1" applyAlignment="1">
      <alignment horizontal="center"/>
    </xf>
    <xf numFmtId="0" fontId="0" fillId="0" borderId="33" xfId="0" applyBorder="1" applyAlignment="1">
      <alignment horizontal="center"/>
    </xf>
    <xf numFmtId="167" fontId="11" fillId="0" borderId="35" xfId="0" applyNumberFormat="1" applyFont="1" applyBorder="1" applyAlignment="1">
      <alignment horizontal="center"/>
    </xf>
    <xf numFmtId="173" fontId="0" fillId="0" borderId="35" xfId="1" applyNumberFormat="1" applyFont="1" applyBorder="1" applyAlignment="1">
      <alignment horizontal="center"/>
    </xf>
    <xf numFmtId="0" fontId="2" fillId="3" borderId="35" xfId="0" applyFont="1" applyFill="1" applyBorder="1" applyAlignment="1">
      <alignment wrapText="1"/>
    </xf>
    <xf numFmtId="173" fontId="2" fillId="3" borderId="35" xfId="1" applyNumberFormat="1" applyFont="1" applyFill="1" applyBorder="1" applyAlignment="1">
      <alignment horizontal="center"/>
    </xf>
    <xf numFmtId="165" fontId="2" fillId="3" borderId="35" xfId="1" applyNumberFormat="1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167" fontId="11" fillId="0" borderId="38" xfId="0" applyNumberFormat="1" applyFont="1" applyBorder="1" applyAlignment="1">
      <alignment horizontal="center"/>
    </xf>
    <xf numFmtId="165" fontId="0" fillId="0" borderId="0" xfId="1" applyFont="1" applyBorder="1" applyAlignment="1">
      <alignment horizontal="center"/>
    </xf>
    <xf numFmtId="165" fontId="0" fillId="0" borderId="2" xfId="1" applyFont="1" applyBorder="1" applyAlignment="1">
      <alignment horizontal="center"/>
    </xf>
    <xf numFmtId="165" fontId="8" fillId="3" borderId="38" xfId="1" applyNumberFormat="1" applyFont="1" applyFill="1" applyBorder="1" applyAlignment="1">
      <alignment horizontal="center"/>
    </xf>
    <xf numFmtId="0" fontId="12" fillId="0" borderId="50" xfId="0" applyFont="1" applyBorder="1" applyAlignment="1">
      <alignment wrapText="1"/>
    </xf>
    <xf numFmtId="0" fontId="13" fillId="0" borderId="51" xfId="0" applyFont="1" applyBorder="1" applyAlignment="1">
      <alignment wrapText="1"/>
    </xf>
    <xf numFmtId="0" fontId="13" fillId="0" borderId="51" xfId="0" applyFont="1" applyBorder="1"/>
    <xf numFmtId="0" fontId="12" fillId="0" borderId="52" xfId="0" applyFont="1" applyBorder="1"/>
    <xf numFmtId="0" fontId="13" fillId="0" borderId="54" xfId="0" applyFont="1" applyBorder="1"/>
    <xf numFmtId="0" fontId="13" fillId="0" borderId="55" xfId="0" applyFont="1" applyBorder="1"/>
    <xf numFmtId="172" fontId="12" fillId="0" borderId="55" xfId="0" applyNumberFormat="1" applyFont="1" applyBorder="1"/>
    <xf numFmtId="172" fontId="12" fillId="0" borderId="56" xfId="0" applyNumberFormat="1" applyFont="1" applyBorder="1"/>
    <xf numFmtId="171" fontId="14" fillId="0" borderId="47" xfId="0" applyNumberFormat="1" applyFont="1" applyBorder="1" applyAlignment="1">
      <alignment horizontal="center" vertical="center"/>
    </xf>
    <xf numFmtId="171" fontId="14" fillId="0" borderId="34" xfId="0" applyNumberFormat="1" applyFont="1" applyBorder="1" applyAlignment="1">
      <alignment horizontal="center" vertical="center"/>
    </xf>
    <xf numFmtId="168" fontId="13" fillId="0" borderId="49" xfId="0" applyNumberFormat="1" applyFont="1" applyBorder="1" applyAlignment="1">
      <alignment horizontal="center" vertical="center"/>
    </xf>
    <xf numFmtId="172" fontId="15" fillId="0" borderId="0" xfId="0" applyNumberFormat="1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171" fontId="14" fillId="0" borderId="53" xfId="0" applyNumberFormat="1" applyFont="1" applyBorder="1" applyAlignment="1">
      <alignment horizontal="center" vertical="center"/>
    </xf>
    <xf numFmtId="168" fontId="13" fillId="0" borderId="62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6" fillId="0" borderId="0" xfId="0" applyFont="1" applyAlignment="1">
      <alignment horizontal="right"/>
    </xf>
    <xf numFmtId="168" fontId="13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72" fontId="12" fillId="0" borderId="7" xfId="0" applyNumberFormat="1" applyFont="1" applyBorder="1"/>
    <xf numFmtId="9" fontId="14" fillId="0" borderId="26" xfId="2" applyFont="1" applyBorder="1" applyAlignment="1">
      <alignment horizontal="center" vertical="center" wrapText="1"/>
    </xf>
    <xf numFmtId="9" fontId="11" fillId="0" borderId="41" xfId="2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3" fillId="0" borderId="63" xfId="0" applyFont="1" applyBorder="1"/>
    <xf numFmtId="0" fontId="0" fillId="0" borderId="0" xfId="0" applyFill="1"/>
    <xf numFmtId="0" fontId="6" fillId="4" borderId="0" xfId="0" applyFont="1" applyFill="1" applyAlignment="1">
      <alignment vertical="center" wrapText="1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70" fontId="2" fillId="3" borderId="31" xfId="0" applyNumberFormat="1" applyFont="1" applyFill="1" applyBorder="1"/>
    <xf numFmtId="170" fontId="2" fillId="3" borderId="34" xfId="0" applyNumberFormat="1" applyFont="1" applyFill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5" fontId="0" fillId="0" borderId="41" xfId="0" applyNumberFormat="1" applyBorder="1"/>
    <xf numFmtId="165" fontId="0" fillId="0" borderId="34" xfId="0" applyNumberFormat="1" applyBorder="1"/>
    <xf numFmtId="174" fontId="24" fillId="0" borderId="35" xfId="1" applyNumberFormat="1" applyFont="1" applyBorder="1" applyAlignment="1">
      <alignment horizontal="center"/>
    </xf>
    <xf numFmtId="165" fontId="0" fillId="0" borderId="29" xfId="1" applyNumberFormat="1" applyFont="1" applyBorder="1" applyAlignment="1">
      <alignment horizontal="center"/>
    </xf>
    <xf numFmtId="165" fontId="0" fillId="0" borderId="37" xfId="0" applyNumberFormat="1" applyBorder="1"/>
    <xf numFmtId="175" fontId="2" fillId="3" borderId="30" xfId="0" applyNumberFormat="1" applyFont="1" applyFill="1" applyBorder="1"/>
    <xf numFmtId="9" fontId="2" fillId="3" borderId="31" xfId="2" applyFont="1" applyFill="1" applyBorder="1" applyAlignment="1">
      <alignment horizontal="center"/>
    </xf>
    <xf numFmtId="9" fontId="2" fillId="3" borderId="32" xfId="2" applyFont="1" applyFill="1" applyBorder="1" applyAlignment="1">
      <alignment horizontal="center"/>
    </xf>
    <xf numFmtId="175" fontId="2" fillId="3" borderId="33" xfId="0" applyNumberFormat="1" applyFont="1" applyFill="1" applyBorder="1"/>
    <xf numFmtId="9" fontId="2" fillId="3" borderId="34" xfId="2" applyFont="1" applyFill="1" applyBorder="1" applyAlignment="1">
      <alignment horizontal="center"/>
    </xf>
    <xf numFmtId="9" fontId="2" fillId="3" borderId="35" xfId="2" applyFont="1" applyFill="1" applyBorder="1" applyAlignment="1">
      <alignment horizontal="center"/>
    </xf>
    <xf numFmtId="9" fontId="2" fillId="3" borderId="38" xfId="2" applyFont="1" applyFill="1" applyBorder="1" applyAlignment="1">
      <alignment horizontal="center"/>
    </xf>
    <xf numFmtId="1" fontId="0" fillId="0" borderId="34" xfId="0" applyNumberFormat="1" applyBorder="1"/>
    <xf numFmtId="1" fontId="0" fillId="0" borderId="37" xfId="0" applyNumberFormat="1" applyBorder="1"/>
    <xf numFmtId="170" fontId="2" fillId="3" borderId="37" xfId="0" applyNumberFormat="1" applyFont="1" applyFill="1" applyBorder="1"/>
    <xf numFmtId="165" fontId="0" fillId="0" borderId="65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2" fillId="0" borderId="0" xfId="0" applyNumberFormat="1" applyFont="1"/>
    <xf numFmtId="165" fontId="0" fillId="2" borderId="14" xfId="1" applyNumberFormat="1" applyFont="1" applyFill="1" applyBorder="1" applyAlignment="1">
      <alignment horizontal="center"/>
    </xf>
    <xf numFmtId="0" fontId="2" fillId="0" borderId="0" xfId="0" applyFont="1" applyFill="1"/>
    <xf numFmtId="172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0" xfId="3" applyBorder="1"/>
    <xf numFmtId="165" fontId="0" fillId="2" borderId="23" xfId="1" applyNumberFormat="1" applyFont="1" applyFill="1" applyBorder="1" applyAlignment="1">
      <alignment horizontal="center"/>
    </xf>
    <xf numFmtId="165" fontId="3" fillId="2" borderId="28" xfId="1" applyNumberFormat="1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7" fillId="0" borderId="0" xfId="3" applyFont="1" applyAlignment="1"/>
    <xf numFmtId="1" fontId="0" fillId="0" borderId="64" xfId="0" applyNumberFormat="1" applyBorder="1"/>
    <xf numFmtId="9" fontId="11" fillId="0" borderId="31" xfId="2" applyFont="1" applyBorder="1" applyAlignment="1">
      <alignment horizontal="center"/>
    </xf>
    <xf numFmtId="1" fontId="0" fillId="0" borderId="20" xfId="0" applyNumberFormat="1" applyBorder="1"/>
    <xf numFmtId="172" fontId="13" fillId="0" borderId="0" xfId="0" applyNumberFormat="1" applyFont="1" applyBorder="1"/>
    <xf numFmtId="165" fontId="3" fillId="0" borderId="14" xfId="5" applyNumberFormat="1" applyFont="1" applyBorder="1" applyAlignment="1">
      <alignment horizontal="center" vertical="center" wrapText="1"/>
    </xf>
    <xf numFmtId="165" fontId="0" fillId="0" borderId="0" xfId="5" applyNumberFormat="1" applyFont="1" applyBorder="1" applyAlignment="1">
      <alignment horizontal="center"/>
    </xf>
    <xf numFmtId="165" fontId="0" fillId="0" borderId="23" xfId="5" applyNumberFormat="1" applyFont="1" applyBorder="1" applyAlignment="1">
      <alignment horizontal="center"/>
    </xf>
    <xf numFmtId="169" fontId="9" fillId="0" borderId="0" xfId="1" applyNumberFormat="1" applyFont="1" applyBorder="1" applyAlignment="1">
      <alignment horizontal="center"/>
    </xf>
    <xf numFmtId="169" fontId="19" fillId="0" borderId="14" xfId="1" applyNumberFormat="1" applyFont="1" applyBorder="1" applyAlignment="1">
      <alignment horizontal="center" vertical="center" wrapText="1"/>
    </xf>
    <xf numFmtId="169" fontId="9" fillId="0" borderId="29" xfId="1" applyNumberFormat="1" applyFont="1" applyBorder="1" applyAlignment="1">
      <alignment horizontal="center"/>
    </xf>
    <xf numFmtId="169" fontId="9" fillId="0" borderId="14" xfId="1" applyNumberFormat="1" applyFont="1" applyBorder="1" applyAlignment="1">
      <alignment horizontal="center" vertical="center" wrapText="1"/>
    </xf>
    <xf numFmtId="175" fontId="2" fillId="2" borderId="36" xfId="0" applyNumberFormat="1" applyFont="1" applyFill="1" applyBorder="1"/>
    <xf numFmtId="9" fontId="2" fillId="2" borderId="34" xfId="2" applyFont="1" applyFill="1" applyBorder="1" applyAlignment="1">
      <alignment horizontal="center"/>
    </xf>
    <xf numFmtId="9" fontId="11" fillId="2" borderId="41" xfId="2" applyFont="1" applyFill="1" applyBorder="1" applyAlignment="1">
      <alignment horizontal="center"/>
    </xf>
    <xf numFmtId="173" fontId="0" fillId="2" borderId="21" xfId="0" applyNumberFormat="1" applyFill="1" applyBorder="1"/>
    <xf numFmtId="165" fontId="11" fillId="0" borderId="0" xfId="5" applyNumberFormat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1" fontId="0" fillId="0" borderId="66" xfId="0" applyNumberFormat="1" applyBorder="1"/>
    <xf numFmtId="165" fontId="5" fillId="0" borderId="0" xfId="1" applyNumberFormat="1" applyFont="1" applyAlignment="1">
      <alignment vertical="center" wrapText="1"/>
    </xf>
    <xf numFmtId="165" fontId="5" fillId="0" borderId="67" xfId="1" applyNumberFormat="1" applyFont="1" applyBorder="1" applyAlignment="1">
      <alignment vertical="center" wrapText="1"/>
    </xf>
    <xf numFmtId="0" fontId="25" fillId="0" borderId="0" xfId="0" applyFont="1" applyAlignment="1">
      <alignment horizontal="left"/>
    </xf>
    <xf numFmtId="0" fontId="2" fillId="2" borderId="0" xfId="0" applyFont="1" applyFill="1" applyAlignment="1">
      <alignment horizontal="right"/>
    </xf>
    <xf numFmtId="165" fontId="0" fillId="2" borderId="0" xfId="1" applyNumberFormat="1" applyFont="1" applyFill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165" fontId="0" fillId="0" borderId="0" xfId="1" applyNumberFormat="1" applyFont="1" applyFill="1" applyBorder="1" applyAlignment="1">
      <alignment horizontal="center"/>
    </xf>
    <xf numFmtId="165" fontId="0" fillId="0" borderId="14" xfId="1" applyNumberFormat="1" applyFont="1" applyFill="1" applyBorder="1" applyAlignment="1">
      <alignment horizontal="center"/>
    </xf>
    <xf numFmtId="165" fontId="0" fillId="0" borderId="2" xfId="1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165" fontId="2" fillId="0" borderId="0" xfId="0" applyNumberFormat="1" applyFont="1" applyFill="1"/>
    <xf numFmtId="165" fontId="0" fillId="0" borderId="23" xfId="1" applyNumberFormat="1" applyFont="1" applyFill="1" applyBorder="1" applyAlignment="1">
      <alignment horizontal="center"/>
    </xf>
    <xf numFmtId="165" fontId="1" fillId="0" borderId="2" xfId="1" applyNumberFormat="1" applyFont="1" applyFill="1" applyBorder="1" applyAlignment="1">
      <alignment horizontal="center"/>
    </xf>
    <xf numFmtId="165" fontId="1" fillId="0" borderId="14" xfId="1" applyNumberFormat="1" applyFont="1" applyFill="1" applyBorder="1" applyAlignment="1">
      <alignment horizontal="center"/>
    </xf>
    <xf numFmtId="165" fontId="3" fillId="0" borderId="46" xfId="1" applyNumberFormat="1" applyFont="1" applyFill="1" applyBorder="1" applyAlignment="1">
      <alignment horizontal="center"/>
    </xf>
    <xf numFmtId="165" fontId="0" fillId="0" borderId="24" xfId="1" applyNumberFormat="1" applyFont="1" applyFill="1" applyBorder="1" applyAlignment="1">
      <alignment horizontal="center"/>
    </xf>
    <xf numFmtId="0" fontId="26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169" fontId="2" fillId="0" borderId="0" xfId="1" applyNumberFormat="1" applyFont="1" applyFill="1"/>
    <xf numFmtId="169" fontId="11" fillId="0" borderId="33" xfId="1" applyNumberFormat="1" applyFont="1" applyFill="1" applyBorder="1"/>
    <xf numFmtId="169" fontId="11" fillId="0" borderId="34" xfId="1" applyNumberFormat="1" applyFont="1" applyFill="1" applyBorder="1"/>
    <xf numFmtId="169" fontId="11" fillId="0" borderId="35" xfId="1" applyNumberFormat="1" applyFont="1" applyFill="1" applyBorder="1"/>
    <xf numFmtId="169" fontId="11" fillId="0" borderId="36" xfId="1" applyNumberFormat="1" applyFont="1" applyFill="1" applyBorder="1"/>
    <xf numFmtId="169" fontId="11" fillId="0" borderId="37" xfId="1" applyNumberFormat="1" applyFont="1" applyFill="1" applyBorder="1"/>
    <xf numFmtId="169" fontId="11" fillId="0" borderId="38" xfId="1" applyNumberFormat="1" applyFont="1" applyFill="1" applyBorder="1"/>
    <xf numFmtId="0" fontId="18" fillId="0" borderId="43" xfId="0" applyFont="1" applyFill="1" applyBorder="1" applyAlignment="1">
      <alignment horizontal="center"/>
    </xf>
    <xf numFmtId="0" fontId="18" fillId="0" borderId="44" xfId="0" applyFont="1" applyFill="1" applyBorder="1" applyAlignment="1">
      <alignment horizontal="center"/>
    </xf>
    <xf numFmtId="0" fontId="18" fillId="0" borderId="45" xfId="0" applyFont="1" applyFill="1" applyBorder="1" applyAlignment="1">
      <alignment horizontal="center"/>
    </xf>
    <xf numFmtId="177" fontId="2" fillId="0" borderId="0" xfId="1" applyNumberFormat="1" applyFont="1" applyFill="1"/>
    <xf numFmtId="9" fontId="11" fillId="0" borderId="31" xfId="2" applyFont="1" applyFill="1" applyBorder="1" applyAlignment="1">
      <alignment horizontal="center"/>
    </xf>
    <xf numFmtId="9" fontId="11" fillId="0" borderId="41" xfId="2" applyFont="1" applyFill="1" applyBorder="1" applyAlignment="1">
      <alignment horizontal="center"/>
    </xf>
    <xf numFmtId="9" fontId="11" fillId="0" borderId="37" xfId="2" applyFont="1" applyFill="1" applyBorder="1" applyAlignment="1">
      <alignment horizontal="center"/>
    </xf>
    <xf numFmtId="175" fontId="11" fillId="0" borderId="30" xfId="0" applyNumberFormat="1" applyFont="1" applyFill="1" applyBorder="1"/>
    <xf numFmtId="9" fontId="11" fillId="0" borderId="32" xfId="2" applyFont="1" applyFill="1" applyBorder="1" applyAlignment="1">
      <alignment horizontal="center"/>
    </xf>
    <xf numFmtId="175" fontId="11" fillId="0" borderId="33" xfId="0" applyNumberFormat="1" applyFont="1" applyFill="1" applyBorder="1"/>
    <xf numFmtId="9" fontId="11" fillId="0" borderId="34" xfId="2" applyFont="1" applyFill="1" applyBorder="1" applyAlignment="1">
      <alignment horizontal="center"/>
    </xf>
    <xf numFmtId="9" fontId="11" fillId="0" borderId="35" xfId="2" applyFont="1" applyFill="1" applyBorder="1" applyAlignment="1">
      <alignment horizontal="center"/>
    </xf>
    <xf numFmtId="175" fontId="11" fillId="0" borderId="36" xfId="0" applyNumberFormat="1" applyFont="1" applyFill="1" applyBorder="1"/>
    <xf numFmtId="9" fontId="11" fillId="0" borderId="38" xfId="2" applyFont="1" applyFill="1" applyBorder="1" applyAlignment="1">
      <alignment horizontal="center"/>
    </xf>
    <xf numFmtId="0" fontId="18" fillId="0" borderId="63" xfId="0" applyFont="1" applyFill="1" applyBorder="1"/>
    <xf numFmtId="169" fontId="11" fillId="0" borderId="30" xfId="1" applyNumberFormat="1" applyFont="1" applyFill="1" applyBorder="1"/>
    <xf numFmtId="169" fontId="11" fillId="0" borderId="31" xfId="1" applyNumberFormat="1" applyFont="1" applyFill="1" applyBorder="1"/>
    <xf numFmtId="169" fontId="11" fillId="0" borderId="32" xfId="1" applyNumberFormat="1" applyFont="1" applyFill="1" applyBorder="1"/>
    <xf numFmtId="9" fontId="11" fillId="0" borderId="70" xfId="2" applyFont="1" applyFill="1" applyBorder="1" applyAlignment="1">
      <alignment horizontal="center"/>
    </xf>
    <xf numFmtId="0" fontId="3" fillId="0" borderId="0" xfId="0" applyFont="1" applyFill="1"/>
    <xf numFmtId="0" fontId="22" fillId="0" borderId="1" xfId="0" applyFont="1" applyBorder="1" applyAlignment="1">
      <alignment horizontal="center"/>
    </xf>
    <xf numFmtId="169" fontId="19" fillId="0" borderId="17" xfId="1" applyNumberFormat="1" applyFont="1" applyBorder="1" applyAlignment="1">
      <alignment horizontal="center" vertical="center" wrapText="1"/>
    </xf>
    <xf numFmtId="169" fontId="19" fillId="0" borderId="18" xfId="1" applyNumberFormat="1" applyFont="1" applyBorder="1" applyAlignment="1">
      <alignment horizontal="center" vertical="center" wrapText="1"/>
    </xf>
    <xf numFmtId="169" fontId="9" fillId="0" borderId="4" xfId="1" applyNumberFormat="1" applyFont="1" applyBorder="1" applyAlignment="1">
      <alignment horizontal="center"/>
    </xf>
    <xf numFmtId="169" fontId="0" fillId="0" borderId="0" xfId="1" applyNumberFormat="1" applyFont="1" applyBorder="1"/>
    <xf numFmtId="169" fontId="9" fillId="0" borderId="27" xfId="1" applyNumberFormat="1" applyFont="1" applyBorder="1" applyAlignment="1">
      <alignment horizontal="center"/>
    </xf>
    <xf numFmtId="169" fontId="0" fillId="0" borderId="2" xfId="1" applyNumberFormat="1" applyFont="1" applyBorder="1"/>
    <xf numFmtId="169" fontId="9" fillId="0" borderId="2" xfId="1" applyNumberFormat="1" applyFont="1" applyBorder="1" applyAlignment="1">
      <alignment horizontal="center"/>
    </xf>
    <xf numFmtId="169" fontId="9" fillId="0" borderId="24" xfId="1" applyNumberFormat="1" applyFont="1" applyBorder="1" applyAlignment="1">
      <alignment horizontal="center"/>
    </xf>
    <xf numFmtId="169" fontId="0" fillId="0" borderId="3" xfId="1" applyNumberFormat="1" applyFont="1" applyBorder="1" applyAlignment="1">
      <alignment horizontal="center"/>
    </xf>
    <xf numFmtId="165" fontId="11" fillId="0" borderId="5" xfId="5" applyNumberFormat="1" applyFont="1" applyFill="1" applyBorder="1" applyAlignment="1">
      <alignment horizontal="center"/>
    </xf>
    <xf numFmtId="165" fontId="0" fillId="0" borderId="5" xfId="5" applyNumberFormat="1" applyFont="1" applyBorder="1" applyAlignment="1">
      <alignment horizontal="center"/>
    </xf>
    <xf numFmtId="165" fontId="0" fillId="0" borderId="22" xfId="5" applyNumberFormat="1" applyFont="1" applyBorder="1" applyAlignment="1">
      <alignment horizontal="center"/>
    </xf>
    <xf numFmtId="169" fontId="0" fillId="0" borderId="4" xfId="1" applyNumberFormat="1" applyFont="1" applyBorder="1" applyAlignment="1">
      <alignment horizontal="center"/>
    </xf>
    <xf numFmtId="169" fontId="0" fillId="0" borderId="29" xfId="1" applyNumberFormat="1" applyFont="1" applyBorder="1" applyAlignment="1">
      <alignment horizontal="center"/>
    </xf>
    <xf numFmtId="165" fontId="11" fillId="0" borderId="2" xfId="5" applyNumberFormat="1" applyFont="1" applyFill="1" applyBorder="1" applyAlignment="1">
      <alignment horizontal="center"/>
    </xf>
    <xf numFmtId="165" fontId="0" fillId="0" borderId="2" xfId="5" applyNumberFormat="1" applyFont="1" applyBorder="1" applyAlignment="1">
      <alignment horizontal="center"/>
    </xf>
    <xf numFmtId="165" fontId="0" fillId="0" borderId="24" xfId="5" applyNumberFormat="1" applyFont="1" applyBorder="1" applyAlignment="1">
      <alignment horizontal="center"/>
    </xf>
    <xf numFmtId="178" fontId="27" fillId="0" borderId="0" xfId="0" applyNumberFormat="1" applyFont="1" applyAlignment="1">
      <alignment vertical="center" wrapText="1"/>
    </xf>
    <xf numFmtId="0" fontId="27" fillId="2" borderId="0" xfId="0" applyFont="1" applyFill="1" applyAlignment="1">
      <alignment vertical="center" wrapText="1"/>
    </xf>
    <xf numFmtId="0" fontId="3" fillId="0" borderId="0" xfId="0" applyFont="1"/>
    <xf numFmtId="168" fontId="18" fillId="0" borderId="72" xfId="0" applyNumberFormat="1" applyFont="1" applyFill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18" fillId="0" borderId="74" xfId="0" applyFont="1" applyFill="1" applyBorder="1" applyAlignment="1">
      <alignment horizontal="center"/>
    </xf>
    <xf numFmtId="1" fontId="11" fillId="0" borderId="75" xfId="0" applyNumberFormat="1" applyFont="1" applyFill="1" applyBorder="1"/>
    <xf numFmtId="179" fontId="18" fillId="0" borderId="76" xfId="4" applyNumberFormat="1" applyFont="1" applyFill="1" applyBorder="1"/>
    <xf numFmtId="1" fontId="11" fillId="0" borderId="77" xfId="0" applyNumberFormat="1" applyFont="1" applyFill="1" applyBorder="1"/>
    <xf numFmtId="179" fontId="18" fillId="0" borderId="78" xfId="4" applyNumberFormat="1" applyFont="1" applyFill="1" applyBorder="1"/>
    <xf numFmtId="173" fontId="11" fillId="0" borderId="79" xfId="0" applyNumberFormat="1" applyFont="1" applyFill="1" applyBorder="1"/>
    <xf numFmtId="179" fontId="18" fillId="0" borderId="80" xfId="4" applyNumberFormat="1" applyFont="1" applyFill="1" applyBorder="1"/>
    <xf numFmtId="0" fontId="11" fillId="0" borderId="81" xfId="0" applyFont="1" applyFill="1" applyBorder="1"/>
    <xf numFmtId="0" fontId="11" fillId="0" borderId="0" xfId="0" applyFont="1" applyFill="1" applyBorder="1"/>
    <xf numFmtId="0" fontId="3" fillId="0" borderId="82" xfId="0" applyFont="1" applyBorder="1"/>
    <xf numFmtId="0" fontId="18" fillId="0" borderId="73" xfId="0" applyFont="1" applyFill="1" applyBorder="1" applyAlignment="1">
      <alignment horizontal="center"/>
    </xf>
    <xf numFmtId="0" fontId="11" fillId="0" borderId="75" xfId="0" applyFont="1" applyFill="1" applyBorder="1"/>
    <xf numFmtId="0" fontId="11" fillId="0" borderId="77" xfId="0" applyFont="1" applyFill="1" applyBorder="1"/>
    <xf numFmtId="0" fontId="11" fillId="0" borderId="83" xfId="0" applyFont="1" applyFill="1" applyBorder="1"/>
    <xf numFmtId="175" fontId="11" fillId="0" borderId="84" xfId="0" applyNumberFormat="1" applyFont="1" applyFill="1" applyBorder="1"/>
    <xf numFmtId="9" fontId="11" fillId="0" borderId="85" xfId="2" applyFont="1" applyFill="1" applyBorder="1" applyAlignment="1">
      <alignment horizontal="center"/>
    </xf>
    <xf numFmtId="9" fontId="11" fillId="0" borderId="86" xfId="2" applyFont="1" applyFill="1" applyBorder="1" applyAlignment="1">
      <alignment horizontal="center"/>
    </xf>
    <xf numFmtId="9" fontId="11" fillId="0" borderId="87" xfId="2" applyFont="1" applyFill="1" applyBorder="1" applyAlignment="1">
      <alignment horizontal="center"/>
    </xf>
    <xf numFmtId="169" fontId="11" fillId="0" borderId="84" xfId="1" applyNumberFormat="1" applyFont="1" applyFill="1" applyBorder="1"/>
    <xf numFmtId="169" fontId="11" fillId="0" borderId="85" xfId="1" applyNumberFormat="1" applyFont="1" applyFill="1" applyBorder="1"/>
    <xf numFmtId="169" fontId="11" fillId="0" borderId="87" xfId="1" applyNumberFormat="1" applyFont="1" applyFill="1" applyBorder="1"/>
    <xf numFmtId="179" fontId="18" fillId="0" borderId="88" xfId="4" applyNumberFormat="1" applyFont="1" applyFill="1" applyBorder="1"/>
    <xf numFmtId="0" fontId="0" fillId="0" borderId="89" xfId="0" applyBorder="1"/>
    <xf numFmtId="0" fontId="3" fillId="0" borderId="89" xfId="0" applyFont="1" applyBorder="1"/>
    <xf numFmtId="0" fontId="0" fillId="0" borderId="89" xfId="0" applyFill="1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169" fontId="0" fillId="0" borderId="91" xfId="1" applyNumberFormat="1" applyFont="1" applyBorder="1"/>
    <xf numFmtId="173" fontId="3" fillId="0" borderId="0" xfId="0" applyNumberFormat="1" applyFont="1" applyFill="1" applyBorder="1"/>
    <xf numFmtId="165" fontId="0" fillId="0" borderId="0" xfId="1" applyNumberFormat="1" applyFont="1" applyBorder="1"/>
    <xf numFmtId="168" fontId="3" fillId="0" borderId="0" xfId="0" applyNumberFormat="1" applyFont="1" applyBorder="1"/>
    <xf numFmtId="0" fontId="2" fillId="3" borderId="0" xfId="0" applyFont="1" applyFill="1" applyBorder="1"/>
    <xf numFmtId="9" fontId="8" fillId="3" borderId="0" xfId="0" applyNumberFormat="1" applyFont="1" applyFill="1" applyBorder="1"/>
    <xf numFmtId="1" fontId="2" fillId="3" borderId="0" xfId="1" applyNumberFormat="1" applyFont="1" applyFill="1" applyBorder="1" applyAlignment="1">
      <alignment horizontal="right"/>
    </xf>
    <xf numFmtId="0" fontId="3" fillId="0" borderId="0" xfId="0" applyFont="1" applyBorder="1"/>
    <xf numFmtId="9" fontId="8" fillId="3" borderId="0" xfId="2" applyFont="1" applyFill="1" applyBorder="1"/>
    <xf numFmtId="176" fontId="29" fillId="3" borderId="0" xfId="4" applyNumberFormat="1" applyFont="1" applyFill="1" applyBorder="1"/>
    <xf numFmtId="176" fontId="29" fillId="3" borderId="0" xfId="0" applyNumberFormat="1" applyFont="1" applyFill="1" applyBorder="1"/>
    <xf numFmtId="0" fontId="0" fillId="0" borderId="92" xfId="0" applyBorder="1"/>
    <xf numFmtId="0" fontId="3" fillId="0" borderId="92" xfId="0" applyFont="1" applyBorder="1"/>
    <xf numFmtId="0" fontId="0" fillId="0" borderId="92" xfId="0" applyFill="1" applyBorder="1"/>
    <xf numFmtId="168" fontId="18" fillId="0" borderId="101" xfId="0" applyNumberFormat="1" applyFont="1" applyFill="1" applyBorder="1" applyAlignment="1">
      <alignment horizontal="center"/>
    </xf>
    <xf numFmtId="169" fontId="22" fillId="0" borderId="14" xfId="1" applyNumberFormat="1" applyFont="1" applyBorder="1" applyAlignment="1">
      <alignment horizontal="center"/>
    </xf>
    <xf numFmtId="165" fontId="6" fillId="0" borderId="67" xfId="1" applyNumberFormat="1" applyFont="1" applyFill="1" applyBorder="1" applyAlignment="1">
      <alignment vertical="center" wrapText="1"/>
    </xf>
    <xf numFmtId="0" fontId="18" fillId="0" borderId="0" xfId="0" applyFont="1" applyFill="1" applyAlignment="1">
      <alignment horizontal="right"/>
    </xf>
    <xf numFmtId="165" fontId="18" fillId="0" borderId="1" xfId="1" applyNumberFormat="1" applyFont="1" applyFill="1" applyBorder="1" applyAlignment="1">
      <alignment horizontal="center"/>
    </xf>
    <xf numFmtId="171" fontId="21" fillId="2" borderId="0" xfId="0" applyNumberFormat="1" applyFont="1" applyFill="1"/>
    <xf numFmtId="169" fontId="21" fillId="2" borderId="0" xfId="1" applyNumberFormat="1" applyFont="1" applyFill="1" applyAlignment="1">
      <alignment horizontal="center"/>
    </xf>
    <xf numFmtId="165" fontId="0" fillId="2" borderId="0" xfId="1" applyFont="1" applyFill="1" applyBorder="1" applyAlignment="1">
      <alignment horizontal="center"/>
    </xf>
    <xf numFmtId="169" fontId="2" fillId="0" borderId="92" xfId="1" applyNumberFormat="1" applyFont="1" applyFill="1" applyBorder="1"/>
    <xf numFmtId="177" fontId="2" fillId="0" borderId="92" xfId="1" applyNumberFormat="1" applyFont="1" applyFill="1" applyBorder="1"/>
    <xf numFmtId="0" fontId="2" fillId="0" borderId="92" xfId="0" applyFont="1" applyFill="1" applyBorder="1"/>
    <xf numFmtId="177" fontId="2" fillId="0" borderId="93" xfId="1" applyNumberFormat="1" applyFont="1" applyFill="1" applyBorder="1"/>
    <xf numFmtId="0" fontId="30" fillId="0" borderId="9" xfId="0" applyFont="1" applyFill="1" applyBorder="1" applyAlignment="1">
      <alignment horizontal="right"/>
    </xf>
    <xf numFmtId="180" fontId="31" fillId="0" borderId="10" xfId="1" applyNumberFormat="1" applyFont="1" applyFill="1" applyBorder="1"/>
    <xf numFmtId="180" fontId="30" fillId="0" borderId="10" xfId="1" applyNumberFormat="1" applyFont="1" applyFill="1" applyBorder="1"/>
    <xf numFmtId="180" fontId="28" fillId="5" borderId="13" xfId="0" applyNumberFormat="1" applyFont="1" applyFill="1" applyBorder="1"/>
    <xf numFmtId="0" fontId="28" fillId="5" borderId="11" xfId="0" applyFont="1" applyFill="1" applyBorder="1" applyAlignment="1">
      <alignment horizontal="right"/>
    </xf>
    <xf numFmtId="0" fontId="0" fillId="0" borderId="107" xfId="0" applyBorder="1"/>
    <xf numFmtId="169" fontId="0" fillId="0" borderId="108" xfId="1" applyNumberFormat="1" applyFont="1" applyBorder="1"/>
    <xf numFmtId="165" fontId="0" fillId="0" borderId="108" xfId="1" applyNumberFormat="1" applyFont="1" applyBorder="1"/>
    <xf numFmtId="0" fontId="0" fillId="0" borderId="109" xfId="0" applyFill="1" applyBorder="1"/>
    <xf numFmtId="0" fontId="2" fillId="0" borderId="110" xfId="0" applyFont="1" applyFill="1" applyBorder="1"/>
    <xf numFmtId="177" fontId="2" fillId="0" borderId="110" xfId="1" applyNumberFormat="1" applyFont="1" applyFill="1" applyBorder="1"/>
    <xf numFmtId="177" fontId="2" fillId="0" borderId="109" xfId="1" applyNumberFormat="1" applyFont="1" applyFill="1" applyBorder="1"/>
    <xf numFmtId="179" fontId="8" fillId="3" borderId="90" xfId="4" applyNumberFormat="1" applyFont="1" applyFill="1" applyBorder="1"/>
    <xf numFmtId="181" fontId="0" fillId="0" borderId="0" xfId="0" applyNumberFormat="1" applyBorder="1" applyAlignment="1">
      <alignment horizontal="right"/>
    </xf>
    <xf numFmtId="179" fontId="8" fillId="3" borderId="91" xfId="4" applyNumberFormat="1" applyFont="1" applyFill="1" applyBorder="1"/>
    <xf numFmtId="181" fontId="0" fillId="0" borderId="92" xfId="0" applyNumberFormat="1" applyBorder="1" applyAlignment="1">
      <alignment horizontal="right"/>
    </xf>
    <xf numFmtId="179" fontId="8" fillId="3" borderId="93" xfId="4" applyNumberFormat="1" applyFont="1" applyFill="1" applyBorder="1"/>
    <xf numFmtId="165" fontId="11" fillId="0" borderId="19" xfId="5" applyNumberFormat="1" applyFont="1" applyFill="1" applyBorder="1" applyAlignment="1">
      <alignment horizontal="center"/>
    </xf>
    <xf numFmtId="165" fontId="11" fillId="0" borderId="27" xfId="5" applyNumberFormat="1" applyFont="1" applyFill="1" applyBorder="1" applyAlignment="1">
      <alignment horizontal="center"/>
    </xf>
    <xf numFmtId="165" fontId="11" fillId="0" borderId="65" xfId="5" applyNumberFormat="1" applyFont="1" applyFill="1" applyBorder="1" applyAlignment="1">
      <alignment horizontal="center"/>
    </xf>
    <xf numFmtId="0" fontId="17" fillId="0" borderId="0" xfId="3" applyFont="1" applyAlignment="1">
      <alignment vertical="center"/>
    </xf>
    <xf numFmtId="0" fontId="17" fillId="0" borderId="0" xfId="3" applyFont="1" applyAlignment="1">
      <alignment vertical="center" wrapText="1"/>
    </xf>
    <xf numFmtId="182" fontId="13" fillId="0" borderId="0" xfId="0" applyNumberFormat="1" applyFont="1" applyBorder="1"/>
    <xf numFmtId="182" fontId="12" fillId="0" borderId="0" xfId="0" applyNumberFormat="1" applyFont="1" applyBorder="1"/>
    <xf numFmtId="1" fontId="2" fillId="3" borderId="41" xfId="5" applyNumberFormat="1" applyFont="1" applyFill="1" applyBorder="1"/>
    <xf numFmtId="169" fontId="9" fillId="0" borderId="0" xfId="1" applyNumberFormat="1" applyFont="1" applyFill="1" applyBorder="1" applyAlignment="1">
      <alignment horizontal="center"/>
    </xf>
    <xf numFmtId="9" fontId="2" fillId="2" borderId="37" xfId="2" applyFont="1" applyFill="1" applyBorder="1" applyAlignment="1">
      <alignment horizontal="center"/>
    </xf>
    <xf numFmtId="9" fontId="11" fillId="2" borderId="70" xfId="2" applyFont="1" applyFill="1" applyBorder="1" applyAlignment="1">
      <alignment horizontal="center"/>
    </xf>
    <xf numFmtId="9" fontId="11" fillId="2" borderId="37" xfId="2" applyFont="1" applyFill="1" applyBorder="1" applyAlignment="1">
      <alignment horizontal="center"/>
    </xf>
    <xf numFmtId="0" fontId="35" fillId="0" borderId="0" xfId="0" applyFont="1"/>
    <xf numFmtId="2" fontId="6" fillId="0" borderId="0" xfId="0" applyNumberFormat="1" applyFont="1" applyAlignment="1">
      <alignment vertical="center" wrapText="1"/>
    </xf>
    <xf numFmtId="2" fontId="0" fillId="0" borderId="0" xfId="0" applyNumberFormat="1"/>
    <xf numFmtId="0" fontId="3" fillId="0" borderId="14" xfId="0" applyFont="1" applyBorder="1" applyAlignment="1">
      <alignment horizontal="center" vertical="center"/>
    </xf>
    <xf numFmtId="0" fontId="36" fillId="0" borderId="0" xfId="0" applyFont="1" applyAlignment="1">
      <alignment vertical="center" wrapText="1"/>
    </xf>
    <xf numFmtId="0" fontId="37" fillId="0" borderId="0" xfId="0" applyFont="1" applyAlignment="1">
      <alignment horizontal="center"/>
    </xf>
    <xf numFmtId="165" fontId="13" fillId="0" borderId="59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2" fillId="0" borderId="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38" fillId="0" borderId="0" xfId="0" applyFont="1" applyFill="1" applyAlignment="1">
      <alignment horizontal="left" wrapText="1"/>
    </xf>
    <xf numFmtId="0" fontId="14" fillId="0" borderId="26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3" borderId="40" xfId="0" applyFont="1" applyFill="1" applyBorder="1" applyAlignment="1">
      <alignment horizontal="center"/>
    </xf>
    <xf numFmtId="0" fontId="3" fillId="3" borderId="41" xfId="0" applyFont="1" applyFill="1" applyBorder="1" applyAlignment="1">
      <alignment horizontal="center"/>
    </xf>
    <xf numFmtId="0" fontId="3" fillId="3" borderId="42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65" fontId="0" fillId="0" borderId="34" xfId="1" applyNumberFormat="1" applyFont="1" applyBorder="1" applyAlignment="1">
      <alignment horizontal="center"/>
    </xf>
    <xf numFmtId="165" fontId="0" fillId="0" borderId="37" xfId="1" applyNumberFormat="1" applyFont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" fillId="3" borderId="34" xfId="0" applyFont="1" applyFill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3" borderId="31" xfId="0" applyFont="1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165" fontId="22" fillId="0" borderId="3" xfId="1" applyNumberFormat="1" applyFont="1" applyBorder="1" applyAlignment="1">
      <alignment horizontal="center"/>
    </xf>
    <xf numFmtId="165" fontId="22" fillId="0" borderId="5" xfId="1" applyNumberFormat="1" applyFont="1" applyBorder="1" applyAlignment="1">
      <alignment horizontal="center"/>
    </xf>
    <xf numFmtId="165" fontId="22" fillId="0" borderId="19" xfId="1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0" xfId="0" applyFont="1" applyAlignment="1">
      <alignment horizontal="center" vertical="center" textRotation="90"/>
    </xf>
    <xf numFmtId="169" fontId="3" fillId="0" borderId="105" xfId="1" applyNumberFormat="1" applyFont="1" applyBorder="1" applyAlignment="1">
      <alignment horizontal="center"/>
    </xf>
    <xf numFmtId="169" fontId="3" fillId="0" borderId="89" xfId="1" applyNumberFormat="1" applyFont="1" applyBorder="1" applyAlignment="1">
      <alignment horizontal="center"/>
    </xf>
    <xf numFmtId="169" fontId="3" fillId="0" borderId="106" xfId="1" applyNumberFormat="1" applyFont="1" applyBorder="1" applyAlignment="1">
      <alignment horizontal="center"/>
    </xf>
    <xf numFmtId="0" fontId="18" fillId="0" borderId="98" xfId="0" applyFont="1" applyFill="1" applyBorder="1" applyAlignment="1">
      <alignment horizontal="center"/>
    </xf>
    <xf numFmtId="0" fontId="18" fillId="0" borderId="99" xfId="0" applyFont="1" applyFill="1" applyBorder="1" applyAlignment="1">
      <alignment horizontal="center"/>
    </xf>
    <xf numFmtId="0" fontId="18" fillId="0" borderId="100" xfId="0" applyFont="1" applyFill="1" applyBorder="1" applyAlignment="1">
      <alignment horizontal="center"/>
    </xf>
    <xf numFmtId="0" fontId="18" fillId="0" borderId="68" xfId="0" applyFont="1" applyFill="1" applyBorder="1" applyAlignment="1">
      <alignment horizontal="center"/>
    </xf>
    <xf numFmtId="0" fontId="18" fillId="0" borderId="39" xfId="0" applyFont="1" applyFill="1" applyBorder="1" applyAlignment="1">
      <alignment horizontal="center"/>
    </xf>
    <xf numFmtId="0" fontId="18" fillId="0" borderId="69" xfId="0" applyFont="1" applyFill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8" fillId="0" borderId="18" xfId="0" applyFont="1" applyBorder="1" applyAlignment="1">
      <alignment horizontal="center"/>
    </xf>
    <xf numFmtId="0" fontId="32" fillId="0" borderId="102" xfId="0" applyFont="1" applyBorder="1" applyAlignment="1">
      <alignment horizontal="center" vertical="center"/>
    </xf>
    <xf numFmtId="0" fontId="32" fillId="0" borderId="103" xfId="0" applyFont="1" applyBorder="1" applyAlignment="1">
      <alignment horizontal="center" vertical="center"/>
    </xf>
    <xf numFmtId="0" fontId="32" fillId="0" borderId="104" xfId="0" applyFont="1" applyBorder="1" applyAlignment="1">
      <alignment horizontal="center" vertical="center"/>
    </xf>
    <xf numFmtId="0" fontId="33" fillId="0" borderId="94" xfId="0" applyFont="1" applyBorder="1" applyAlignment="1">
      <alignment horizontal="center" vertical="center" textRotation="90"/>
    </xf>
    <xf numFmtId="0" fontId="33" fillId="0" borderId="95" xfId="0" applyFont="1" applyBorder="1" applyAlignment="1">
      <alignment horizontal="center" vertical="center" textRotation="90"/>
    </xf>
    <xf numFmtId="0" fontId="33" fillId="0" borderId="96" xfId="0" applyFont="1" applyBorder="1" applyAlignment="1">
      <alignment horizontal="center" vertical="center" textRotation="90"/>
    </xf>
    <xf numFmtId="0" fontId="34" fillId="0" borderId="6" xfId="0" applyFont="1" applyBorder="1" applyAlignment="1">
      <alignment horizontal="center"/>
    </xf>
    <xf numFmtId="0" fontId="34" fillId="0" borderId="8" xfId="0" applyFont="1" applyBorder="1" applyAlignment="1">
      <alignment horizontal="center"/>
    </xf>
    <xf numFmtId="0" fontId="18" fillId="0" borderId="71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8" fillId="0" borderId="18" xfId="0" applyFont="1" applyFill="1" applyBorder="1" applyAlignment="1">
      <alignment horizontal="center"/>
    </xf>
    <xf numFmtId="0" fontId="3" fillId="0" borderId="9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19" fillId="0" borderId="2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169" fontId="22" fillId="0" borderId="17" xfId="1" applyNumberFormat="1" applyFont="1" applyBorder="1" applyAlignment="1">
      <alignment horizontal="center"/>
    </xf>
    <xf numFmtId="169" fontId="22" fillId="0" borderId="14" xfId="1" applyNumberFormat="1" applyFont="1" applyBorder="1" applyAlignment="1">
      <alignment horizontal="center"/>
    </xf>
    <xf numFmtId="169" fontId="22" fillId="0" borderId="18" xfId="1" applyNumberFormat="1" applyFont="1" applyBorder="1" applyAlignment="1">
      <alignment horizontal="center"/>
    </xf>
    <xf numFmtId="169" fontId="3" fillId="0" borderId="90" xfId="1" applyNumberFormat="1" applyFont="1" applyBorder="1" applyAlignment="1">
      <alignment horizontal="center"/>
    </xf>
    <xf numFmtId="0" fontId="34" fillId="0" borderId="95" xfId="0" applyFont="1" applyBorder="1" applyAlignment="1">
      <alignment horizontal="center" vertical="center"/>
    </xf>
    <xf numFmtId="0" fontId="34" fillId="0" borderId="96" xfId="0" applyFont="1" applyBorder="1" applyAlignment="1">
      <alignment horizontal="center" vertical="center"/>
    </xf>
    <xf numFmtId="0" fontId="8" fillId="0" borderId="111" xfId="0" applyFont="1" applyBorder="1" applyAlignment="1">
      <alignment horizontal="center"/>
    </xf>
    <xf numFmtId="0" fontId="8" fillId="0" borderId="112" xfId="0" applyFont="1" applyBorder="1" applyAlignment="1">
      <alignment horizontal="center"/>
    </xf>
    <xf numFmtId="184" fontId="13" fillId="0" borderId="48" xfId="0" applyNumberFormat="1" applyFont="1" applyBorder="1" applyAlignment="1">
      <alignment horizontal="center" vertical="center"/>
    </xf>
    <xf numFmtId="184" fontId="13" fillId="0" borderId="49" xfId="0" applyNumberFormat="1" applyFont="1" applyBorder="1" applyAlignment="1">
      <alignment horizontal="center" vertical="center"/>
    </xf>
  </cellXfs>
  <cellStyles count="6">
    <cellStyle name="Lien hypertexte" xfId="3" builtinId="8"/>
    <cellStyle name="Milliers" xfId="1" builtinId="3"/>
    <cellStyle name="Milliers 2" xfId="5" xr:uid="{00000000-0005-0000-0000-000002000000}"/>
    <cellStyle name="Monétaire" xfId="4" builtinId="4"/>
    <cellStyle name="Normal" xfId="0" builtinId="0"/>
    <cellStyle name="Pourcentage" xfId="2" builtinId="5"/>
  </cellStyles>
  <dxfs count="41"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1AB49C"/>
      <color rgb="FF1A7F7F"/>
      <color rgb="FF3237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857416</xdr:colOff>
      <xdr:row>104</xdr:row>
      <xdr:rowOff>124690</xdr:rowOff>
    </xdr:from>
    <xdr:to>
      <xdr:col>16</xdr:col>
      <xdr:colOff>905764</xdr:colOff>
      <xdr:row>128</xdr:row>
      <xdr:rowOff>105523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73307" y="24674945"/>
          <a:ext cx="9026093" cy="5633487"/>
        </a:xfrm>
        <a:prstGeom prst="rect">
          <a:avLst/>
        </a:prstGeom>
      </xdr:spPr>
    </xdr:pic>
    <xdr:clientData/>
  </xdr:twoCellAnchor>
  <xdr:twoCellAnchor editAs="oneCell">
    <xdr:from>
      <xdr:col>1</xdr:col>
      <xdr:colOff>65314</xdr:colOff>
      <xdr:row>119</xdr:row>
      <xdr:rowOff>65318</xdr:rowOff>
    </xdr:from>
    <xdr:to>
      <xdr:col>7</xdr:col>
      <xdr:colOff>616791</xdr:colOff>
      <xdr:row>135</xdr:row>
      <xdr:rowOff>132801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00">
          <a:off x="1836753" y="26574964"/>
          <a:ext cx="3725083" cy="57004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130629</xdr:colOff>
      <xdr:row>105</xdr:row>
      <xdr:rowOff>43543</xdr:rowOff>
    </xdr:from>
    <xdr:to>
      <xdr:col>7</xdr:col>
      <xdr:colOff>328957</xdr:colOff>
      <xdr:row>120</xdr:row>
      <xdr:rowOff>54359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52507"/>
        <a:stretch/>
      </xdr:blipFill>
      <xdr:spPr>
        <a:xfrm>
          <a:off x="914400" y="24340457"/>
          <a:ext cx="5347271" cy="3439816"/>
        </a:xfrm>
        <a:prstGeom prst="rect">
          <a:avLst/>
        </a:prstGeom>
      </xdr:spPr>
    </xdr:pic>
    <xdr:clientData/>
  </xdr:twoCellAnchor>
  <xdr:twoCellAnchor>
    <xdr:from>
      <xdr:col>4</xdr:col>
      <xdr:colOff>186162</xdr:colOff>
      <xdr:row>113</xdr:row>
      <xdr:rowOff>194021</xdr:rowOff>
    </xdr:from>
    <xdr:to>
      <xdr:col>6</xdr:col>
      <xdr:colOff>631835</xdr:colOff>
      <xdr:row>114</xdr:row>
      <xdr:rowOff>122303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114419" y="26319735"/>
          <a:ext cx="2448645" cy="15688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7</xdr:col>
      <xdr:colOff>220166</xdr:colOff>
      <xdr:row>56</xdr:row>
      <xdr:rowOff>90055</xdr:rowOff>
    </xdr:from>
    <xdr:ext cx="9774908" cy="6587836"/>
    <xdr:pic>
      <xdr:nvPicPr>
        <xdr:cNvPr id="23" name="Imag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36057" y="13113328"/>
          <a:ext cx="9774908" cy="6587836"/>
        </a:xfrm>
        <a:prstGeom prst="rect">
          <a:avLst/>
        </a:prstGeom>
      </xdr:spPr>
    </xdr:pic>
    <xdr:clientData/>
  </xdr:oneCellAnchor>
  <xdr:oneCellAnchor>
    <xdr:from>
      <xdr:col>1</xdr:col>
      <xdr:colOff>161368</xdr:colOff>
      <xdr:row>65</xdr:row>
      <xdr:rowOff>142649</xdr:rowOff>
    </xdr:from>
    <xdr:ext cx="6383750" cy="4660036"/>
    <xdr:pic>
      <xdr:nvPicPr>
        <xdr:cNvPr id="25" name="Imag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5400000">
          <a:off x="1900680" y="11680610"/>
          <a:ext cx="4660036" cy="6383750"/>
        </a:xfrm>
        <a:prstGeom prst="rect">
          <a:avLst/>
        </a:prstGeom>
      </xdr:spPr>
    </xdr:pic>
    <xdr:clientData/>
  </xdr:oneCellAnchor>
  <xdr:twoCellAnchor editAs="oneCell">
    <xdr:from>
      <xdr:col>7</xdr:col>
      <xdr:colOff>135392</xdr:colOff>
      <xdr:row>4</xdr:row>
      <xdr:rowOff>110835</xdr:rowOff>
    </xdr:from>
    <xdr:to>
      <xdr:col>17</xdr:col>
      <xdr:colOff>105380</xdr:colOff>
      <xdr:row>37</xdr:row>
      <xdr:rowOff>41562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51283" y="1052944"/>
          <a:ext cx="9945261" cy="7536873"/>
        </a:xfrm>
        <a:prstGeom prst="rect">
          <a:avLst/>
        </a:prstGeom>
      </xdr:spPr>
    </xdr:pic>
    <xdr:clientData/>
  </xdr:twoCellAnchor>
  <xdr:twoCellAnchor editAs="oneCell">
    <xdr:from>
      <xdr:col>1</xdr:col>
      <xdr:colOff>41296</xdr:colOff>
      <xdr:row>14</xdr:row>
      <xdr:rowOff>13339</xdr:rowOff>
    </xdr:from>
    <xdr:to>
      <xdr:col>8</xdr:col>
      <xdr:colOff>301337</xdr:colOff>
      <xdr:row>34</xdr:row>
      <xdr:rowOff>45957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5400000">
          <a:off x="1692862" y="2365737"/>
          <a:ext cx="4660036" cy="6383750"/>
        </a:xfrm>
        <a:prstGeom prst="rect">
          <a:avLst/>
        </a:prstGeom>
      </xdr:spPr>
    </xdr:pic>
    <xdr:clientData/>
  </xdr:twoCellAnchor>
  <xdr:oneCellAnchor>
    <xdr:from>
      <xdr:col>6</xdr:col>
      <xdr:colOff>872835</xdr:colOff>
      <xdr:row>242</xdr:row>
      <xdr:rowOff>27709</xdr:rowOff>
    </xdr:from>
    <xdr:ext cx="10150779" cy="3144981"/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b="52508"/>
        <a:stretch/>
      </xdr:blipFill>
      <xdr:spPr>
        <a:xfrm>
          <a:off x="5791199" y="57080727"/>
          <a:ext cx="10150779" cy="3144981"/>
        </a:xfrm>
        <a:prstGeom prst="rect">
          <a:avLst/>
        </a:prstGeom>
      </xdr:spPr>
    </xdr:pic>
    <xdr:clientData/>
  </xdr:oneCellAnchor>
  <xdr:oneCellAnchor>
    <xdr:from>
      <xdr:col>1</xdr:col>
      <xdr:colOff>96981</xdr:colOff>
      <xdr:row>243</xdr:row>
      <xdr:rowOff>69274</xdr:rowOff>
    </xdr:from>
    <xdr:ext cx="3990109" cy="5597036"/>
    <xdr:pic>
      <xdr:nvPicPr>
        <xdr:cNvPr id="34" name="Imag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74436" y="46297274"/>
          <a:ext cx="3990109" cy="5597036"/>
        </a:xfrm>
        <a:prstGeom prst="rect">
          <a:avLst/>
        </a:prstGeom>
      </xdr:spPr>
    </xdr:pic>
    <xdr:clientData/>
  </xdr:oneCellAnchor>
  <xdr:twoCellAnchor>
    <xdr:from>
      <xdr:col>6</xdr:col>
      <xdr:colOff>540325</xdr:colOff>
      <xdr:row>167</xdr:row>
      <xdr:rowOff>41563</xdr:rowOff>
    </xdr:from>
    <xdr:to>
      <xdr:col>11</xdr:col>
      <xdr:colOff>880168</xdr:colOff>
      <xdr:row>181</xdr:row>
      <xdr:rowOff>13854</xdr:rowOff>
    </xdr:to>
    <xdr:grpSp>
      <xdr:nvGrpSpPr>
        <xdr:cNvPr id="35" name="Group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pSpPr/>
      </xdr:nvGrpSpPr>
      <xdr:grpSpPr>
        <a:xfrm>
          <a:off x="6012870" y="32045563"/>
          <a:ext cx="5881662" cy="2558473"/>
          <a:chOff x="5376380" y="50023058"/>
          <a:chExt cx="5327479" cy="3269673"/>
        </a:xfrm>
      </xdr:grpSpPr>
      <xdr:pic>
        <xdr:nvPicPr>
          <xdr:cNvPr id="36" name="Image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t="52508" b="3672"/>
          <a:stretch/>
        </xdr:blipFill>
        <xdr:spPr>
          <a:xfrm>
            <a:off x="5376380" y="50023058"/>
            <a:ext cx="5327479" cy="3269673"/>
          </a:xfrm>
          <a:prstGeom prst="rect">
            <a:avLst/>
          </a:prstGeom>
        </xdr:spPr>
      </xdr:pic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/>
        </xdr:nvSpPr>
        <xdr:spPr>
          <a:xfrm>
            <a:off x="6012868" y="50388979"/>
            <a:ext cx="3629895" cy="152403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8</xdr:col>
      <xdr:colOff>138546</xdr:colOff>
      <xdr:row>141</xdr:row>
      <xdr:rowOff>124691</xdr:rowOff>
    </xdr:from>
    <xdr:to>
      <xdr:col>16</xdr:col>
      <xdr:colOff>912567</xdr:colOff>
      <xdr:row>167</xdr:row>
      <xdr:rowOff>58228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t="7284"/>
        <a:stretch/>
      </xdr:blipFill>
      <xdr:spPr>
        <a:xfrm>
          <a:off x="7051964" y="33389455"/>
          <a:ext cx="8754239" cy="6057246"/>
        </a:xfrm>
        <a:prstGeom prst="rect">
          <a:avLst/>
        </a:prstGeom>
      </xdr:spPr>
    </xdr:pic>
    <xdr:clientData/>
  </xdr:twoCellAnchor>
  <xdr:twoCellAnchor editAs="oneCell">
    <xdr:from>
      <xdr:col>2</xdr:col>
      <xdr:colOff>-1</xdr:colOff>
      <xdr:row>150</xdr:row>
      <xdr:rowOff>152400</xdr:rowOff>
    </xdr:from>
    <xdr:to>
      <xdr:col>6</xdr:col>
      <xdr:colOff>335692</xdr:colOff>
      <xdr:row>181</xdr:row>
      <xdr:rowOff>100200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28254" y="35536909"/>
          <a:ext cx="4325802" cy="7249146"/>
        </a:xfrm>
        <a:prstGeom prst="rect">
          <a:avLst/>
        </a:prstGeom>
      </xdr:spPr>
    </xdr:pic>
    <xdr:clientData/>
  </xdr:twoCellAnchor>
  <xdr:twoCellAnchor editAs="oneCell">
    <xdr:from>
      <xdr:col>7</xdr:col>
      <xdr:colOff>928254</xdr:colOff>
      <xdr:row>199</xdr:row>
      <xdr:rowOff>55419</xdr:rowOff>
    </xdr:from>
    <xdr:to>
      <xdr:col>17</xdr:col>
      <xdr:colOff>50631</xdr:colOff>
      <xdr:row>210</xdr:row>
      <xdr:rowOff>107032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50308" b="-1"/>
        <a:stretch/>
      </xdr:blipFill>
      <xdr:spPr>
        <a:xfrm>
          <a:off x="6844145" y="46980764"/>
          <a:ext cx="9097650" cy="2642413"/>
        </a:xfrm>
        <a:prstGeom prst="rect">
          <a:avLst/>
        </a:prstGeom>
      </xdr:spPr>
    </xdr:pic>
    <xdr:clientData/>
  </xdr:twoCellAnchor>
  <xdr:twoCellAnchor editAs="oneCell">
    <xdr:from>
      <xdr:col>1</xdr:col>
      <xdr:colOff>96982</xdr:colOff>
      <xdr:row>197</xdr:row>
      <xdr:rowOff>69273</xdr:rowOff>
    </xdr:from>
    <xdr:to>
      <xdr:col>6</xdr:col>
      <xdr:colOff>829791</xdr:colOff>
      <xdr:row>227</xdr:row>
      <xdr:rowOff>55352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86691" y="46523564"/>
          <a:ext cx="4861464" cy="7051897"/>
        </a:xfrm>
        <a:prstGeom prst="rect">
          <a:avLst/>
        </a:prstGeom>
      </xdr:spPr>
    </xdr:pic>
    <xdr:clientData/>
  </xdr:twoCellAnchor>
  <xdr:twoCellAnchor editAs="oneCell">
    <xdr:from>
      <xdr:col>8</xdr:col>
      <xdr:colOff>376253</xdr:colOff>
      <xdr:row>192</xdr:row>
      <xdr:rowOff>200196</xdr:rowOff>
    </xdr:from>
    <xdr:to>
      <xdr:col>16</xdr:col>
      <xdr:colOff>651167</xdr:colOff>
      <xdr:row>199</xdr:row>
      <xdr:rowOff>33942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5381" t="22341" r="4727" b="56028"/>
        <a:stretch/>
      </xdr:blipFill>
      <xdr:spPr>
        <a:xfrm>
          <a:off x="7289671" y="45476851"/>
          <a:ext cx="8255132" cy="1482436"/>
        </a:xfrm>
        <a:prstGeom prst="rect">
          <a:avLst/>
        </a:prstGeom>
      </xdr:spPr>
    </xdr:pic>
    <xdr:clientData/>
  </xdr:twoCellAnchor>
  <xdr:twoCellAnchor editAs="oneCell">
    <xdr:from>
      <xdr:col>8</xdr:col>
      <xdr:colOff>552672</xdr:colOff>
      <xdr:row>50</xdr:row>
      <xdr:rowOff>131618</xdr:rowOff>
    </xdr:from>
    <xdr:to>
      <xdr:col>16</xdr:col>
      <xdr:colOff>441836</xdr:colOff>
      <xdr:row>56</xdr:row>
      <xdr:rowOff>131618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5381" t="22341" r="4727" b="56028"/>
        <a:stretch/>
      </xdr:blipFill>
      <xdr:spPr>
        <a:xfrm>
          <a:off x="7466090" y="11741727"/>
          <a:ext cx="7869382" cy="1413164"/>
        </a:xfrm>
        <a:prstGeom prst="rect">
          <a:avLst/>
        </a:prstGeom>
      </xdr:spPr>
    </xdr:pic>
    <xdr:clientData/>
  </xdr:twoCellAnchor>
  <xdr:twoCellAnchor editAs="oneCell">
    <xdr:from>
      <xdr:col>8</xdr:col>
      <xdr:colOff>429490</xdr:colOff>
      <xdr:row>99</xdr:row>
      <xdr:rowOff>13856</xdr:rowOff>
    </xdr:from>
    <xdr:to>
      <xdr:col>16</xdr:col>
      <xdr:colOff>318654</xdr:colOff>
      <xdr:row>104</xdr:row>
      <xdr:rowOff>96983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5381" t="22341" r="4727" b="56028"/>
        <a:stretch/>
      </xdr:blipFill>
      <xdr:spPr>
        <a:xfrm>
          <a:off x="7342908" y="23234074"/>
          <a:ext cx="7869382" cy="1413164"/>
        </a:xfrm>
        <a:prstGeom prst="rect">
          <a:avLst/>
        </a:prstGeom>
      </xdr:spPr>
    </xdr:pic>
    <xdr:clientData/>
  </xdr:twoCellAnchor>
  <xdr:twoCellAnchor editAs="oneCell">
    <xdr:from>
      <xdr:col>7</xdr:col>
      <xdr:colOff>193960</xdr:colOff>
      <xdr:row>235</xdr:row>
      <xdr:rowOff>55418</xdr:rowOff>
    </xdr:from>
    <xdr:to>
      <xdr:col>16</xdr:col>
      <xdr:colOff>551460</xdr:colOff>
      <xdr:row>242</xdr:row>
      <xdr:rowOff>83127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5381" t="22341" r="4727" b="56028"/>
        <a:stretch/>
      </xdr:blipFill>
      <xdr:spPr>
        <a:xfrm>
          <a:off x="6109851" y="55459745"/>
          <a:ext cx="9335245" cy="16764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au145" displayName="Tableau145" ref="C130:F196" totalsRowShown="0" headerRowDxfId="40" dataDxfId="39">
  <autoFilter ref="C130:F196" xr:uid="{00000000-0009-0000-0100-000004000000}"/>
  <tableColumns count="4">
    <tableColumn id="1" xr3:uid="{00000000-0010-0000-0000-000001000000}" name="Essence " dataDxfId="38"/>
    <tableColumn id="2" xr3:uid="{00000000-0010-0000-0000-000002000000}" name="Infradensité (tMS/m3) " dataDxfId="37"/>
    <tableColumn id="3" xr3:uid="{00000000-0010-0000-0000-000003000000}" name="Type" dataDxfId="36"/>
    <tableColumn id="4" xr3:uid="{00000000-0010-0000-0000-000004000000}" name="Facteur expansion branche" dataDxfId="35">
      <calculatedColumnFormula>IF(OR(Tableau145[[#This Row],[Type]]="Feuillus",Tableau145[[#This Row],[Type]]="Peupliers"),1.56,1.3)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au1456" displayName="Tableau1456" ref="C130:E196" totalsRowShown="0" headerRowDxfId="34" dataDxfId="33">
  <autoFilter ref="C130:E196" xr:uid="{00000000-0009-0000-0100-000005000000}"/>
  <tableColumns count="3">
    <tableColumn id="1" xr3:uid="{00000000-0010-0000-0100-000001000000}" name="Essence " dataDxfId="32"/>
    <tableColumn id="2" xr3:uid="{00000000-0010-0000-0100-000002000000}" name="Infradensité (tMS/m3) " dataDxfId="31"/>
    <tableColumn id="3" xr3:uid="{00000000-0010-0000-0100-000003000000}" name="Type" dataDxfId="3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leau1457" displayName="Tableau1457" ref="C130:E196" totalsRowShown="0" headerRowDxfId="29" dataDxfId="28">
  <autoFilter ref="C130:E196" xr:uid="{00000000-0009-0000-0100-000006000000}"/>
  <tableColumns count="3">
    <tableColumn id="1" xr3:uid="{00000000-0010-0000-0200-000001000000}" name="Essence " dataDxfId="27"/>
    <tableColumn id="2" xr3:uid="{00000000-0010-0000-0200-000002000000}" name="Infradensité (tMS/m3) " dataDxfId="26"/>
    <tableColumn id="3" xr3:uid="{00000000-0010-0000-0200-000003000000}" name="Type" dataDxfId="2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leau1458" displayName="Tableau1458" ref="C130:E196" totalsRowShown="0" headerRowDxfId="24" dataDxfId="23">
  <autoFilter ref="C130:E196" xr:uid="{00000000-0009-0000-0100-000007000000}"/>
  <tableColumns count="3">
    <tableColumn id="1" xr3:uid="{00000000-0010-0000-0300-000001000000}" name="Essence " dataDxfId="22"/>
    <tableColumn id="2" xr3:uid="{00000000-0010-0000-0300-000002000000}" name="Infradensité (tMS/m3) " dataDxfId="21"/>
    <tableColumn id="3" xr3:uid="{00000000-0010-0000-0300-000003000000}" name="Type" dataDxfId="2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leau1459" displayName="Tableau1459" ref="C130:E196" totalsRowShown="0" headerRowDxfId="19" dataDxfId="18">
  <autoFilter ref="C130:E196" xr:uid="{00000000-0009-0000-0100-000008000000}"/>
  <tableColumns count="3">
    <tableColumn id="1" xr3:uid="{00000000-0010-0000-0400-000001000000}" name="Essence " dataDxfId="17"/>
    <tableColumn id="2" xr3:uid="{00000000-0010-0000-0400-000002000000}" name="Infradensité (tMS/m3) " dataDxfId="16"/>
    <tableColumn id="3" xr3:uid="{00000000-0010-0000-0400-000003000000}" name="Type" dataDxfId="1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Tableau14593" displayName="Tableau14593" ref="C130:E196" totalsRowShown="0" headerRowDxfId="14" dataDxfId="13">
  <autoFilter ref="C130:E196" xr:uid="{00000000-0009-0000-0100-000002000000}"/>
  <tableColumns count="3">
    <tableColumn id="1" xr3:uid="{00000000-0010-0000-0500-000001000000}" name="Essence " dataDxfId="12"/>
    <tableColumn id="2" xr3:uid="{00000000-0010-0000-0500-000002000000}" name="Infradensité (tMS/m3) " dataDxfId="11"/>
    <tableColumn id="3" xr3:uid="{00000000-0010-0000-0500-000003000000}" name="Type" dataDxfId="1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6000000}" name="Tableau14582" displayName="Tableau14582" ref="B118:M184" totalsRowShown="0" headerRowDxfId="9" dataDxfId="8">
  <autoFilter ref="B118:M184" xr:uid="{00000000-0009-0000-0100-000001000000}"/>
  <tableColumns count="12">
    <tableColumn id="1" xr3:uid="{00000000-0010-0000-0600-000001000000}" name="Essence " dataDxfId="7"/>
    <tableColumn id="2" xr3:uid="{00000000-0010-0000-0600-000002000000}" name="Infradensité (tMS/m3) " dataDxfId="6"/>
    <tableColumn id="3" xr3:uid="{00000000-0010-0000-0600-000003000000}" name="Type" dataDxfId="5"/>
    <tableColumn id="4" xr3:uid="{00000000-0010-0000-0600-000004000000}" name="Valeur BO" dataDxfId="4"/>
    <tableColumn id="5" xr3:uid="{00000000-0010-0000-0600-000005000000}" name="Valeur BI" dataDxfId="3"/>
    <tableColumn id="6" xr3:uid="{00000000-0010-0000-0600-000006000000}" name="Valeur BE" dataDxfId="2"/>
    <tableColumn id="11" xr3:uid="{00000000-0010-0000-0600-00000B000000}" name="Colonne1" dataDxfId="1"/>
    <tableColumn id="10" xr3:uid="{00000000-0010-0000-0600-00000A000000}" name="Colonne2"/>
    <tableColumn id="9" xr3:uid="{00000000-0010-0000-0600-000009000000}" name="Colonne3"/>
    <tableColumn id="8" xr3:uid="{00000000-0010-0000-0600-000008000000}" name="Colonne4"/>
    <tableColumn id="12" xr3:uid="{00000000-0010-0000-0600-00000C000000}" name="Colonne42" dataDxfId="0"/>
    <tableColumn id="7" xr3:uid="{00000000-0010-0000-0600-000007000000}" name="Colonne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inventaire-forestier.ign.fr/IMG/pdf/RapportVolumes_VFinale_p2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forestresearch.gov.uk/research/archive-forest-management-tables-metric/" TargetMode="External"/><Relationship Id="rId1" Type="http://schemas.openxmlformats.org/officeDocument/2006/relationships/hyperlink" Target="https://www.forestresearch.gov.uk/research/archive-forest-management-tables-metric/" TargetMode="External"/><Relationship Id="rId6" Type="http://schemas.openxmlformats.org/officeDocument/2006/relationships/hyperlink" Target="https://inventaire-forestier.ign.fr/IMG/pdf/RapportVolumes_VFinale_p2.pdf" TargetMode="External"/><Relationship Id="rId5" Type="http://schemas.openxmlformats.org/officeDocument/2006/relationships/hyperlink" Target="https://www.forestresearch.gov.uk/research/archive-forest-management-tables-metric/" TargetMode="External"/><Relationship Id="rId4" Type="http://schemas.openxmlformats.org/officeDocument/2006/relationships/hyperlink" Target="https://www.forestresearch.gov.uk/research/archive-forest-management-tables-metric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A274"/>
  <sheetViews>
    <sheetView topLeftCell="A231" zoomScale="55" zoomScaleNormal="55" zoomScalePageLayoutView="55" workbookViewId="0">
      <selection activeCell="B2" sqref="B2:R274"/>
    </sheetView>
  </sheetViews>
  <sheetFormatPr baseColWidth="10" defaultColWidth="11.5" defaultRowHeight="15"/>
  <cols>
    <col min="1" max="1" width="11.5" style="19" customWidth="1"/>
    <col min="2" max="2" width="2" style="19" customWidth="1"/>
    <col min="3" max="17" width="14.5" style="19" customWidth="1"/>
    <col min="18" max="18" width="2.1640625" style="19" customWidth="1"/>
    <col min="19" max="16384" width="11.5" style="19"/>
  </cols>
  <sheetData>
    <row r="1" spans="2:18" ht="16" thickBot="1"/>
    <row r="2" spans="2:18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/>
    </row>
    <row r="3" spans="2:18">
      <c r="B3" s="350" t="s">
        <v>185</v>
      </c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2"/>
    </row>
    <row r="4" spans="2:18" ht="16" thickBot="1"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8"/>
    </row>
    <row r="5" spans="2:18">
      <c r="B5" s="1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15"/>
    </row>
    <row r="6" spans="2:18">
      <c r="B6" s="13"/>
      <c r="C6" s="29" t="s">
        <v>281</v>
      </c>
      <c r="G6"/>
      <c r="H6"/>
      <c r="I6"/>
      <c r="J6"/>
      <c r="K6"/>
      <c r="L6"/>
      <c r="M6"/>
      <c r="N6"/>
      <c r="O6"/>
      <c r="P6"/>
      <c r="Q6"/>
      <c r="R6" s="15"/>
    </row>
    <row r="7" spans="2:18">
      <c r="B7" s="13"/>
      <c r="C7" s="29"/>
      <c r="G7"/>
      <c r="H7"/>
      <c r="I7"/>
      <c r="J7"/>
      <c r="K7"/>
      <c r="L7"/>
      <c r="M7"/>
      <c r="N7"/>
      <c r="O7"/>
      <c r="P7"/>
      <c r="Q7"/>
      <c r="R7" s="15"/>
    </row>
    <row r="8" spans="2:18" ht="17.25" customHeight="1">
      <c r="B8" s="13"/>
      <c r="C8" s="30" t="s">
        <v>122</v>
      </c>
      <c r="D8" s="349" t="s">
        <v>271</v>
      </c>
      <c r="E8" s="349"/>
      <c r="F8" s="349"/>
      <c r="G8"/>
      <c r="H8"/>
      <c r="I8"/>
      <c r="J8"/>
      <c r="K8"/>
      <c r="L8"/>
      <c r="M8"/>
      <c r="N8"/>
      <c r="O8"/>
      <c r="P8"/>
      <c r="Q8"/>
      <c r="R8" s="15"/>
    </row>
    <row r="9" spans="2:18" ht="17.25" customHeight="1">
      <c r="B9" s="13"/>
      <c r="D9" s="349"/>
      <c r="E9" s="349"/>
      <c r="F9" s="349"/>
      <c r="G9"/>
      <c r="H9"/>
      <c r="I9"/>
      <c r="J9"/>
      <c r="K9"/>
      <c r="L9"/>
      <c r="M9"/>
      <c r="N9"/>
      <c r="O9"/>
      <c r="P9"/>
      <c r="Q9"/>
      <c r="R9" s="15"/>
    </row>
    <row r="10" spans="2:18" ht="18" customHeight="1">
      <c r="B10" s="13"/>
      <c r="C10" s="14"/>
      <c r="D10" s="349" t="s">
        <v>282</v>
      </c>
      <c r="E10" s="349"/>
      <c r="F10" s="349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5"/>
    </row>
    <row r="11" spans="2:18" ht="18" customHeight="1">
      <c r="B11" s="13"/>
      <c r="C11" s="14"/>
      <c r="D11" s="349"/>
      <c r="E11" s="349"/>
      <c r="F11" s="349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5"/>
    </row>
    <row r="12" spans="2:18" ht="17.25" customHeight="1">
      <c r="B12" s="13"/>
      <c r="C12" s="14"/>
      <c r="D12" s="349"/>
      <c r="E12" s="349"/>
      <c r="F12" s="349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5"/>
    </row>
    <row r="13" spans="2:18">
      <c r="B13" s="13"/>
      <c r="C13" s="28" t="s">
        <v>121</v>
      </c>
      <c r="D13" s="166" t="s">
        <v>268</v>
      </c>
      <c r="E13" s="172"/>
      <c r="F13" s="172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5"/>
    </row>
    <row r="14" spans="2:18">
      <c r="B14" s="13"/>
      <c r="C14" s="14"/>
      <c r="D14" s="334"/>
      <c r="E14" s="334"/>
      <c r="F14" s="33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5"/>
    </row>
    <row r="15" spans="2:18">
      <c r="B15" s="13"/>
      <c r="C15" s="29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5"/>
    </row>
    <row r="16" spans="2:18">
      <c r="B16" s="13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5"/>
    </row>
    <row r="17" spans="2:18">
      <c r="B17" s="13"/>
      <c r="C17" s="30"/>
      <c r="D17" s="21"/>
      <c r="E17" s="21"/>
      <c r="F17" s="21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5"/>
    </row>
    <row r="18" spans="2:18">
      <c r="B18" s="13"/>
      <c r="D18" s="21"/>
      <c r="E18" s="21"/>
      <c r="F18" s="21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5"/>
    </row>
    <row r="19" spans="2:18">
      <c r="B19" s="13"/>
      <c r="C19" s="14"/>
      <c r="D19" s="21"/>
      <c r="E19" s="21"/>
      <c r="F19" s="21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5"/>
    </row>
    <row r="20" spans="2:18">
      <c r="B20" s="13"/>
      <c r="C20" s="14"/>
      <c r="D20"/>
      <c r="E20"/>
      <c r="F20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5"/>
    </row>
    <row r="21" spans="2:18">
      <c r="B21" s="13"/>
      <c r="C21" s="14"/>
      <c r="D21"/>
      <c r="E21"/>
      <c r="F21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5"/>
    </row>
    <row r="22" spans="2:18">
      <c r="B22" s="13"/>
      <c r="C22" s="28"/>
      <c r="D22" s="333"/>
      <c r="E22" s="334"/>
      <c r="F22" s="33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5"/>
    </row>
    <row r="23" spans="2:18"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5"/>
    </row>
    <row r="24" spans="2:18"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5"/>
    </row>
    <row r="25" spans="2:18"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5"/>
    </row>
    <row r="26" spans="2:18">
      <c r="B26" s="13"/>
      <c r="C26"/>
      <c r="D26"/>
      <c r="E26"/>
      <c r="F26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5"/>
    </row>
    <row r="27" spans="2:18" ht="17.25" customHeight="1">
      <c r="B27" s="13"/>
      <c r="C27"/>
      <c r="D27"/>
      <c r="E27"/>
      <c r="F27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5"/>
    </row>
    <row r="28" spans="2:18">
      <c r="B28" s="13"/>
      <c r="C28"/>
      <c r="D28"/>
      <c r="E28"/>
      <c r="F28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5"/>
    </row>
    <row r="29" spans="2:18" ht="17.25" customHeight="1">
      <c r="B29" s="13"/>
      <c r="C29"/>
      <c r="D29"/>
      <c r="E29"/>
      <c r="F29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5"/>
    </row>
    <row r="30" spans="2:18">
      <c r="B30" s="13"/>
      <c r="C30"/>
      <c r="D30"/>
      <c r="E30"/>
      <c r="F30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5"/>
    </row>
    <row r="31" spans="2:18">
      <c r="B31" s="13"/>
      <c r="C31"/>
      <c r="D31"/>
      <c r="E31"/>
      <c r="F31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5"/>
    </row>
    <row r="32" spans="2:18" ht="17.25" customHeight="1">
      <c r="B32" s="13"/>
      <c r="C32"/>
      <c r="D32"/>
      <c r="E32"/>
      <c r="F32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5"/>
    </row>
    <row r="33" spans="1:27">
      <c r="B33" s="13"/>
      <c r="C33"/>
      <c r="D33"/>
      <c r="E33"/>
      <c r="F33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/>
    </row>
    <row r="34" spans="1:27">
      <c r="B34" s="13"/>
      <c r="C34"/>
      <c r="D34"/>
      <c r="E34"/>
      <c r="F3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5"/>
    </row>
    <row r="35" spans="1:27"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5"/>
    </row>
    <row r="36" spans="1:27"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5"/>
    </row>
    <row r="37" spans="1:27">
      <c r="B37" s="13"/>
      <c r="C37"/>
      <c r="D37"/>
      <c r="E37"/>
      <c r="F37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5"/>
    </row>
    <row r="38" spans="1:27">
      <c r="B38" s="13"/>
      <c r="C38"/>
      <c r="D38"/>
      <c r="E38"/>
      <c r="F38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5"/>
    </row>
    <row r="39" spans="1:27">
      <c r="B39" s="13"/>
      <c r="C39"/>
      <c r="D39"/>
      <c r="E39"/>
      <c r="F39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5"/>
    </row>
    <row r="40" spans="1:27">
      <c r="B40" s="13"/>
      <c r="C40"/>
      <c r="D40"/>
      <c r="E40"/>
      <c r="F40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5"/>
    </row>
    <row r="41" spans="1:27">
      <c r="B41" s="13"/>
      <c r="C41"/>
      <c r="D41"/>
      <c r="E41"/>
      <c r="F41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5"/>
    </row>
    <row r="42" spans="1:27">
      <c r="B42" s="13"/>
      <c r="C42"/>
      <c r="D42"/>
      <c r="E42"/>
      <c r="F42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5"/>
    </row>
    <row r="43" spans="1:27">
      <c r="B43" s="13"/>
      <c r="C43"/>
      <c r="D43"/>
      <c r="E43"/>
      <c r="F43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5"/>
    </row>
    <row r="44" spans="1:27">
      <c r="B44" s="13"/>
      <c r="C44" s="28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5"/>
    </row>
    <row r="45" spans="1:27" ht="16" thickBot="1"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8"/>
    </row>
    <row r="46" spans="1:27" ht="16" thickBot="1"/>
    <row r="47" spans="1:27">
      <c r="A47"/>
      <c r="B47" s="10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2"/>
      <c r="S47"/>
      <c r="T47"/>
      <c r="U47"/>
      <c r="V47"/>
      <c r="W47"/>
      <c r="X47"/>
      <c r="Y47"/>
      <c r="Z47"/>
      <c r="AA47"/>
    </row>
    <row r="48" spans="1:27">
      <c r="A48"/>
      <c r="B48" s="350" t="s">
        <v>185</v>
      </c>
      <c r="C48" s="351"/>
      <c r="D48" s="351"/>
      <c r="E48" s="351"/>
      <c r="F48" s="351"/>
      <c r="G48" s="351"/>
      <c r="H48" s="351"/>
      <c r="I48" s="351"/>
      <c r="J48" s="351"/>
      <c r="K48" s="351"/>
      <c r="L48" s="351"/>
      <c r="M48" s="351"/>
      <c r="N48" s="351"/>
      <c r="O48" s="351"/>
      <c r="P48" s="351"/>
      <c r="Q48" s="351"/>
      <c r="R48" s="352"/>
      <c r="S48"/>
      <c r="T48"/>
      <c r="U48"/>
      <c r="V48"/>
      <c r="W48"/>
      <c r="X48"/>
      <c r="Y48"/>
      <c r="Z48"/>
      <c r="AA48"/>
    </row>
    <row r="49" spans="1:27" ht="16" thickBot="1">
      <c r="A49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8"/>
      <c r="S49"/>
      <c r="T49"/>
      <c r="U49"/>
      <c r="V49"/>
      <c r="W49"/>
      <c r="X49"/>
      <c r="Y49"/>
      <c r="Z49"/>
      <c r="AA49"/>
    </row>
    <row r="50" spans="1:27">
      <c r="A50"/>
      <c r="B50" s="13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 s="15"/>
      <c r="S50"/>
      <c r="T50"/>
      <c r="U50"/>
      <c r="V50"/>
      <c r="W50"/>
      <c r="X50"/>
      <c r="Y50"/>
      <c r="Z50"/>
      <c r="AA50"/>
    </row>
    <row r="51" spans="1:27">
      <c r="A51"/>
      <c r="B51" s="13"/>
      <c r="C51" s="29" t="s">
        <v>284</v>
      </c>
      <c r="G51"/>
      <c r="H51"/>
      <c r="I51"/>
      <c r="J51"/>
      <c r="K51"/>
      <c r="L51"/>
      <c r="M51"/>
      <c r="N51"/>
      <c r="O51"/>
      <c r="P51"/>
      <c r="Q51"/>
      <c r="R51" s="15"/>
      <c r="S51"/>
      <c r="T51"/>
      <c r="U51"/>
      <c r="V51"/>
      <c r="W51"/>
      <c r="X51"/>
      <c r="Y51"/>
      <c r="Z51"/>
      <c r="AA51"/>
    </row>
    <row r="52" spans="1:27">
      <c r="A52"/>
      <c r="B52" s="13"/>
      <c r="C52" s="29"/>
      <c r="G52"/>
      <c r="H52"/>
      <c r="I52"/>
      <c r="J52"/>
      <c r="K52"/>
      <c r="L52"/>
      <c r="M52"/>
      <c r="N52"/>
      <c r="O52"/>
      <c r="P52"/>
      <c r="Q52"/>
      <c r="R52" s="15"/>
      <c r="S52"/>
      <c r="T52"/>
      <c r="U52"/>
      <c r="V52"/>
      <c r="W52"/>
      <c r="X52"/>
      <c r="Y52"/>
      <c r="Z52"/>
      <c r="AA52"/>
    </row>
    <row r="53" spans="1:27">
      <c r="A53"/>
      <c r="B53" s="13"/>
      <c r="C53" s="30" t="s">
        <v>122</v>
      </c>
      <c r="D53" s="349" t="s">
        <v>285</v>
      </c>
      <c r="E53" s="349"/>
      <c r="F53" s="349"/>
      <c r="G53"/>
      <c r="H53"/>
      <c r="I53"/>
      <c r="J53"/>
      <c r="K53"/>
      <c r="L53"/>
      <c r="M53"/>
      <c r="N53"/>
      <c r="O53"/>
      <c r="P53"/>
      <c r="Q53"/>
      <c r="R53" s="15"/>
      <c r="S53"/>
      <c r="T53"/>
      <c r="U53"/>
      <c r="V53"/>
      <c r="W53"/>
      <c r="X53"/>
      <c r="Y53"/>
      <c r="Z53"/>
      <c r="AA53"/>
    </row>
    <row r="54" spans="1:27">
      <c r="A54"/>
      <c r="B54" s="13"/>
      <c r="D54" s="349"/>
      <c r="E54" s="349"/>
      <c r="F54" s="349"/>
      <c r="G54"/>
      <c r="H54"/>
      <c r="I54"/>
      <c r="J54"/>
      <c r="K54"/>
      <c r="L54"/>
      <c r="M54"/>
      <c r="N54"/>
      <c r="O54"/>
      <c r="P54"/>
      <c r="Q54"/>
      <c r="R54" s="15"/>
      <c r="S54"/>
      <c r="T54"/>
      <c r="U54"/>
      <c r="V54"/>
      <c r="W54"/>
      <c r="X54"/>
      <c r="Y54"/>
      <c r="Z54"/>
      <c r="AA54"/>
    </row>
    <row r="55" spans="1:27">
      <c r="A55"/>
      <c r="B55" s="13"/>
      <c r="C55" s="14"/>
      <c r="D55" s="349" t="s">
        <v>286</v>
      </c>
      <c r="E55" s="349"/>
      <c r="F55" s="349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5"/>
      <c r="S55"/>
      <c r="T55"/>
      <c r="U55"/>
      <c r="V55"/>
      <c r="W55"/>
      <c r="X55"/>
      <c r="Y55"/>
      <c r="Z55"/>
      <c r="AA55"/>
    </row>
    <row r="56" spans="1:27">
      <c r="A56"/>
      <c r="B56" s="13"/>
      <c r="C56" s="14"/>
      <c r="D56" s="349"/>
      <c r="E56" s="349"/>
      <c r="F56" s="349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5"/>
      <c r="S56"/>
      <c r="T56"/>
      <c r="U56"/>
      <c r="V56"/>
      <c r="W56"/>
      <c r="X56"/>
      <c r="Y56"/>
      <c r="Z56"/>
      <c r="AA56"/>
    </row>
    <row r="57" spans="1:27" ht="17.25" customHeight="1">
      <c r="A57"/>
      <c r="B57" s="13"/>
      <c r="C57" s="14"/>
      <c r="D57" s="349"/>
      <c r="E57" s="349"/>
      <c r="F57" s="349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5"/>
      <c r="S57"/>
      <c r="T57"/>
      <c r="U57"/>
      <c r="V57"/>
      <c r="W57"/>
      <c r="X57"/>
      <c r="Y57"/>
      <c r="Z57"/>
      <c r="AA57"/>
    </row>
    <row r="58" spans="1:27" ht="17.25" customHeight="1">
      <c r="A58"/>
      <c r="B58" s="13"/>
      <c r="C58" s="28" t="s">
        <v>121</v>
      </c>
      <c r="D58" s="166" t="s">
        <v>268</v>
      </c>
      <c r="E58" s="172"/>
      <c r="F58" s="172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5"/>
      <c r="S58"/>
      <c r="T58"/>
      <c r="U58"/>
      <c r="V58"/>
      <c r="W58"/>
      <c r="X58"/>
      <c r="Y58"/>
      <c r="Z58"/>
      <c r="AA58"/>
    </row>
    <row r="59" spans="1:27">
      <c r="A59"/>
      <c r="B59" s="13"/>
      <c r="C59" s="14"/>
      <c r="D59" s="334"/>
      <c r="E59" s="334"/>
      <c r="F59" s="33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5"/>
      <c r="S59"/>
      <c r="T59"/>
      <c r="U59"/>
      <c r="V59"/>
      <c r="W59"/>
      <c r="X59"/>
      <c r="Y59"/>
      <c r="Z59"/>
      <c r="AA59"/>
    </row>
    <row r="60" spans="1:27">
      <c r="A60"/>
      <c r="B60" s="13"/>
      <c r="C60" s="29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5"/>
      <c r="S60"/>
      <c r="T60"/>
      <c r="U60"/>
      <c r="V60"/>
      <c r="W60"/>
      <c r="X60"/>
      <c r="Y60"/>
      <c r="Z60"/>
      <c r="AA60"/>
    </row>
    <row r="61" spans="1:27">
      <c r="A61"/>
      <c r="B61" s="13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5"/>
      <c r="S61"/>
      <c r="T61"/>
      <c r="U61"/>
      <c r="V61"/>
      <c r="W61"/>
      <c r="X61"/>
      <c r="Y61"/>
      <c r="Z61"/>
      <c r="AA61"/>
    </row>
    <row r="62" spans="1:27">
      <c r="A62"/>
      <c r="B62" s="13"/>
      <c r="C62" s="30"/>
      <c r="D62" s="21"/>
      <c r="E62" s="21"/>
      <c r="F62" s="21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5"/>
      <c r="S62"/>
      <c r="T62"/>
      <c r="U62"/>
      <c r="V62"/>
      <c r="W62"/>
      <c r="X62"/>
      <c r="Y62"/>
      <c r="Z62"/>
      <c r="AA62"/>
    </row>
    <row r="63" spans="1:27">
      <c r="A63"/>
      <c r="B63" s="13"/>
      <c r="D63" s="21"/>
      <c r="E63" s="21"/>
      <c r="F63" s="21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5"/>
      <c r="S63"/>
      <c r="T63"/>
      <c r="U63"/>
      <c r="V63"/>
      <c r="W63"/>
      <c r="X63"/>
      <c r="Y63"/>
      <c r="Z63"/>
      <c r="AA63"/>
    </row>
    <row r="64" spans="1:27">
      <c r="A64"/>
      <c r="B64" s="13"/>
      <c r="C64" s="14"/>
      <c r="D64" s="21"/>
      <c r="E64" s="21"/>
      <c r="F64" s="21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5"/>
      <c r="S64"/>
      <c r="T64"/>
      <c r="U64"/>
      <c r="V64"/>
      <c r="W64"/>
      <c r="X64"/>
      <c r="Y64"/>
      <c r="Z64"/>
      <c r="AA64"/>
    </row>
    <row r="65" spans="1:27">
      <c r="A65"/>
      <c r="B65" s="13"/>
      <c r="C65" s="14"/>
      <c r="D65"/>
      <c r="E65"/>
      <c r="F65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5"/>
      <c r="S65"/>
      <c r="T65"/>
      <c r="U65"/>
      <c r="V65"/>
      <c r="W65"/>
      <c r="X65"/>
      <c r="Y65"/>
      <c r="Z65"/>
      <c r="AA65"/>
    </row>
    <row r="66" spans="1:27" ht="18" customHeight="1">
      <c r="A66"/>
      <c r="B66" s="13"/>
      <c r="C66" s="14"/>
      <c r="D66"/>
      <c r="E66"/>
      <c r="F66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5"/>
      <c r="S66"/>
      <c r="T66"/>
      <c r="U66"/>
      <c r="V66"/>
      <c r="W66"/>
      <c r="X66"/>
      <c r="Y66"/>
      <c r="Z66"/>
      <c r="AA66"/>
    </row>
    <row r="67" spans="1:27" ht="18" customHeight="1">
      <c r="A67"/>
      <c r="B67" s="13"/>
      <c r="C67" s="28"/>
      <c r="D67" s="333"/>
      <c r="E67" s="334"/>
      <c r="F67" s="33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5"/>
      <c r="S67"/>
      <c r="T67"/>
      <c r="U67"/>
      <c r="V67"/>
      <c r="W67"/>
      <c r="X67"/>
      <c r="Y67"/>
      <c r="Z67"/>
      <c r="AA67"/>
    </row>
    <row r="68" spans="1:27" ht="17.25" customHeight="1">
      <c r="A68"/>
      <c r="B68" s="13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5"/>
      <c r="S68"/>
      <c r="T68"/>
      <c r="U68"/>
      <c r="V68"/>
      <c r="W68"/>
      <c r="X68"/>
      <c r="Y68"/>
      <c r="Z68"/>
      <c r="AA68"/>
    </row>
    <row r="69" spans="1:27">
      <c r="A69"/>
      <c r="B69" s="13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5"/>
      <c r="S69"/>
      <c r="T69"/>
      <c r="U69"/>
      <c r="V69"/>
      <c r="W69"/>
      <c r="X69"/>
      <c r="Y69"/>
      <c r="Z69"/>
      <c r="AA69"/>
    </row>
    <row r="70" spans="1:27">
      <c r="A70"/>
      <c r="B70" s="13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5"/>
      <c r="S70"/>
      <c r="T70"/>
      <c r="U70"/>
      <c r="V70"/>
      <c r="W70"/>
      <c r="X70"/>
      <c r="Y70"/>
      <c r="Z70"/>
      <c r="AA70"/>
    </row>
    <row r="71" spans="1:27">
      <c r="A71"/>
      <c r="B71" s="13"/>
      <c r="C71"/>
      <c r="D71"/>
      <c r="E71"/>
      <c r="F71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5"/>
      <c r="S71"/>
      <c r="T71"/>
      <c r="U71"/>
      <c r="V71"/>
      <c r="W71"/>
      <c r="X71"/>
      <c r="Y71"/>
      <c r="Z71"/>
      <c r="AA71"/>
    </row>
    <row r="72" spans="1:27">
      <c r="A72"/>
      <c r="B72" s="13"/>
      <c r="C72"/>
      <c r="D72"/>
      <c r="E72"/>
      <c r="F72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5"/>
      <c r="S72"/>
      <c r="T72"/>
      <c r="U72"/>
      <c r="V72"/>
      <c r="W72"/>
      <c r="X72"/>
      <c r="Y72"/>
      <c r="Z72"/>
      <c r="AA72"/>
    </row>
    <row r="73" spans="1:27">
      <c r="A73"/>
      <c r="B73" s="13"/>
      <c r="C73"/>
      <c r="D73"/>
      <c r="E73"/>
      <c r="F73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5"/>
      <c r="S73"/>
      <c r="T73"/>
      <c r="U73"/>
      <c r="V73"/>
      <c r="W73"/>
      <c r="X73"/>
      <c r="Y73"/>
      <c r="Z73"/>
      <c r="AA73"/>
    </row>
    <row r="74" spans="1:27">
      <c r="A74"/>
      <c r="B74" s="13"/>
      <c r="C74"/>
      <c r="D74"/>
      <c r="E74"/>
      <c r="F7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5"/>
      <c r="S74"/>
      <c r="T74"/>
      <c r="U74"/>
      <c r="V74"/>
      <c r="W74"/>
      <c r="X74"/>
      <c r="Y74"/>
      <c r="Z74"/>
      <c r="AA74"/>
    </row>
    <row r="75" spans="1:27">
      <c r="A75"/>
      <c r="B75" s="13"/>
      <c r="C75"/>
      <c r="D75"/>
      <c r="E75"/>
      <c r="F75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5"/>
      <c r="S75"/>
      <c r="T75"/>
      <c r="U75"/>
      <c r="V75"/>
      <c r="W75"/>
      <c r="X75"/>
      <c r="Y75"/>
      <c r="Z75"/>
      <c r="AA75"/>
    </row>
    <row r="76" spans="1:27">
      <c r="A76"/>
      <c r="B76" s="13"/>
      <c r="C76"/>
      <c r="D76"/>
      <c r="E76"/>
      <c r="F76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5"/>
      <c r="S76"/>
      <c r="T76"/>
      <c r="U76"/>
      <c r="V76"/>
      <c r="W76"/>
      <c r="X76"/>
      <c r="Y76"/>
      <c r="Z76"/>
      <c r="AA76"/>
    </row>
    <row r="77" spans="1:27">
      <c r="A77"/>
      <c r="B77" s="13"/>
      <c r="C77"/>
      <c r="D77"/>
      <c r="E77"/>
      <c r="F77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5"/>
      <c r="S77"/>
      <c r="T77"/>
      <c r="U77"/>
      <c r="V77"/>
      <c r="W77"/>
      <c r="X77"/>
      <c r="Y77"/>
      <c r="Z77"/>
      <c r="AA77"/>
    </row>
    <row r="78" spans="1:27">
      <c r="A78"/>
      <c r="B78" s="13"/>
      <c r="C78"/>
      <c r="D78"/>
      <c r="E78"/>
      <c r="F78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5"/>
      <c r="S78"/>
      <c r="T78"/>
      <c r="U78"/>
      <c r="V78"/>
      <c r="W78"/>
      <c r="X78"/>
      <c r="Y78"/>
      <c r="Z78"/>
      <c r="AA78"/>
    </row>
    <row r="79" spans="1:27">
      <c r="A79"/>
      <c r="B79" s="13"/>
      <c r="C79"/>
      <c r="D79"/>
      <c r="E79"/>
      <c r="F79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5"/>
      <c r="S79"/>
      <c r="T79"/>
      <c r="U79"/>
      <c r="V79"/>
      <c r="W79"/>
      <c r="X79"/>
      <c r="Y79"/>
      <c r="Z79"/>
      <c r="AA79"/>
    </row>
    <row r="80" spans="1:27">
      <c r="A80"/>
      <c r="B80" s="1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5"/>
      <c r="S80"/>
      <c r="T80"/>
      <c r="U80"/>
      <c r="V80"/>
      <c r="W80"/>
      <c r="X80"/>
      <c r="Y80"/>
      <c r="Z80"/>
      <c r="AA80"/>
    </row>
    <row r="81" spans="1:27">
      <c r="A81"/>
      <c r="B81" s="13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5"/>
      <c r="S81"/>
      <c r="T81"/>
      <c r="U81"/>
      <c r="V81"/>
      <c r="W81"/>
      <c r="X81"/>
      <c r="Y81"/>
      <c r="Z81"/>
      <c r="AA81"/>
    </row>
    <row r="82" spans="1:27" ht="30" customHeight="1">
      <c r="A82"/>
      <c r="B82" s="13"/>
      <c r="C82"/>
      <c r="D82"/>
      <c r="E82"/>
      <c r="F82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5"/>
      <c r="S82"/>
      <c r="T82"/>
      <c r="U82"/>
      <c r="V82"/>
      <c r="W82"/>
      <c r="X82"/>
      <c r="Y82"/>
      <c r="Z82"/>
      <c r="AA82"/>
    </row>
    <row r="83" spans="1:27">
      <c r="A83"/>
      <c r="B83" s="13"/>
      <c r="C83"/>
      <c r="D83"/>
      <c r="E83"/>
      <c r="F83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5"/>
      <c r="S83"/>
      <c r="T83"/>
      <c r="U83"/>
      <c r="V83"/>
      <c r="W83"/>
      <c r="X83"/>
      <c r="Y83"/>
      <c r="Z83"/>
      <c r="AA83"/>
    </row>
    <row r="84" spans="1:27">
      <c r="A84"/>
      <c r="B84" s="13"/>
      <c r="C84"/>
      <c r="D84"/>
      <c r="E84"/>
      <c r="F8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5"/>
      <c r="S84"/>
      <c r="T84"/>
      <c r="U84"/>
      <c r="V84"/>
      <c r="W84"/>
      <c r="X84"/>
      <c r="Y84"/>
      <c r="Z84"/>
      <c r="AA84"/>
    </row>
    <row r="85" spans="1:27">
      <c r="A85"/>
      <c r="B85" s="13"/>
      <c r="C85"/>
      <c r="D85"/>
      <c r="E85"/>
      <c r="F85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5"/>
      <c r="S85"/>
      <c r="T85"/>
      <c r="U85"/>
      <c r="V85"/>
      <c r="W85"/>
      <c r="X85"/>
      <c r="Y85"/>
      <c r="Z85"/>
      <c r="AA85"/>
    </row>
    <row r="86" spans="1:27">
      <c r="A86"/>
      <c r="B86" s="13"/>
      <c r="C86"/>
      <c r="D86"/>
      <c r="E86"/>
      <c r="F86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5"/>
      <c r="S86"/>
      <c r="T86"/>
      <c r="U86"/>
      <c r="V86"/>
      <c r="W86"/>
      <c r="X86"/>
      <c r="Y86"/>
      <c r="Z86"/>
      <c r="AA86"/>
    </row>
    <row r="87" spans="1:27">
      <c r="A87"/>
      <c r="B87" s="13"/>
      <c r="C87"/>
      <c r="D87"/>
      <c r="E87"/>
      <c r="F87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5"/>
      <c r="S87"/>
      <c r="T87"/>
      <c r="U87"/>
      <c r="V87"/>
      <c r="W87"/>
      <c r="X87"/>
      <c r="Y87"/>
      <c r="Z87"/>
      <c r="AA87"/>
    </row>
    <row r="88" spans="1:27">
      <c r="A88"/>
      <c r="B88" s="13"/>
      <c r="C88"/>
      <c r="D88"/>
      <c r="E88"/>
      <c r="F88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5"/>
      <c r="S88"/>
      <c r="T88"/>
      <c r="U88"/>
      <c r="V88"/>
      <c r="W88"/>
      <c r="X88"/>
      <c r="Y88"/>
      <c r="Z88"/>
      <c r="AA88"/>
    </row>
    <row r="89" spans="1:27">
      <c r="A89"/>
      <c r="B89" s="13"/>
      <c r="C89" s="28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5"/>
      <c r="S89"/>
      <c r="T89"/>
      <c r="U89"/>
      <c r="V89"/>
      <c r="W89"/>
      <c r="X89"/>
      <c r="Y89"/>
      <c r="Z89"/>
      <c r="AA89"/>
    </row>
    <row r="90" spans="1:27" ht="16" thickBot="1">
      <c r="A90"/>
      <c r="B90" s="16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8"/>
      <c r="S90"/>
      <c r="T90"/>
      <c r="U90"/>
      <c r="V90"/>
      <c r="W90"/>
      <c r="X90"/>
      <c r="Y90"/>
      <c r="Z90"/>
      <c r="AA90"/>
    </row>
    <row r="91" spans="1:27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6" thickBot="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>
      <c r="A93"/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2"/>
      <c r="S93"/>
      <c r="T93"/>
      <c r="U93"/>
      <c r="V93"/>
      <c r="W93"/>
      <c r="X93"/>
      <c r="Y93"/>
      <c r="Z93"/>
      <c r="AA93"/>
    </row>
    <row r="94" spans="1:27">
      <c r="A94"/>
      <c r="B94" s="350" t="s">
        <v>185</v>
      </c>
      <c r="C94" s="351"/>
      <c r="D94" s="351"/>
      <c r="E94" s="351"/>
      <c r="F94" s="351"/>
      <c r="G94" s="351"/>
      <c r="H94" s="351"/>
      <c r="I94" s="351"/>
      <c r="J94" s="351"/>
      <c r="K94" s="351"/>
      <c r="L94" s="351"/>
      <c r="M94" s="351"/>
      <c r="N94" s="351"/>
      <c r="O94" s="351"/>
      <c r="P94" s="351"/>
      <c r="Q94" s="351"/>
      <c r="R94" s="352"/>
      <c r="S94"/>
      <c r="T94"/>
      <c r="U94"/>
      <c r="V94"/>
      <c r="W94"/>
      <c r="X94"/>
      <c r="Y94"/>
      <c r="Z94"/>
      <c r="AA94"/>
    </row>
    <row r="95" spans="1:27" ht="16" thickBot="1">
      <c r="A95"/>
      <c r="B95" s="16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8"/>
      <c r="S95"/>
      <c r="T95"/>
      <c r="U95"/>
      <c r="V95"/>
      <c r="W95"/>
      <c r="X95"/>
      <c r="Y95"/>
      <c r="Z95"/>
      <c r="AA95"/>
    </row>
    <row r="96" spans="1:27">
      <c r="A96"/>
      <c r="B96" s="13"/>
      <c r="C96" s="14"/>
      <c r="D96" s="14"/>
      <c r="E96" s="14"/>
      <c r="F96" s="14"/>
      <c r="G96" s="14"/>
      <c r="H96" s="14"/>
      <c r="I96" s="14"/>
      <c r="K96"/>
      <c r="L96"/>
      <c r="M96"/>
      <c r="N96"/>
      <c r="O96"/>
      <c r="P96"/>
      <c r="Q96"/>
      <c r="R96" s="15"/>
      <c r="S96"/>
      <c r="T96"/>
      <c r="U96"/>
      <c r="V96"/>
      <c r="W96"/>
    </row>
    <row r="97" spans="1:23">
      <c r="A97"/>
      <c r="B97" s="13"/>
      <c r="C97" s="29" t="s">
        <v>283</v>
      </c>
      <c r="G97" s="14"/>
      <c r="H97" s="14"/>
      <c r="I97" s="14"/>
      <c r="J97"/>
      <c r="K97"/>
      <c r="L97"/>
      <c r="M97"/>
      <c r="N97"/>
      <c r="O97"/>
      <c r="P97"/>
      <c r="Q97"/>
      <c r="R97" s="15"/>
      <c r="S97"/>
      <c r="T97"/>
      <c r="U97"/>
      <c r="V97"/>
      <c r="W97"/>
    </row>
    <row r="98" spans="1:23">
      <c r="A98"/>
      <c r="B98" s="13"/>
      <c r="G98" s="14"/>
      <c r="H98" s="14"/>
      <c r="I98" s="14"/>
      <c r="J98"/>
      <c r="K98"/>
      <c r="L98"/>
      <c r="M98"/>
      <c r="N98"/>
      <c r="O98"/>
      <c r="P98"/>
      <c r="Q98"/>
      <c r="R98" s="15"/>
      <c r="S98"/>
      <c r="T98"/>
      <c r="U98"/>
      <c r="V98"/>
      <c r="W98"/>
    </row>
    <row r="99" spans="1:23">
      <c r="A99"/>
      <c r="B99" s="13"/>
      <c r="C99" s="30" t="s">
        <v>122</v>
      </c>
      <c r="D99" s="349" t="s">
        <v>279</v>
      </c>
      <c r="E99" s="349"/>
      <c r="F99" s="349"/>
      <c r="G99" s="14"/>
      <c r="H99" s="14"/>
      <c r="I99" s="14"/>
      <c r="J99"/>
      <c r="K99"/>
      <c r="L99"/>
      <c r="M99"/>
      <c r="N99"/>
      <c r="O99"/>
      <c r="P99"/>
      <c r="Q99"/>
      <c r="R99" s="15"/>
      <c r="S99"/>
      <c r="T99"/>
      <c r="U99"/>
      <c r="V99"/>
      <c r="W99"/>
    </row>
    <row r="100" spans="1:23">
      <c r="A100"/>
      <c r="B100" s="13"/>
      <c r="D100" s="349"/>
      <c r="E100" s="349"/>
      <c r="F100" s="349"/>
      <c r="G100" s="14"/>
      <c r="H100" s="14"/>
      <c r="I100" s="14"/>
      <c r="J100"/>
      <c r="K100"/>
      <c r="L100"/>
      <c r="M100"/>
      <c r="N100"/>
      <c r="O100"/>
      <c r="P100"/>
      <c r="Q100"/>
      <c r="R100" s="15"/>
      <c r="S100"/>
      <c r="T100"/>
      <c r="U100"/>
      <c r="V100"/>
      <c r="W100"/>
    </row>
    <row r="101" spans="1:23" ht="30" customHeight="1">
      <c r="A101"/>
      <c r="B101" s="13"/>
      <c r="C101" s="14"/>
      <c r="D101" s="349" t="s">
        <v>280</v>
      </c>
      <c r="E101" s="349"/>
      <c r="F101" s="349"/>
      <c r="G101" s="349"/>
      <c r="H101" s="349"/>
      <c r="I101" s="14"/>
      <c r="J101" s="14"/>
      <c r="K101" s="14"/>
      <c r="L101" s="14"/>
      <c r="M101" s="14"/>
      <c r="N101" s="14"/>
      <c r="O101" s="14"/>
      <c r="P101" s="14"/>
      <c r="Q101" s="14"/>
      <c r="R101" s="15"/>
      <c r="S101"/>
      <c r="T101"/>
      <c r="U101"/>
      <c r="V101"/>
      <c r="W101"/>
    </row>
    <row r="102" spans="1:23">
      <c r="A102"/>
      <c r="B102" s="13"/>
      <c r="C102" s="14"/>
      <c r="D102" s="349"/>
      <c r="E102" s="349"/>
      <c r="F102" s="349"/>
      <c r="G102" s="349"/>
      <c r="H102" s="349"/>
      <c r="I102" s="14"/>
      <c r="J102" s="14"/>
      <c r="K102" s="14"/>
      <c r="L102" s="14"/>
      <c r="M102" s="14"/>
      <c r="N102" s="14"/>
      <c r="O102" s="14"/>
      <c r="P102" s="14"/>
      <c r="Q102" s="14"/>
      <c r="R102" s="15"/>
      <c r="S102"/>
      <c r="T102"/>
      <c r="U102"/>
      <c r="V102"/>
      <c r="W102"/>
    </row>
    <row r="103" spans="1:23">
      <c r="A103"/>
      <c r="B103" s="13"/>
      <c r="C103" s="14"/>
      <c r="D103" s="349"/>
      <c r="E103" s="349"/>
      <c r="F103" s="349"/>
      <c r="G103" s="349"/>
      <c r="H103" s="349"/>
      <c r="I103" s="14"/>
      <c r="J103" s="14"/>
      <c r="K103" s="14"/>
      <c r="L103" s="14"/>
      <c r="M103" s="14"/>
      <c r="N103" s="14"/>
      <c r="O103" s="14"/>
      <c r="P103" s="14"/>
      <c r="Q103" s="14"/>
      <c r="R103" s="15"/>
      <c r="S103"/>
      <c r="T103"/>
      <c r="U103"/>
      <c r="V103"/>
      <c r="W103"/>
    </row>
    <row r="104" spans="1:23">
      <c r="A104"/>
      <c r="B104" s="13"/>
      <c r="C104" s="28" t="s">
        <v>121</v>
      </c>
      <c r="D104" s="166" t="s">
        <v>268</v>
      </c>
      <c r="E104" s="172"/>
      <c r="F104" s="172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5"/>
      <c r="S104"/>
      <c r="T104"/>
      <c r="U104"/>
      <c r="V104"/>
      <c r="W104"/>
    </row>
    <row r="105" spans="1:23">
      <c r="A105"/>
      <c r="B105" s="13"/>
      <c r="C105" s="14"/>
      <c r="D105" s="1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5"/>
      <c r="S105"/>
      <c r="T105"/>
      <c r="U105"/>
      <c r="V105"/>
      <c r="W105"/>
    </row>
    <row r="106" spans="1:23">
      <c r="A106"/>
      <c r="B106" s="13"/>
      <c r="C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5"/>
      <c r="S106"/>
      <c r="T106"/>
      <c r="U106"/>
      <c r="V106"/>
      <c r="W106"/>
    </row>
    <row r="107" spans="1:23">
      <c r="A107"/>
      <c r="B107" s="13"/>
      <c r="C107" s="14"/>
      <c r="D107" s="1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5"/>
      <c r="S107"/>
      <c r="T107"/>
      <c r="U107"/>
      <c r="V107"/>
      <c r="W107"/>
    </row>
    <row r="108" spans="1:23">
      <c r="A108"/>
      <c r="B108" s="13"/>
      <c r="C108" s="29"/>
      <c r="D108" s="1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5"/>
      <c r="S108"/>
      <c r="T108"/>
      <c r="U108"/>
      <c r="V108"/>
      <c r="W108"/>
    </row>
    <row r="109" spans="1:23">
      <c r="A109"/>
      <c r="B109" s="13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5"/>
      <c r="S109"/>
      <c r="T109"/>
      <c r="U109"/>
      <c r="V109"/>
      <c r="W109"/>
    </row>
    <row r="110" spans="1:23">
      <c r="A110"/>
      <c r="B110" s="13"/>
      <c r="C110" s="30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5"/>
      <c r="S110"/>
      <c r="T110"/>
      <c r="U110"/>
      <c r="V110"/>
      <c r="W110"/>
    </row>
    <row r="111" spans="1:23">
      <c r="A111"/>
      <c r="B111" s="13"/>
      <c r="C111" s="30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5"/>
      <c r="S111"/>
      <c r="T111"/>
      <c r="U111"/>
      <c r="V111"/>
      <c r="W111"/>
    </row>
    <row r="112" spans="1:23">
      <c r="A112"/>
      <c r="B112" s="13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5"/>
      <c r="S112"/>
      <c r="T112"/>
      <c r="U112"/>
      <c r="V112"/>
      <c r="W112"/>
    </row>
    <row r="113" spans="1:23">
      <c r="A113"/>
      <c r="B113" s="13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5"/>
      <c r="S113"/>
      <c r="T113"/>
      <c r="U113"/>
      <c r="V113"/>
      <c r="W113"/>
    </row>
    <row r="114" spans="1:23">
      <c r="A114"/>
      <c r="B114" s="13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5"/>
      <c r="S114"/>
      <c r="T114"/>
      <c r="U114"/>
      <c r="V114"/>
      <c r="W114"/>
    </row>
    <row r="115" spans="1:23">
      <c r="A115"/>
      <c r="B115" s="13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5"/>
      <c r="S115"/>
      <c r="T115"/>
      <c r="U115"/>
      <c r="V115"/>
      <c r="W115"/>
    </row>
    <row r="116" spans="1:23">
      <c r="A116"/>
      <c r="B116" s="13"/>
      <c r="C116"/>
      <c r="D116"/>
      <c r="E116"/>
      <c r="F116"/>
      <c r="G116"/>
      <c r="H116"/>
      <c r="I116"/>
      <c r="J116" s="14"/>
      <c r="K116" s="14"/>
      <c r="L116" s="14"/>
      <c r="M116" s="14"/>
      <c r="N116" s="14"/>
      <c r="O116" s="14"/>
      <c r="P116" s="14"/>
      <c r="Q116" s="14"/>
      <c r="R116" s="15"/>
      <c r="S116"/>
      <c r="T116"/>
      <c r="U116"/>
      <c r="V116"/>
      <c r="W116"/>
    </row>
    <row r="117" spans="1:23">
      <c r="A117"/>
      <c r="B117" s="13"/>
      <c r="C117"/>
      <c r="D117"/>
      <c r="E117"/>
      <c r="F117"/>
      <c r="G117"/>
      <c r="H117"/>
      <c r="I117"/>
      <c r="J117" s="14"/>
      <c r="K117" s="14"/>
      <c r="L117" s="14"/>
      <c r="M117" s="14"/>
      <c r="N117" s="14"/>
      <c r="O117" s="14"/>
      <c r="P117" s="14"/>
      <c r="Q117" s="14"/>
      <c r="R117" s="15"/>
      <c r="S117"/>
      <c r="T117"/>
      <c r="U117"/>
      <c r="V117"/>
      <c r="W117"/>
    </row>
    <row r="118" spans="1:23">
      <c r="A118"/>
      <c r="B118" s="13"/>
      <c r="C118"/>
      <c r="D118"/>
      <c r="E118"/>
      <c r="F118"/>
      <c r="G118"/>
      <c r="H118"/>
      <c r="I118"/>
      <c r="J118" s="14"/>
      <c r="K118" s="14"/>
      <c r="L118" s="14"/>
      <c r="M118" s="14"/>
      <c r="N118" s="14"/>
      <c r="O118" s="14"/>
      <c r="P118" s="14"/>
      <c r="Q118" s="14"/>
      <c r="R118" s="15"/>
      <c r="S118"/>
      <c r="T118"/>
      <c r="U118"/>
      <c r="V118"/>
      <c r="W118"/>
    </row>
    <row r="119" spans="1:23">
      <c r="A119"/>
      <c r="B119" s="13"/>
      <c r="C119"/>
      <c r="D119"/>
      <c r="E119"/>
      <c r="F119"/>
      <c r="G119"/>
      <c r="H119"/>
      <c r="I119"/>
      <c r="J119" s="14"/>
      <c r="K119" s="14"/>
      <c r="L119" s="14"/>
      <c r="M119" s="14"/>
      <c r="N119" s="14"/>
      <c r="O119" s="14"/>
      <c r="P119" s="14"/>
      <c r="Q119" s="14"/>
      <c r="R119" s="15"/>
      <c r="S119"/>
      <c r="T119"/>
      <c r="U119"/>
      <c r="V119"/>
      <c r="W119"/>
    </row>
    <row r="120" spans="1:23">
      <c r="A120"/>
      <c r="B120" s="13"/>
      <c r="C120"/>
      <c r="D120"/>
      <c r="E120"/>
      <c r="F120"/>
      <c r="G120"/>
      <c r="H120"/>
      <c r="I120"/>
      <c r="J120" s="14"/>
      <c r="K120" s="14"/>
      <c r="L120" s="14"/>
      <c r="M120" s="14"/>
      <c r="N120" s="14"/>
      <c r="O120" s="14"/>
      <c r="P120" s="14"/>
      <c r="Q120" s="14"/>
      <c r="R120" s="15"/>
      <c r="S120"/>
      <c r="T120"/>
      <c r="U120"/>
      <c r="V120"/>
      <c r="W120"/>
    </row>
    <row r="121" spans="1:23">
      <c r="A121"/>
      <c r="B121" s="13"/>
      <c r="C121"/>
      <c r="D121"/>
      <c r="E121"/>
      <c r="F121"/>
      <c r="G121"/>
      <c r="H121"/>
      <c r="I121"/>
      <c r="J121" s="14"/>
      <c r="K121" s="14"/>
      <c r="L121" s="14"/>
      <c r="M121" s="14"/>
      <c r="N121" s="14"/>
      <c r="O121" s="14"/>
      <c r="P121" s="14"/>
      <c r="Q121" s="14"/>
      <c r="R121" s="15"/>
      <c r="S121"/>
      <c r="T121"/>
      <c r="U121"/>
      <c r="V121"/>
      <c r="W121"/>
    </row>
    <row r="122" spans="1:23">
      <c r="A122"/>
      <c r="B122" s="13"/>
      <c r="C122"/>
      <c r="D122"/>
      <c r="E122"/>
      <c r="F122"/>
      <c r="G122"/>
      <c r="H122"/>
      <c r="I122"/>
      <c r="J122" s="14"/>
      <c r="K122" s="14"/>
      <c r="L122" s="14"/>
      <c r="M122" s="14"/>
      <c r="N122" s="14"/>
      <c r="O122" s="14"/>
      <c r="P122" s="14"/>
      <c r="Q122" s="14"/>
      <c r="R122" s="15"/>
      <c r="S122"/>
      <c r="T122"/>
      <c r="U122"/>
      <c r="V122"/>
      <c r="W122"/>
    </row>
    <row r="123" spans="1:23">
      <c r="A123"/>
      <c r="B123" s="13"/>
      <c r="C123"/>
      <c r="D123"/>
      <c r="E123"/>
      <c r="F123"/>
      <c r="G123"/>
      <c r="H123"/>
      <c r="I123"/>
      <c r="J123" s="14"/>
      <c r="K123" s="14"/>
      <c r="L123" s="14"/>
      <c r="M123" s="14"/>
      <c r="N123" s="14"/>
      <c r="O123" s="14"/>
      <c r="P123" s="14"/>
      <c r="Q123" s="14"/>
      <c r="R123" s="15"/>
      <c r="S123"/>
      <c r="T123"/>
      <c r="U123"/>
      <c r="V123"/>
      <c r="W123"/>
    </row>
    <row r="124" spans="1:23">
      <c r="A124"/>
      <c r="B124" s="13"/>
      <c r="C124"/>
      <c r="D124"/>
      <c r="E124"/>
      <c r="F124"/>
      <c r="G124"/>
      <c r="H124"/>
      <c r="I124"/>
      <c r="J124" s="14"/>
      <c r="K124" s="14"/>
      <c r="L124" s="14"/>
      <c r="M124" s="14"/>
      <c r="N124" s="14"/>
      <c r="O124" s="14"/>
      <c r="P124" s="14"/>
      <c r="Q124" s="14"/>
      <c r="R124" s="15"/>
      <c r="S124"/>
      <c r="T124"/>
      <c r="U124"/>
      <c r="V124"/>
      <c r="W124"/>
    </row>
    <row r="125" spans="1:23">
      <c r="A125"/>
      <c r="B125" s="13"/>
      <c r="C125"/>
      <c r="D125"/>
      <c r="E125"/>
      <c r="F125"/>
      <c r="G125"/>
      <c r="H125"/>
      <c r="I125"/>
      <c r="J125" s="14"/>
      <c r="K125" s="14"/>
      <c r="L125" s="14"/>
      <c r="M125" s="14"/>
      <c r="N125" s="14"/>
      <c r="O125" s="14"/>
      <c r="P125" s="14"/>
      <c r="Q125" s="14"/>
      <c r="R125" s="15"/>
      <c r="S125"/>
      <c r="T125"/>
      <c r="U125"/>
      <c r="V125"/>
      <c r="W125"/>
    </row>
    <row r="126" spans="1:23">
      <c r="A126"/>
      <c r="B126" s="13"/>
      <c r="C126"/>
      <c r="D126"/>
      <c r="E126"/>
      <c r="F126"/>
      <c r="G126"/>
      <c r="H126"/>
      <c r="I126"/>
      <c r="J126" s="14"/>
      <c r="K126" s="14"/>
      <c r="L126" s="14"/>
      <c r="M126" s="14"/>
      <c r="N126" s="14"/>
      <c r="O126" s="14"/>
      <c r="P126" s="14"/>
      <c r="Q126" s="14"/>
      <c r="R126" s="15"/>
      <c r="S126"/>
      <c r="T126"/>
      <c r="U126"/>
      <c r="V126"/>
      <c r="W126"/>
    </row>
    <row r="127" spans="1:23">
      <c r="A127"/>
      <c r="B127" s="13"/>
      <c r="C127"/>
      <c r="D127"/>
      <c r="E127"/>
      <c r="F127"/>
      <c r="G127"/>
      <c r="H127"/>
      <c r="I127"/>
      <c r="J127" s="14"/>
      <c r="K127" s="14"/>
      <c r="L127" s="14"/>
      <c r="M127" s="14"/>
      <c r="N127" s="14"/>
      <c r="O127" s="14"/>
      <c r="P127" s="14"/>
      <c r="Q127" s="14"/>
      <c r="R127" s="15"/>
      <c r="S127"/>
      <c r="T127"/>
      <c r="U127"/>
      <c r="V127"/>
      <c r="W127"/>
    </row>
    <row r="128" spans="1:23">
      <c r="A128"/>
      <c r="B128" s="13"/>
      <c r="C128"/>
      <c r="D128"/>
      <c r="E128"/>
      <c r="F128"/>
      <c r="G128"/>
      <c r="H128"/>
      <c r="I128"/>
      <c r="J128" s="14"/>
      <c r="K128" s="14"/>
      <c r="L128" s="14"/>
      <c r="M128" s="14"/>
      <c r="N128" s="14"/>
      <c r="O128" s="14"/>
      <c r="P128" s="14"/>
      <c r="Q128" s="14"/>
      <c r="R128" s="15"/>
      <c r="S128"/>
      <c r="T128"/>
      <c r="U128"/>
      <c r="V128"/>
      <c r="W128"/>
    </row>
    <row r="129" spans="1:23">
      <c r="A129"/>
      <c r="B129" s="13"/>
      <c r="C129"/>
      <c r="D129"/>
      <c r="E129"/>
      <c r="F129"/>
      <c r="G129"/>
      <c r="H129"/>
      <c r="I129"/>
      <c r="J129" s="14"/>
      <c r="K129" s="14"/>
      <c r="L129" s="14"/>
      <c r="M129" s="14"/>
      <c r="N129" s="14"/>
      <c r="O129" s="14"/>
      <c r="P129" s="14"/>
      <c r="Q129" s="14"/>
      <c r="R129" s="15"/>
      <c r="S129"/>
      <c r="T129"/>
      <c r="U129"/>
      <c r="V129"/>
      <c r="W129"/>
    </row>
    <row r="130" spans="1:23">
      <c r="A130"/>
      <c r="B130" s="13"/>
      <c r="C130"/>
      <c r="D130"/>
      <c r="E130"/>
      <c r="F130"/>
      <c r="G130"/>
      <c r="H130"/>
      <c r="I130"/>
      <c r="J130" s="14"/>
      <c r="K130" s="14"/>
      <c r="L130" s="14"/>
      <c r="M130" s="14"/>
      <c r="N130" s="14"/>
      <c r="O130" s="14"/>
      <c r="P130" s="14"/>
      <c r="Q130" s="14"/>
      <c r="R130" s="15"/>
      <c r="S130"/>
      <c r="T130"/>
      <c r="U130"/>
      <c r="V130"/>
      <c r="W130"/>
    </row>
    <row r="131" spans="1:23">
      <c r="A131"/>
      <c r="B131" s="13"/>
      <c r="C131"/>
      <c r="D131"/>
      <c r="E131"/>
      <c r="F131"/>
      <c r="G131"/>
      <c r="H131"/>
      <c r="I131"/>
      <c r="J131" s="14"/>
      <c r="K131" s="14"/>
      <c r="L131" s="14"/>
      <c r="M131" s="14"/>
      <c r="N131" s="14"/>
      <c r="O131" s="14"/>
      <c r="P131" s="14"/>
      <c r="Q131" s="14"/>
      <c r="R131" s="15"/>
      <c r="S131"/>
      <c r="T131"/>
      <c r="U131"/>
      <c r="V131"/>
      <c r="W131"/>
    </row>
    <row r="132" spans="1:23">
      <c r="A132"/>
      <c r="B132" s="13"/>
      <c r="C132"/>
      <c r="D132"/>
      <c r="E132"/>
      <c r="F132"/>
      <c r="G132"/>
      <c r="H132"/>
      <c r="I132"/>
      <c r="J132" s="14"/>
      <c r="K132" s="14"/>
      <c r="L132" s="14"/>
      <c r="M132" s="14"/>
      <c r="N132" s="14"/>
      <c r="O132" s="14"/>
      <c r="P132" s="14"/>
      <c r="Q132" s="14"/>
      <c r="R132" s="15"/>
      <c r="S132"/>
      <c r="T132"/>
      <c r="U132"/>
      <c r="V132"/>
      <c r="W132"/>
    </row>
    <row r="133" spans="1:23">
      <c r="A133"/>
      <c r="B133" s="13"/>
      <c r="C133"/>
      <c r="D133"/>
      <c r="E133"/>
      <c r="F133"/>
      <c r="G133"/>
      <c r="H133"/>
      <c r="I133"/>
      <c r="J133" s="14"/>
      <c r="K133" s="14"/>
      <c r="L133" s="14"/>
      <c r="M133" s="14"/>
      <c r="N133" s="14"/>
      <c r="O133" s="14"/>
      <c r="P133" s="14"/>
      <c r="Q133" s="14"/>
      <c r="R133" s="15"/>
      <c r="S133"/>
      <c r="T133"/>
      <c r="U133"/>
      <c r="V133"/>
      <c r="W133"/>
    </row>
    <row r="134" spans="1:23">
      <c r="A134"/>
      <c r="B134" s="13"/>
      <c r="C134"/>
      <c r="D134"/>
      <c r="E134"/>
      <c r="F134"/>
      <c r="G134"/>
      <c r="H134"/>
      <c r="I134"/>
      <c r="J134" s="14"/>
      <c r="K134" s="14"/>
      <c r="L134" s="14"/>
      <c r="M134" s="14"/>
      <c r="N134" s="14"/>
      <c r="O134" s="14"/>
      <c r="P134" s="14"/>
      <c r="Q134" s="14"/>
      <c r="R134" s="15"/>
      <c r="S134"/>
      <c r="T134"/>
      <c r="U134"/>
      <c r="V134"/>
      <c r="W134"/>
    </row>
    <row r="135" spans="1:23">
      <c r="A135"/>
      <c r="B135" s="13"/>
      <c r="C135" s="28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5"/>
      <c r="S135"/>
      <c r="T135"/>
      <c r="U135"/>
      <c r="V135"/>
      <c r="W135"/>
    </row>
    <row r="136" spans="1:23" ht="16" thickBot="1">
      <c r="A136"/>
      <c r="B136" s="16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8"/>
      <c r="S136"/>
      <c r="T136"/>
      <c r="U136"/>
      <c r="V136"/>
      <c r="W136"/>
    </row>
    <row r="137" spans="1:23">
      <c r="A137"/>
      <c r="B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 ht="16" thickBot="1">
      <c r="A138"/>
      <c r="B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>
      <c r="A139"/>
      <c r="B139" s="10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2"/>
      <c r="S139"/>
      <c r="T139"/>
      <c r="U139"/>
      <c r="V139"/>
      <c r="W139"/>
    </row>
    <row r="140" spans="1:23">
      <c r="A140"/>
      <c r="B140" s="350" t="s">
        <v>185</v>
      </c>
      <c r="C140" s="351"/>
      <c r="D140" s="351"/>
      <c r="E140" s="351"/>
      <c r="F140" s="351"/>
      <c r="G140" s="351"/>
      <c r="H140" s="351"/>
      <c r="I140" s="351"/>
      <c r="J140" s="351"/>
      <c r="K140" s="351"/>
      <c r="L140" s="351"/>
      <c r="M140" s="351"/>
      <c r="N140" s="351"/>
      <c r="O140" s="351"/>
      <c r="P140" s="351"/>
      <c r="Q140" s="351"/>
      <c r="R140" s="352"/>
      <c r="S140"/>
      <c r="T140"/>
      <c r="U140"/>
      <c r="V140"/>
      <c r="W140"/>
    </row>
    <row r="141" spans="1:23" ht="16" thickBot="1">
      <c r="A141"/>
      <c r="B141" s="16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8"/>
      <c r="S141"/>
      <c r="T141"/>
      <c r="U141"/>
      <c r="V141"/>
      <c r="W141"/>
    </row>
    <row r="142" spans="1:23">
      <c r="A142"/>
      <c r="B142" s="13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 s="15"/>
      <c r="S142"/>
      <c r="T142"/>
      <c r="U142"/>
      <c r="V142"/>
      <c r="W142"/>
    </row>
    <row r="143" spans="1:23">
      <c r="A143"/>
      <c r="B143" s="13"/>
      <c r="C143" s="29" t="s">
        <v>287</v>
      </c>
      <c r="G143"/>
      <c r="H143"/>
      <c r="I143"/>
      <c r="J143"/>
      <c r="K143"/>
      <c r="L143"/>
      <c r="M143"/>
      <c r="N143"/>
      <c r="O143"/>
      <c r="P143"/>
      <c r="Q143"/>
      <c r="R143" s="15"/>
      <c r="S143"/>
      <c r="T143"/>
      <c r="U143"/>
      <c r="V143"/>
      <c r="W143"/>
    </row>
    <row r="144" spans="1:23">
      <c r="A144"/>
      <c r="B144" s="13"/>
      <c r="G144"/>
      <c r="H144"/>
      <c r="I144"/>
      <c r="J144"/>
      <c r="K144"/>
      <c r="L144"/>
      <c r="M144"/>
      <c r="N144"/>
      <c r="O144"/>
      <c r="P144"/>
      <c r="Q144"/>
      <c r="R144" s="15"/>
      <c r="S144"/>
      <c r="T144"/>
      <c r="U144"/>
      <c r="V144"/>
      <c r="W144"/>
    </row>
    <row r="145" spans="1:23" ht="18" customHeight="1">
      <c r="A145"/>
      <c r="B145" s="13"/>
      <c r="C145" s="30" t="s">
        <v>122</v>
      </c>
      <c r="D145" s="349" t="s">
        <v>288</v>
      </c>
      <c r="E145" s="349"/>
      <c r="F145" s="349"/>
      <c r="G145"/>
      <c r="H145"/>
      <c r="I145"/>
      <c r="J145"/>
      <c r="K145"/>
      <c r="L145"/>
      <c r="M145"/>
      <c r="N145"/>
      <c r="O145"/>
      <c r="P145"/>
      <c r="Q145"/>
      <c r="R145" s="15"/>
      <c r="S145"/>
      <c r="T145"/>
      <c r="U145"/>
      <c r="V145"/>
      <c r="W145"/>
    </row>
    <row r="146" spans="1:23">
      <c r="B146" s="13"/>
      <c r="D146" s="349"/>
      <c r="E146" s="349"/>
      <c r="F146" s="349"/>
      <c r="G146"/>
      <c r="H146"/>
      <c r="I146"/>
      <c r="J146"/>
      <c r="K146"/>
      <c r="L146"/>
      <c r="M146"/>
      <c r="N146"/>
      <c r="O146"/>
      <c r="P146"/>
      <c r="Q146"/>
      <c r="R146" s="15"/>
    </row>
    <row r="147" spans="1:23" ht="18" customHeight="1">
      <c r="B147" s="13"/>
      <c r="C147" s="14"/>
      <c r="D147" s="349" t="s">
        <v>267</v>
      </c>
      <c r="E147" s="349"/>
      <c r="F147" s="349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5"/>
    </row>
    <row r="148" spans="1:23">
      <c r="B148" s="13"/>
      <c r="C148" s="14"/>
      <c r="D148" s="349"/>
      <c r="E148" s="349"/>
      <c r="F148" s="349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5"/>
    </row>
    <row r="149" spans="1:23">
      <c r="B149" s="13"/>
      <c r="C149" s="14"/>
      <c r="D149" s="349"/>
      <c r="E149" s="349"/>
      <c r="F149" s="349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5"/>
    </row>
    <row r="150" spans="1:23">
      <c r="B150" s="13"/>
      <c r="C150" s="28" t="s">
        <v>121</v>
      </c>
      <c r="D150" s="166" t="s">
        <v>268</v>
      </c>
      <c r="E150" s="172"/>
      <c r="F150" s="172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5"/>
    </row>
    <row r="151" spans="1:23">
      <c r="B151" s="13"/>
      <c r="C151" s="14"/>
      <c r="D151" s="172"/>
      <c r="E151" s="172"/>
      <c r="F151" s="172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5"/>
    </row>
    <row r="152" spans="1:23">
      <c r="B152" s="13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5"/>
    </row>
    <row r="153" spans="1:23">
      <c r="B153" s="13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5"/>
    </row>
    <row r="154" spans="1:23">
      <c r="B154" s="13"/>
      <c r="C154" s="29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5"/>
    </row>
    <row r="155" spans="1:23">
      <c r="B155" s="13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5"/>
    </row>
    <row r="156" spans="1:23">
      <c r="B156" s="13"/>
      <c r="C156" s="30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5"/>
    </row>
    <row r="157" spans="1:23">
      <c r="B157" s="13"/>
      <c r="C157" s="30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5"/>
    </row>
    <row r="158" spans="1:23">
      <c r="B158" s="13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5"/>
    </row>
    <row r="159" spans="1:23">
      <c r="B159" s="13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5"/>
    </row>
    <row r="160" spans="1:23">
      <c r="B160" s="13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5"/>
    </row>
    <row r="161" spans="2:18">
      <c r="B161" s="13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5"/>
    </row>
    <row r="162" spans="2:18">
      <c r="B162" s="13"/>
      <c r="J162" s="14"/>
      <c r="K162" s="14"/>
      <c r="L162" s="14"/>
      <c r="M162" s="14"/>
      <c r="N162" s="14"/>
      <c r="O162" s="14"/>
      <c r="P162" s="14"/>
      <c r="Q162" s="14"/>
      <c r="R162" s="15"/>
    </row>
    <row r="163" spans="2:18">
      <c r="B163" s="13"/>
      <c r="J163" s="14"/>
      <c r="K163" s="14"/>
      <c r="L163" s="14"/>
      <c r="M163" s="14"/>
      <c r="N163" s="14"/>
      <c r="O163" s="14"/>
      <c r="P163" s="14"/>
      <c r="Q163" s="14"/>
      <c r="R163" s="15"/>
    </row>
    <row r="164" spans="2:18">
      <c r="B164" s="13"/>
      <c r="J164" s="14"/>
      <c r="K164" s="14"/>
      <c r="L164" s="14"/>
      <c r="M164" s="14"/>
      <c r="N164" s="14"/>
      <c r="O164" s="14"/>
      <c r="P164" s="14"/>
      <c r="Q164" s="14"/>
      <c r="R164" s="15"/>
    </row>
    <row r="165" spans="2:18">
      <c r="B165" s="13"/>
      <c r="J165" s="14"/>
      <c r="K165" s="14"/>
      <c r="L165" s="14"/>
      <c r="M165" s="14"/>
      <c r="N165" s="14"/>
      <c r="O165" s="14"/>
      <c r="P165" s="14"/>
      <c r="Q165" s="14"/>
      <c r="R165" s="15"/>
    </row>
    <row r="166" spans="2:18">
      <c r="B166" s="13"/>
      <c r="J166" s="14"/>
      <c r="K166" s="14"/>
      <c r="L166" s="14"/>
      <c r="M166" s="14"/>
      <c r="N166" s="14"/>
      <c r="O166" s="14"/>
      <c r="P166" s="14"/>
      <c r="Q166" s="14"/>
      <c r="R166" s="15"/>
    </row>
    <row r="167" spans="2:18">
      <c r="B167" s="13"/>
      <c r="J167" s="14"/>
      <c r="K167" s="14"/>
      <c r="L167" s="14"/>
      <c r="M167" s="14"/>
      <c r="N167" s="14"/>
      <c r="O167" s="14"/>
      <c r="P167" s="14"/>
      <c r="Q167" s="14"/>
      <c r="R167" s="15"/>
    </row>
    <row r="168" spans="2:18">
      <c r="B168" s="13"/>
      <c r="J168" s="14"/>
      <c r="K168" s="14"/>
      <c r="L168" s="14"/>
      <c r="M168" s="14"/>
      <c r="N168" s="14"/>
      <c r="O168" s="14"/>
      <c r="P168" s="14"/>
      <c r="Q168" s="14"/>
      <c r="R168" s="15"/>
    </row>
    <row r="169" spans="2:18">
      <c r="B169" s="13"/>
      <c r="J169" s="14"/>
      <c r="K169" s="14"/>
      <c r="L169" s="14"/>
      <c r="M169" s="14"/>
      <c r="N169" s="14"/>
      <c r="O169" s="14"/>
      <c r="P169" s="14"/>
      <c r="Q169" s="14"/>
      <c r="R169" s="15"/>
    </row>
    <row r="170" spans="2:18">
      <c r="B170" s="13"/>
      <c r="J170" s="14"/>
      <c r="K170" s="14"/>
      <c r="L170" s="14"/>
      <c r="M170" s="14"/>
      <c r="N170" s="14"/>
      <c r="O170" s="14"/>
      <c r="P170" s="14"/>
      <c r="Q170" s="14"/>
      <c r="R170" s="15"/>
    </row>
    <row r="171" spans="2:18">
      <c r="B171" s="13"/>
      <c r="J171" s="14"/>
      <c r="K171" s="14"/>
      <c r="L171" s="14"/>
      <c r="M171" s="14"/>
      <c r="N171" s="14"/>
      <c r="O171" s="14"/>
      <c r="P171" s="14"/>
      <c r="Q171" s="14"/>
      <c r="R171" s="15"/>
    </row>
    <row r="172" spans="2:18">
      <c r="B172" s="13"/>
      <c r="J172" s="14"/>
      <c r="K172" s="14"/>
      <c r="L172" s="14"/>
      <c r="M172" s="14"/>
      <c r="N172" s="14"/>
      <c r="O172" s="14"/>
      <c r="P172" s="14"/>
      <c r="Q172" s="14"/>
      <c r="R172" s="15"/>
    </row>
    <row r="173" spans="2:18">
      <c r="B173" s="13"/>
      <c r="C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5"/>
    </row>
    <row r="174" spans="2:18">
      <c r="B174" s="13"/>
      <c r="C174" s="20"/>
      <c r="D174"/>
      <c r="E174"/>
      <c r="F17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5"/>
    </row>
    <row r="175" spans="2:18">
      <c r="B175" s="13"/>
      <c r="C175" s="14"/>
      <c r="D175"/>
      <c r="E175"/>
      <c r="F175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5"/>
    </row>
    <row r="176" spans="2:18">
      <c r="B176" s="13"/>
      <c r="C176" s="30"/>
      <c r="D176"/>
      <c r="E176"/>
      <c r="F176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5"/>
    </row>
    <row r="177" spans="2:18">
      <c r="B177" s="13"/>
      <c r="D177"/>
      <c r="E177"/>
      <c r="F177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5"/>
    </row>
    <row r="178" spans="2:18">
      <c r="B178" s="13"/>
      <c r="C178" s="14"/>
      <c r="D178"/>
      <c r="E178"/>
      <c r="F178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5"/>
    </row>
    <row r="179" spans="2:18">
      <c r="B179" s="13"/>
      <c r="C179" s="14"/>
      <c r="D179"/>
      <c r="E179"/>
      <c r="F179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5"/>
    </row>
    <row r="180" spans="2:18">
      <c r="B180" s="13"/>
      <c r="C180" s="14"/>
      <c r="D180"/>
      <c r="E180"/>
      <c r="F180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5"/>
    </row>
    <row r="181" spans="2:18">
      <c r="B181" s="13"/>
      <c r="C181" s="28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5"/>
    </row>
    <row r="182" spans="2:18" ht="16" thickBot="1">
      <c r="B182" s="16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8"/>
    </row>
    <row r="184" spans="2:18" ht="16" thickBot="1"/>
    <row r="185" spans="2:18">
      <c r="B185" s="10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2"/>
    </row>
    <row r="186" spans="2:18">
      <c r="B186" s="350" t="s">
        <v>185</v>
      </c>
      <c r="C186" s="351"/>
      <c r="D186" s="351"/>
      <c r="E186" s="351"/>
      <c r="F186" s="351"/>
      <c r="G186" s="351"/>
      <c r="H186" s="351"/>
      <c r="I186" s="351"/>
      <c r="J186" s="351"/>
      <c r="K186" s="351"/>
      <c r="L186" s="351"/>
      <c r="M186" s="351"/>
      <c r="N186" s="351"/>
      <c r="O186" s="351"/>
      <c r="P186" s="351"/>
      <c r="Q186" s="351"/>
      <c r="R186" s="352"/>
    </row>
    <row r="187" spans="2:18" ht="16" thickBot="1">
      <c r="B187" s="16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8"/>
    </row>
    <row r="188" spans="2:18">
      <c r="B188" s="13"/>
      <c r="C188" s="14"/>
      <c r="D188" s="14"/>
      <c r="E188" s="14"/>
      <c r="F188" s="14"/>
      <c r="G188" s="14"/>
      <c r="H188" s="14"/>
      <c r="I188" s="14"/>
      <c r="K188"/>
      <c r="L188"/>
      <c r="M188"/>
      <c r="N188"/>
      <c r="O188"/>
      <c r="P188"/>
      <c r="Q188"/>
      <c r="R188" s="15"/>
    </row>
    <row r="189" spans="2:18">
      <c r="B189" s="13"/>
      <c r="C189" s="29" t="s">
        <v>289</v>
      </c>
      <c r="G189" s="14"/>
      <c r="H189" s="14"/>
      <c r="I189" s="14"/>
      <c r="J189"/>
      <c r="K189"/>
      <c r="L189"/>
      <c r="M189"/>
      <c r="N189"/>
      <c r="O189"/>
      <c r="P189"/>
      <c r="Q189"/>
      <c r="R189" s="15"/>
    </row>
    <row r="190" spans="2:18">
      <c r="B190" s="13"/>
      <c r="G190" s="14"/>
      <c r="H190" s="14"/>
      <c r="I190" s="14"/>
      <c r="J190"/>
      <c r="K190"/>
      <c r="L190"/>
      <c r="M190"/>
      <c r="N190"/>
      <c r="O190"/>
      <c r="P190"/>
      <c r="Q190"/>
      <c r="R190" s="15"/>
    </row>
    <row r="191" spans="2:18">
      <c r="B191" s="13"/>
      <c r="C191" s="30" t="s">
        <v>122</v>
      </c>
      <c r="D191" s="349" t="s">
        <v>291</v>
      </c>
      <c r="E191" s="349"/>
      <c r="F191" s="349"/>
      <c r="G191" s="14"/>
      <c r="H191" s="14"/>
      <c r="I191" s="14"/>
      <c r="J191"/>
      <c r="K191"/>
      <c r="L191"/>
      <c r="M191"/>
      <c r="N191"/>
      <c r="O191"/>
      <c r="P191"/>
      <c r="Q191"/>
      <c r="R191" s="15"/>
    </row>
    <row r="192" spans="2:18">
      <c r="B192" s="13"/>
      <c r="D192" s="349"/>
      <c r="E192" s="349"/>
      <c r="F192" s="349"/>
      <c r="G192" s="14"/>
      <c r="H192" s="14"/>
      <c r="I192" s="14"/>
      <c r="J192"/>
      <c r="K192"/>
      <c r="L192"/>
      <c r="M192"/>
      <c r="N192"/>
      <c r="O192"/>
      <c r="P192"/>
      <c r="Q192"/>
      <c r="R192" s="15"/>
    </row>
    <row r="193" spans="2:18" ht="18" customHeight="1">
      <c r="B193" s="13"/>
      <c r="C193" s="14"/>
      <c r="D193" s="353" t="s">
        <v>290</v>
      </c>
      <c r="E193" s="353"/>
      <c r="F193" s="353"/>
      <c r="G193" s="353"/>
      <c r="H193" s="353"/>
      <c r="I193" s="14"/>
      <c r="J193" s="14"/>
      <c r="K193" s="14"/>
      <c r="L193" s="14"/>
      <c r="M193" s="14"/>
      <c r="N193" s="14"/>
      <c r="O193" s="14"/>
      <c r="P193" s="14"/>
      <c r="Q193" s="14"/>
      <c r="R193" s="15"/>
    </row>
    <row r="194" spans="2:18">
      <c r="B194" s="13"/>
      <c r="C194" s="14"/>
      <c r="D194" s="353"/>
      <c r="E194" s="353"/>
      <c r="F194" s="353"/>
      <c r="G194" s="353"/>
      <c r="H194" s="353"/>
      <c r="I194" s="14"/>
      <c r="J194" s="14"/>
      <c r="K194" s="14"/>
      <c r="L194" s="14"/>
      <c r="M194" s="14"/>
      <c r="N194" s="14"/>
      <c r="O194" s="14"/>
      <c r="P194" s="14"/>
      <c r="Q194" s="14"/>
      <c r="R194" s="15"/>
    </row>
    <row r="195" spans="2:18">
      <c r="B195" s="13"/>
      <c r="C195" s="14"/>
      <c r="D195" s="353"/>
      <c r="E195" s="353"/>
      <c r="F195" s="353"/>
      <c r="G195" s="353"/>
      <c r="H195" s="353"/>
      <c r="I195" s="14"/>
      <c r="J195" s="14"/>
      <c r="K195" s="14"/>
      <c r="L195" s="14"/>
      <c r="M195" s="14"/>
      <c r="N195" s="14"/>
      <c r="O195" s="14"/>
      <c r="P195" s="14"/>
      <c r="Q195" s="14"/>
      <c r="R195" s="15"/>
    </row>
    <row r="196" spans="2:18">
      <c r="B196" s="13"/>
      <c r="C196" s="28" t="s">
        <v>121</v>
      </c>
      <c r="D196" s="166" t="s">
        <v>268</v>
      </c>
      <c r="E196" s="172"/>
      <c r="F196" s="172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5"/>
    </row>
    <row r="197" spans="2:18">
      <c r="B197" s="13"/>
      <c r="C197" s="14"/>
      <c r="D197" s="1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5"/>
    </row>
    <row r="198" spans="2:18">
      <c r="B198" s="13"/>
      <c r="C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5"/>
    </row>
    <row r="199" spans="2:18">
      <c r="B199" s="13"/>
      <c r="C199" s="14"/>
      <c r="D199" s="1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5"/>
    </row>
    <row r="200" spans="2:18">
      <c r="B200" s="13"/>
      <c r="C200" s="29"/>
      <c r="D200" s="1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5"/>
    </row>
    <row r="201" spans="2:18">
      <c r="B201" s="13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5"/>
    </row>
    <row r="202" spans="2:18">
      <c r="B202" s="13"/>
      <c r="C202" s="30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5"/>
    </row>
    <row r="203" spans="2:18">
      <c r="B203" s="13"/>
      <c r="C203" s="30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5"/>
    </row>
    <row r="204" spans="2:18">
      <c r="B204" s="13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5"/>
    </row>
    <row r="205" spans="2:18">
      <c r="B205" s="13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5"/>
    </row>
    <row r="206" spans="2:18">
      <c r="B206" s="13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5"/>
    </row>
    <row r="207" spans="2:18">
      <c r="B207" s="13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5"/>
    </row>
    <row r="208" spans="2:18">
      <c r="B208" s="13"/>
      <c r="C208"/>
      <c r="D208"/>
      <c r="E208"/>
      <c r="F208"/>
      <c r="G208"/>
      <c r="H208"/>
      <c r="I208"/>
      <c r="J208" s="14"/>
      <c r="K208" s="14"/>
      <c r="L208" s="14"/>
      <c r="M208" s="14"/>
      <c r="N208" s="14"/>
      <c r="O208" s="14"/>
      <c r="P208" s="14"/>
      <c r="Q208" s="14"/>
      <c r="R208" s="15"/>
    </row>
    <row r="209" spans="2:18">
      <c r="B209" s="13"/>
      <c r="C209"/>
      <c r="D209"/>
      <c r="E209"/>
      <c r="F209"/>
      <c r="G209"/>
      <c r="H209"/>
      <c r="I209"/>
      <c r="J209" s="14"/>
      <c r="K209" s="14"/>
      <c r="L209" s="14"/>
      <c r="M209" s="14"/>
      <c r="N209" s="14"/>
      <c r="O209" s="14"/>
      <c r="P209" s="14"/>
      <c r="Q209" s="14"/>
      <c r="R209" s="15"/>
    </row>
    <row r="210" spans="2:18">
      <c r="B210" s="13"/>
      <c r="C210"/>
      <c r="D210"/>
      <c r="E210"/>
      <c r="F210"/>
      <c r="G210"/>
      <c r="H210"/>
      <c r="I210"/>
      <c r="J210" s="14"/>
      <c r="K210" s="14"/>
      <c r="L210" s="14"/>
      <c r="M210" s="14"/>
      <c r="N210" s="14"/>
      <c r="O210" s="14"/>
      <c r="P210" s="14"/>
      <c r="Q210" s="14"/>
      <c r="R210" s="15"/>
    </row>
    <row r="211" spans="2:18">
      <c r="B211" s="13"/>
      <c r="C211"/>
      <c r="D211"/>
      <c r="E211"/>
      <c r="F211"/>
      <c r="G211"/>
      <c r="H211"/>
      <c r="I211"/>
      <c r="J211" s="14"/>
      <c r="K211" s="14"/>
      <c r="L211" s="14"/>
      <c r="M211" s="14"/>
      <c r="N211" s="14"/>
      <c r="O211" s="14"/>
      <c r="P211" s="14"/>
      <c r="Q211" s="14"/>
      <c r="R211" s="15"/>
    </row>
    <row r="212" spans="2:18">
      <c r="B212" s="13"/>
      <c r="C212"/>
      <c r="D212"/>
      <c r="E212"/>
      <c r="F212"/>
      <c r="G212"/>
      <c r="H212"/>
      <c r="I212"/>
      <c r="J212" s="14"/>
      <c r="K212" s="14"/>
      <c r="L212" s="14"/>
      <c r="M212" s="14"/>
      <c r="N212" s="14"/>
      <c r="O212" s="14"/>
      <c r="P212" s="14"/>
      <c r="Q212" s="14"/>
      <c r="R212" s="15"/>
    </row>
    <row r="213" spans="2:18">
      <c r="B213" s="13"/>
      <c r="C213"/>
      <c r="D213"/>
      <c r="E213"/>
      <c r="F213"/>
      <c r="G213"/>
      <c r="H213"/>
      <c r="I213"/>
      <c r="J213" s="14"/>
      <c r="K213" s="14"/>
      <c r="L213" s="14"/>
      <c r="M213" s="14"/>
      <c r="N213" s="14"/>
      <c r="O213" s="14"/>
      <c r="P213" s="14"/>
      <c r="Q213" s="14"/>
      <c r="R213" s="15"/>
    </row>
    <row r="214" spans="2:18">
      <c r="B214" s="13"/>
      <c r="C214"/>
      <c r="D214"/>
      <c r="E214"/>
      <c r="F214"/>
      <c r="G214"/>
      <c r="H214"/>
      <c r="I214"/>
      <c r="J214" s="14"/>
      <c r="K214" s="14"/>
      <c r="L214" s="14"/>
      <c r="M214" s="14"/>
      <c r="N214" s="14"/>
      <c r="O214" s="14"/>
      <c r="P214" s="14"/>
      <c r="Q214" s="14"/>
      <c r="R214" s="15"/>
    </row>
    <row r="215" spans="2:18">
      <c r="B215" s="13"/>
      <c r="C215"/>
      <c r="D215"/>
      <c r="E215"/>
      <c r="F215"/>
      <c r="G215"/>
      <c r="H215"/>
      <c r="I215"/>
      <c r="J215" s="14"/>
      <c r="K215" s="14"/>
      <c r="L215" s="14"/>
      <c r="M215" s="14"/>
      <c r="N215" s="14"/>
      <c r="O215" s="14"/>
      <c r="P215" s="14"/>
      <c r="Q215" s="14"/>
      <c r="R215" s="15"/>
    </row>
    <row r="216" spans="2:18">
      <c r="B216" s="13"/>
      <c r="C216"/>
      <c r="D216"/>
      <c r="E216"/>
      <c r="F216"/>
      <c r="G216"/>
      <c r="H216"/>
      <c r="I216"/>
      <c r="J216" s="14"/>
      <c r="K216" s="14"/>
      <c r="L216" s="14"/>
      <c r="M216" s="14"/>
      <c r="N216" s="14"/>
      <c r="O216" s="14"/>
      <c r="P216" s="14"/>
      <c r="Q216" s="14"/>
      <c r="R216" s="15"/>
    </row>
    <row r="217" spans="2:18">
      <c r="B217" s="13"/>
      <c r="C217"/>
      <c r="D217"/>
      <c r="E217"/>
      <c r="F217"/>
      <c r="G217"/>
      <c r="H217"/>
      <c r="I217"/>
      <c r="J217" s="14"/>
      <c r="K217" s="14"/>
      <c r="L217" s="14"/>
      <c r="M217" s="14"/>
      <c r="N217" s="14"/>
      <c r="O217" s="14"/>
      <c r="P217" s="14"/>
      <c r="Q217" s="14"/>
      <c r="R217" s="15"/>
    </row>
    <row r="218" spans="2:18">
      <c r="B218" s="13"/>
      <c r="C218"/>
      <c r="D218"/>
      <c r="E218"/>
      <c r="F218"/>
      <c r="G218"/>
      <c r="H218"/>
      <c r="I218"/>
      <c r="J218" s="14"/>
      <c r="K218" s="14"/>
      <c r="L218" s="14"/>
      <c r="M218" s="14"/>
      <c r="N218" s="14"/>
      <c r="O218" s="14"/>
      <c r="P218" s="14"/>
      <c r="Q218" s="14"/>
      <c r="R218" s="15"/>
    </row>
    <row r="219" spans="2:18">
      <c r="B219" s="13"/>
      <c r="C219"/>
      <c r="D219"/>
      <c r="E219"/>
      <c r="F219"/>
      <c r="G219"/>
      <c r="H219"/>
      <c r="I219"/>
      <c r="J219" s="14"/>
      <c r="K219" s="14"/>
      <c r="L219" s="14"/>
      <c r="M219" s="14"/>
      <c r="N219" s="14"/>
      <c r="O219" s="14"/>
      <c r="P219" s="14"/>
      <c r="Q219" s="14"/>
      <c r="R219" s="15"/>
    </row>
    <row r="220" spans="2:18">
      <c r="B220" s="13"/>
      <c r="C220"/>
      <c r="D220"/>
      <c r="E220"/>
      <c r="F220"/>
      <c r="G220"/>
      <c r="H220"/>
      <c r="I220"/>
      <c r="J220" s="14"/>
      <c r="K220" s="14"/>
      <c r="L220" s="14"/>
      <c r="M220" s="14"/>
      <c r="N220" s="14"/>
      <c r="O220" s="14"/>
      <c r="P220" s="14"/>
      <c r="Q220" s="14"/>
      <c r="R220" s="15"/>
    </row>
    <row r="221" spans="2:18">
      <c r="B221" s="13"/>
      <c r="C221"/>
      <c r="D221"/>
      <c r="E221"/>
      <c r="F221"/>
      <c r="G221"/>
      <c r="H221"/>
      <c r="I221"/>
      <c r="J221" s="14"/>
      <c r="K221" s="14"/>
      <c r="L221" s="14"/>
      <c r="M221" s="14"/>
      <c r="N221" s="14"/>
      <c r="O221" s="14"/>
      <c r="P221" s="14"/>
      <c r="Q221" s="14"/>
      <c r="R221" s="15"/>
    </row>
    <row r="222" spans="2:18">
      <c r="B222" s="13"/>
      <c r="C222"/>
      <c r="D222"/>
      <c r="E222"/>
      <c r="F222"/>
      <c r="G222"/>
      <c r="H222"/>
      <c r="I222"/>
      <c r="J222" s="14"/>
      <c r="K222" s="14"/>
      <c r="L222" s="14"/>
      <c r="M222" s="14"/>
      <c r="N222" s="14"/>
      <c r="O222" s="14"/>
      <c r="P222" s="14"/>
      <c r="Q222" s="14"/>
      <c r="R222" s="15"/>
    </row>
    <row r="223" spans="2:18">
      <c r="B223" s="13"/>
      <c r="C223"/>
      <c r="D223"/>
      <c r="E223"/>
      <c r="F223"/>
      <c r="G223"/>
      <c r="H223"/>
      <c r="I223"/>
      <c r="J223" s="14"/>
      <c r="K223" s="14"/>
      <c r="L223" s="14"/>
      <c r="M223" s="14"/>
      <c r="N223" s="14"/>
      <c r="O223" s="14"/>
      <c r="P223" s="14"/>
      <c r="Q223" s="14"/>
      <c r="R223" s="15"/>
    </row>
    <row r="224" spans="2:18">
      <c r="B224" s="13"/>
      <c r="C224"/>
      <c r="D224"/>
      <c r="E224"/>
      <c r="F224"/>
      <c r="G224"/>
      <c r="H224"/>
      <c r="I224"/>
      <c r="J224" s="14"/>
      <c r="K224" s="14"/>
      <c r="L224" s="14"/>
      <c r="M224" s="14"/>
      <c r="N224" s="14"/>
      <c r="O224" s="14"/>
      <c r="P224" s="14"/>
      <c r="Q224" s="14"/>
      <c r="R224" s="15"/>
    </row>
    <row r="225" spans="2:18">
      <c r="B225" s="13"/>
      <c r="C225"/>
      <c r="D225"/>
      <c r="E225"/>
      <c r="F225"/>
      <c r="G225"/>
      <c r="H225"/>
      <c r="I225"/>
      <c r="J225" s="14"/>
      <c r="K225" s="14"/>
      <c r="L225" s="14"/>
      <c r="M225" s="14"/>
      <c r="N225" s="14"/>
      <c r="O225" s="14"/>
      <c r="P225" s="14"/>
      <c r="Q225" s="14"/>
      <c r="R225" s="15"/>
    </row>
    <row r="226" spans="2:18">
      <c r="B226" s="13"/>
      <c r="C226"/>
      <c r="D226"/>
      <c r="E226"/>
      <c r="F226"/>
      <c r="G226"/>
      <c r="H226"/>
      <c r="I226"/>
      <c r="J226" s="14"/>
      <c r="K226" s="14"/>
      <c r="L226" s="14"/>
      <c r="M226" s="14"/>
      <c r="N226" s="14"/>
      <c r="O226" s="14"/>
      <c r="P226" s="14"/>
      <c r="Q226" s="14"/>
      <c r="R226" s="15"/>
    </row>
    <row r="227" spans="2:18">
      <c r="B227" s="13"/>
      <c r="C227" s="28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5"/>
    </row>
    <row r="228" spans="2:18" ht="16" thickBot="1">
      <c r="B228" s="16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8"/>
    </row>
    <row r="230" spans="2:18" ht="16" thickBot="1"/>
    <row r="231" spans="2:18">
      <c r="B231" s="10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2"/>
    </row>
    <row r="232" spans="2:18">
      <c r="B232" s="350" t="s">
        <v>185</v>
      </c>
      <c r="C232" s="351"/>
      <c r="D232" s="351"/>
      <c r="E232" s="351"/>
      <c r="F232" s="351"/>
      <c r="G232" s="351"/>
      <c r="H232" s="351"/>
      <c r="I232" s="351"/>
      <c r="J232" s="351"/>
      <c r="K232" s="351"/>
      <c r="L232" s="351"/>
      <c r="M232" s="351"/>
      <c r="N232" s="351"/>
      <c r="O232" s="351"/>
      <c r="P232" s="351"/>
      <c r="Q232" s="351"/>
      <c r="R232" s="352"/>
    </row>
    <row r="233" spans="2:18" ht="16" thickBot="1">
      <c r="B233" s="16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8"/>
    </row>
    <row r="234" spans="2:18">
      <c r="B234" s="13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 s="15"/>
    </row>
    <row r="235" spans="2:18">
      <c r="B235" s="13"/>
      <c r="C235" s="29" t="s">
        <v>265</v>
      </c>
      <c r="G235"/>
      <c r="H235"/>
      <c r="I235"/>
      <c r="J235"/>
      <c r="K235"/>
      <c r="L235"/>
      <c r="M235"/>
      <c r="N235"/>
      <c r="O235"/>
      <c r="P235"/>
      <c r="Q235"/>
      <c r="R235" s="15"/>
    </row>
    <row r="236" spans="2:18">
      <c r="B236" s="13"/>
      <c r="G236"/>
      <c r="H236"/>
      <c r="I236"/>
      <c r="J236"/>
      <c r="K236"/>
      <c r="L236"/>
      <c r="M236"/>
      <c r="N236"/>
      <c r="O236"/>
      <c r="P236"/>
      <c r="Q236"/>
      <c r="R236" s="15"/>
    </row>
    <row r="237" spans="2:18">
      <c r="B237" s="13"/>
      <c r="C237" s="30" t="s">
        <v>122</v>
      </c>
      <c r="D237" s="349" t="s">
        <v>270</v>
      </c>
      <c r="E237" s="349"/>
      <c r="F237" s="349"/>
      <c r="G237"/>
      <c r="H237"/>
      <c r="I237"/>
      <c r="J237"/>
      <c r="K237"/>
      <c r="L237"/>
      <c r="M237"/>
      <c r="N237"/>
      <c r="O237"/>
      <c r="P237"/>
      <c r="Q237"/>
      <c r="R237" s="15"/>
    </row>
    <row r="238" spans="2:18">
      <c r="B238" s="13"/>
      <c r="D238" s="349"/>
      <c r="E238" s="349"/>
      <c r="F238" s="349"/>
      <c r="G238"/>
      <c r="H238"/>
      <c r="I238"/>
      <c r="J238"/>
      <c r="K238"/>
      <c r="L238"/>
      <c r="M238"/>
      <c r="N238"/>
      <c r="O238"/>
      <c r="P238"/>
      <c r="Q238"/>
      <c r="R238" s="15"/>
    </row>
    <row r="239" spans="2:18">
      <c r="B239" s="13"/>
      <c r="C239" s="14"/>
      <c r="D239" s="349" t="s">
        <v>267</v>
      </c>
      <c r="E239" s="349"/>
      <c r="F239" s="349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5"/>
    </row>
    <row r="240" spans="2:18">
      <c r="B240" s="13"/>
      <c r="C240" s="14"/>
      <c r="D240" s="349"/>
      <c r="E240" s="349"/>
      <c r="F240" s="349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5"/>
    </row>
    <row r="241" spans="2:18">
      <c r="B241" s="13"/>
      <c r="C241" s="14"/>
      <c r="D241" s="349"/>
      <c r="E241" s="349"/>
      <c r="F241" s="349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5"/>
    </row>
    <row r="242" spans="2:18">
      <c r="B242" s="13"/>
      <c r="C242" s="28" t="s">
        <v>121</v>
      </c>
      <c r="D242" s="166" t="s">
        <v>268</v>
      </c>
      <c r="E242" s="172"/>
      <c r="F242" s="172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5"/>
    </row>
    <row r="243" spans="2:18">
      <c r="B243" s="13"/>
      <c r="C243" s="14"/>
      <c r="D243" s="172"/>
      <c r="E243" s="172"/>
      <c r="F243" s="172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5"/>
    </row>
    <row r="244" spans="2:18">
      <c r="B244" s="13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5"/>
    </row>
    <row r="245" spans="2:18">
      <c r="B245" s="13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5"/>
    </row>
    <row r="246" spans="2:18">
      <c r="B246" s="13"/>
      <c r="C246" s="29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5"/>
    </row>
    <row r="247" spans="2:18">
      <c r="B247" s="13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5"/>
    </row>
    <row r="248" spans="2:18">
      <c r="B248" s="13"/>
      <c r="C248" s="30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5"/>
    </row>
    <row r="249" spans="2:18">
      <c r="B249" s="13"/>
      <c r="C249" s="30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5"/>
    </row>
    <row r="250" spans="2:18">
      <c r="B250" s="13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5"/>
    </row>
    <row r="251" spans="2:18">
      <c r="B251" s="13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5"/>
    </row>
    <row r="252" spans="2:18">
      <c r="B252" s="13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5"/>
    </row>
    <row r="253" spans="2:18">
      <c r="B253" s="13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5"/>
    </row>
    <row r="254" spans="2:18">
      <c r="B254" s="13"/>
      <c r="J254" s="14"/>
      <c r="K254" s="14"/>
      <c r="L254" s="14"/>
      <c r="M254" s="14"/>
      <c r="N254" s="14"/>
      <c r="O254" s="14"/>
      <c r="P254" s="14"/>
      <c r="Q254" s="14"/>
      <c r="R254" s="15"/>
    </row>
    <row r="255" spans="2:18">
      <c r="B255" s="13"/>
      <c r="J255" s="14"/>
      <c r="K255" s="14"/>
      <c r="L255" s="14"/>
      <c r="M255" s="14"/>
      <c r="N255" s="14"/>
      <c r="O255" s="14"/>
      <c r="P255" s="14"/>
      <c r="Q255" s="14"/>
      <c r="R255" s="15"/>
    </row>
    <row r="256" spans="2:18">
      <c r="B256" s="13"/>
      <c r="J256" s="14"/>
      <c r="K256" s="14"/>
      <c r="L256" s="14"/>
      <c r="M256" s="14"/>
      <c r="N256" s="14"/>
      <c r="O256" s="14"/>
      <c r="P256" s="14"/>
      <c r="Q256" s="14"/>
      <c r="R256" s="15"/>
    </row>
    <row r="257" spans="2:18">
      <c r="B257" s="13"/>
      <c r="J257" s="14"/>
      <c r="K257" s="14"/>
      <c r="L257" s="14"/>
      <c r="M257" s="14"/>
      <c r="N257" s="14"/>
      <c r="O257" s="14"/>
      <c r="P257" s="14"/>
      <c r="Q257" s="14"/>
      <c r="R257" s="15"/>
    </row>
    <row r="258" spans="2:18">
      <c r="B258" s="13"/>
      <c r="J258" s="14"/>
      <c r="K258" s="14"/>
      <c r="L258" s="14"/>
      <c r="M258" s="14"/>
      <c r="N258" s="14"/>
      <c r="O258" s="14"/>
      <c r="P258" s="14"/>
      <c r="Q258" s="14"/>
      <c r="R258" s="15"/>
    </row>
    <row r="259" spans="2:18">
      <c r="B259" s="13"/>
      <c r="J259" s="14"/>
      <c r="K259" s="14"/>
      <c r="L259" s="14"/>
      <c r="M259" s="14"/>
      <c r="N259" s="14"/>
      <c r="O259" s="14"/>
      <c r="P259" s="14"/>
      <c r="Q259" s="14"/>
      <c r="R259" s="15"/>
    </row>
    <row r="260" spans="2:18">
      <c r="B260" s="13"/>
      <c r="J260" s="14"/>
      <c r="K260" s="14"/>
      <c r="L260" s="14"/>
      <c r="M260" s="14"/>
      <c r="N260" s="14"/>
      <c r="O260" s="14"/>
      <c r="P260" s="14"/>
      <c r="Q260" s="14"/>
      <c r="R260" s="15"/>
    </row>
    <row r="261" spans="2:18">
      <c r="B261" s="13"/>
      <c r="J261" s="14"/>
      <c r="K261" s="14"/>
      <c r="L261" s="14"/>
      <c r="M261" s="14"/>
      <c r="N261" s="14"/>
      <c r="O261" s="14"/>
      <c r="P261" s="14"/>
      <c r="Q261" s="14"/>
      <c r="R261" s="15"/>
    </row>
    <row r="262" spans="2:18">
      <c r="B262" s="13"/>
      <c r="J262" s="14"/>
      <c r="K262" s="14"/>
      <c r="L262" s="14"/>
      <c r="M262" s="14"/>
      <c r="N262" s="14"/>
      <c r="O262" s="14"/>
      <c r="P262" s="14"/>
      <c r="Q262" s="14"/>
      <c r="R262" s="15"/>
    </row>
    <row r="263" spans="2:18">
      <c r="B263" s="13"/>
      <c r="J263" s="14"/>
      <c r="K263" s="14"/>
      <c r="L263" s="14"/>
      <c r="M263" s="14"/>
      <c r="N263" s="14"/>
      <c r="O263" s="14"/>
      <c r="P263" s="14"/>
      <c r="Q263" s="14"/>
      <c r="R263" s="15"/>
    </row>
    <row r="264" spans="2:18">
      <c r="B264" s="13"/>
      <c r="J264" s="14"/>
      <c r="K264" s="14"/>
      <c r="L264" s="14"/>
      <c r="M264" s="14"/>
      <c r="N264" s="14"/>
      <c r="O264" s="14"/>
      <c r="P264" s="14"/>
      <c r="Q264" s="14"/>
      <c r="R264" s="15"/>
    </row>
    <row r="265" spans="2:18">
      <c r="B265" s="13"/>
      <c r="C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5"/>
    </row>
    <row r="266" spans="2:18">
      <c r="B266" s="13"/>
      <c r="C266" s="20"/>
      <c r="D266"/>
      <c r="E266"/>
      <c r="F266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5"/>
    </row>
    <row r="267" spans="2:18">
      <c r="B267" s="13"/>
      <c r="C267" s="14"/>
      <c r="D267"/>
      <c r="E267"/>
      <c r="F267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5"/>
    </row>
    <row r="268" spans="2:18">
      <c r="B268" s="13"/>
      <c r="C268" s="30"/>
      <c r="D268"/>
      <c r="E268"/>
      <c r="F268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5"/>
    </row>
    <row r="269" spans="2:18">
      <c r="B269" s="13"/>
      <c r="D269"/>
      <c r="E269"/>
      <c r="F269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5"/>
    </row>
    <row r="270" spans="2:18">
      <c r="B270" s="13"/>
      <c r="C270" s="14"/>
      <c r="D270"/>
      <c r="E270"/>
      <c r="F270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5"/>
    </row>
    <row r="271" spans="2:18">
      <c r="B271" s="13"/>
      <c r="C271" s="14"/>
      <c r="D271"/>
      <c r="E271"/>
      <c r="F271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5"/>
    </row>
    <row r="272" spans="2:18">
      <c r="B272" s="13"/>
      <c r="C272" s="14"/>
      <c r="D272"/>
      <c r="E272"/>
      <c r="F272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5"/>
    </row>
    <row r="273" spans="2:18">
      <c r="B273" s="13"/>
      <c r="C273" s="28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5"/>
    </row>
    <row r="274" spans="2:18" ht="16" thickBot="1">
      <c r="B274" s="16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8"/>
    </row>
  </sheetData>
  <mergeCells count="18">
    <mergeCell ref="B3:R3"/>
    <mergeCell ref="D8:F9"/>
    <mergeCell ref="D10:F12"/>
    <mergeCell ref="B48:R48"/>
    <mergeCell ref="D53:F54"/>
    <mergeCell ref="D55:F57"/>
    <mergeCell ref="D99:F100"/>
    <mergeCell ref="B94:R94"/>
    <mergeCell ref="D101:H103"/>
    <mergeCell ref="B232:R232"/>
    <mergeCell ref="D237:F238"/>
    <mergeCell ref="D239:F241"/>
    <mergeCell ref="B140:R140"/>
    <mergeCell ref="D145:F146"/>
    <mergeCell ref="D147:F149"/>
    <mergeCell ref="B186:R186"/>
    <mergeCell ref="D191:F192"/>
    <mergeCell ref="D193:H195"/>
  </mergeCells>
  <hyperlinks>
    <hyperlink ref="D33" r:id="rId1" display="https://www.forestresearch.gov.uk/research/archive-forest-management-tables-metric/" xr:uid="{00000000-0004-0000-0000-000000000000}"/>
    <hyperlink ref="D37" r:id="rId2" display="https://www.forestresearch.gov.uk/research/archive-forest-management-tables-metric/" xr:uid="{00000000-0004-0000-0000-000001000000}"/>
    <hyperlink ref="D39" r:id="rId3" display="https://inventaire-forestier.ign.fr/IMG/pdf/RapportVolumes_VFinale_p2.pdf" xr:uid="{00000000-0004-0000-0000-000002000000}"/>
    <hyperlink ref="D78" r:id="rId4" display="https://www.forestresearch.gov.uk/research/archive-forest-management-tables-metric/" xr:uid="{00000000-0004-0000-0000-000003000000}"/>
    <hyperlink ref="D82" r:id="rId5" display="https://www.forestresearch.gov.uk/research/archive-forest-management-tables-metric/" xr:uid="{00000000-0004-0000-0000-000004000000}"/>
    <hyperlink ref="D84" r:id="rId6" display="https://inventaire-forestier.ign.fr/IMG/pdf/RapportVolumes_VFinale_p2.pdf" xr:uid="{00000000-0004-0000-0000-000005000000}"/>
  </hyperlinks>
  <pageMargins left="0.23622047244094491" right="0.23622047244094491" top="0.31496062992125984" bottom="0.31496062992125984" header="0.31496062992125984" footer="0.31496062992125984"/>
  <pageSetup paperSize="9" scale="42" fitToHeight="2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A4:X101"/>
  <sheetViews>
    <sheetView tabSelected="1" topLeftCell="B1" zoomScale="97" zoomScaleNormal="97" zoomScalePageLayoutView="55" workbookViewId="0">
      <selection activeCell="M17" sqref="M17"/>
    </sheetView>
  </sheetViews>
  <sheetFormatPr baseColWidth="10" defaultColWidth="11.5" defaultRowHeight="15"/>
  <cols>
    <col min="1" max="1" width="11.5" style="19"/>
    <col min="2" max="2" width="11.5" style="19" customWidth="1"/>
    <col min="3" max="3" width="2" style="19" customWidth="1"/>
    <col min="4" max="9" width="14.5" style="19" customWidth="1"/>
    <col min="10" max="10" width="15.33203125" style="19" customWidth="1"/>
    <col min="11" max="17" width="14.5" style="19" customWidth="1"/>
    <col min="18" max="18" width="15.5" style="19" customWidth="1"/>
    <col min="19" max="19" width="2.1640625" style="19" customWidth="1"/>
    <col min="20" max="16384" width="11.5" style="19"/>
  </cols>
  <sheetData>
    <row r="4" spans="3:19" ht="16" thickBot="1"/>
    <row r="5" spans="3:19"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2"/>
    </row>
    <row r="6" spans="3:19">
      <c r="C6" s="13"/>
      <c r="D6" s="351" t="s">
        <v>128</v>
      </c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  <c r="S6" s="15"/>
    </row>
    <row r="7" spans="3:19" ht="16" thickBot="1"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8"/>
    </row>
    <row r="8" spans="3:19">
      <c r="C8" s="13"/>
      <c r="D8" s="14"/>
      <c r="E8" s="14"/>
      <c r="F8" s="14"/>
      <c r="G8" s="14"/>
      <c r="H8" s="14"/>
      <c r="I8" s="14"/>
      <c r="J8" s="14"/>
      <c r="K8" s="14"/>
      <c r="L8" s="11"/>
      <c r="M8" s="11"/>
      <c r="N8" s="11"/>
      <c r="O8" s="11"/>
      <c r="P8" s="11"/>
      <c r="Q8" s="11"/>
      <c r="R8" s="11"/>
      <c r="S8" s="12"/>
    </row>
    <row r="9" spans="3:19" ht="16.5" customHeight="1">
      <c r="C9" s="13"/>
      <c r="S9" s="15"/>
    </row>
    <row r="10" spans="3:19">
      <c r="C10" s="13"/>
      <c r="D10" s="20" t="s">
        <v>85</v>
      </c>
      <c r="K10" s="20"/>
      <c r="L10" s="14"/>
      <c r="M10" s="14"/>
      <c r="N10" s="14"/>
      <c r="S10" s="15"/>
    </row>
    <row r="11" spans="3:19">
      <c r="C11" s="13"/>
      <c r="D11" s="124" t="s">
        <v>84</v>
      </c>
      <c r="E11" s="14" t="s">
        <v>275</v>
      </c>
      <c r="F11" s="14"/>
      <c r="H11" s="124" t="s">
        <v>88</v>
      </c>
      <c r="I11" s="126">
        <f>SUM(E24:Q24)</f>
        <v>37.600099999999998</v>
      </c>
      <c r="K11" s="14" t="s">
        <v>296</v>
      </c>
      <c r="L11" s="14"/>
      <c r="M11" s="14"/>
      <c r="N11" s="14"/>
      <c r="O11" s="14" t="s">
        <v>262</v>
      </c>
      <c r="P11" s="335">
        <f>VAN!D4</f>
        <v>-73168.472135232048</v>
      </c>
      <c r="Q11" s="14"/>
      <c r="R11" s="14"/>
      <c r="S11" s="15"/>
    </row>
    <row r="12" spans="3:19">
      <c r="C12" s="13"/>
      <c r="D12" s="125" t="s">
        <v>179</v>
      </c>
      <c r="E12" s="19" t="s">
        <v>276</v>
      </c>
      <c r="F12" s="14"/>
      <c r="H12" s="124" t="s">
        <v>86</v>
      </c>
      <c r="I12" s="127" t="s">
        <v>293</v>
      </c>
      <c r="K12" s="14" t="s">
        <v>292</v>
      </c>
      <c r="L12" s="14"/>
      <c r="M12" s="14"/>
      <c r="N12" s="14"/>
      <c r="O12" s="14" t="s">
        <v>254</v>
      </c>
      <c r="P12" s="335">
        <f>VAN!D5</f>
        <v>73.539759573103353</v>
      </c>
      <c r="Q12" s="14"/>
      <c r="R12" s="14"/>
      <c r="S12" s="15"/>
    </row>
    <row r="13" spans="3:19">
      <c r="C13" s="13"/>
      <c r="D13" s="125" t="s">
        <v>180</v>
      </c>
      <c r="E13" s="19" t="s">
        <v>277</v>
      </c>
      <c r="F13" s="14"/>
      <c r="H13" s="124" t="s">
        <v>87</v>
      </c>
      <c r="I13" s="127" t="s">
        <v>123</v>
      </c>
      <c r="K13" s="19" t="s">
        <v>294</v>
      </c>
      <c r="L13" s="14"/>
      <c r="M13" s="14"/>
      <c r="N13" s="14"/>
      <c r="O13" s="20" t="s">
        <v>255</v>
      </c>
      <c r="P13" s="336">
        <f>VAN!D6</f>
        <v>-73242.011894805153</v>
      </c>
      <c r="Q13" s="14"/>
      <c r="R13" s="14"/>
      <c r="S13" s="15"/>
    </row>
    <row r="14" spans="3:19">
      <c r="C14" s="13"/>
      <c r="F14" s="14"/>
      <c r="G14" s="14"/>
      <c r="H14" s="14"/>
      <c r="K14" s="19" t="s">
        <v>295</v>
      </c>
      <c r="L14" s="14"/>
      <c r="M14" s="14"/>
      <c r="N14" s="14"/>
      <c r="P14" s="14"/>
      <c r="Q14" s="14"/>
      <c r="R14" s="14"/>
      <c r="S14" s="15"/>
    </row>
    <row r="15" spans="3:19">
      <c r="C15" s="13"/>
      <c r="K15" s="14" t="s">
        <v>269</v>
      </c>
      <c r="O15" s="14"/>
      <c r="P15" s="14"/>
      <c r="Q15" s="14"/>
      <c r="R15" s="14"/>
      <c r="S15" s="15"/>
    </row>
    <row r="16" spans="3:19">
      <c r="C16" s="13"/>
      <c r="S16" s="15"/>
    </row>
    <row r="17" spans="3:19">
      <c r="C17" s="13"/>
      <c r="D17" s="29" t="s">
        <v>183</v>
      </c>
      <c r="S17" s="15"/>
    </row>
    <row r="18" spans="3:19" ht="16" thickBot="1">
      <c r="C18" s="13"/>
      <c r="D18" s="14"/>
      <c r="E18" s="347" t="s">
        <v>273</v>
      </c>
      <c r="F18" s="347" t="s">
        <v>274</v>
      </c>
      <c r="G18" s="347" t="s">
        <v>274</v>
      </c>
      <c r="H18" s="347" t="s">
        <v>273</v>
      </c>
      <c r="I18" s="347" t="s">
        <v>274</v>
      </c>
      <c r="J18" s="347" t="s">
        <v>278</v>
      </c>
      <c r="S18" s="15"/>
    </row>
    <row r="19" spans="3:19" ht="32">
      <c r="C19" s="13"/>
      <c r="D19" s="104" t="s">
        <v>131</v>
      </c>
      <c r="E19" s="118" t="str">
        <f>'Chenes+Alisier - f. très forte'!F17</f>
        <v xml:space="preserve">Chênes indifférenciés </v>
      </c>
      <c r="F19" s="119" t="str">
        <f>'Chenes+corm+merisier - f. forte'!$F$17</f>
        <v xml:space="preserve">Chênes indifférenciés </v>
      </c>
      <c r="G19" s="119" t="str">
        <f>'Charme - fertil.forte'!$F$17</f>
        <v xml:space="preserve">Charme </v>
      </c>
      <c r="H19" s="119" t="str">
        <f>'Pin maritime - très forte'!F17</f>
        <v xml:space="preserve">Pin maritime </v>
      </c>
      <c r="I19" s="119" t="str">
        <f>'P. sylv.+laricio+séquoia -forte'!F17</f>
        <v xml:space="preserve">Pin laricio </v>
      </c>
      <c r="J19" s="348" t="str">
        <f>'Douglas - fertilité moyenne'!F17</f>
        <v xml:space="preserve">Douglas </v>
      </c>
      <c r="K19" s="119"/>
      <c r="L19" s="119"/>
      <c r="M19" s="119"/>
      <c r="N19" s="119"/>
      <c r="O19" s="119"/>
      <c r="P19" s="119"/>
      <c r="Q19" s="120"/>
      <c r="R19" s="108"/>
      <c r="S19" s="15"/>
    </row>
    <row r="20" spans="3:19" ht="32">
      <c r="C20" s="13"/>
      <c r="D20" s="105" t="s">
        <v>178</v>
      </c>
      <c r="E20" s="116" t="str">
        <f>'Chenes+Alisier - f. très forte'!D5</f>
        <v>Cultures</v>
      </c>
      <c r="F20" s="117" t="str">
        <f>'Chenes+corm+merisier - f. forte'!$D$5</f>
        <v>Prairies permanentes</v>
      </c>
      <c r="G20" s="117" t="str">
        <f>'Charme - fertil.forte'!$D$5</f>
        <v>Prairies permanentes</v>
      </c>
      <c r="H20" s="117" t="str">
        <f>'Pin maritime - très forte'!$D$5</f>
        <v>Cultures</v>
      </c>
      <c r="I20" s="117" t="str">
        <f>'P. sylv.+laricio+séquoia -forte'!$D$5</f>
        <v>Cultures</v>
      </c>
      <c r="J20" s="117" t="str">
        <f>'Douglas - fertilité moyenne'!$D$5</f>
        <v>Cultures</v>
      </c>
      <c r="K20" s="117"/>
      <c r="L20" s="117"/>
      <c r="M20" s="117"/>
      <c r="N20" s="117"/>
      <c r="O20" s="117"/>
      <c r="P20" s="117"/>
      <c r="Q20" s="121"/>
      <c r="R20" s="109"/>
      <c r="S20" s="15"/>
    </row>
    <row r="21" spans="3:19">
      <c r="C21" s="13"/>
      <c r="D21" s="106" t="s">
        <v>175</v>
      </c>
      <c r="E21" s="112">
        <f>'Chenes+Alisier - f. très forte'!C127</f>
        <v>295.49396977598087</v>
      </c>
      <c r="F21" s="113">
        <f>'Chenes+corm+merisier - f. forte'!$C$127</f>
        <v>224.82106491638876</v>
      </c>
      <c r="G21" s="113">
        <f>'Charme - fertil.forte'!$C$127</f>
        <v>280.1645836141924</v>
      </c>
      <c r="H21" s="113">
        <f>'Pin maritime - très forte'!$C$127</f>
        <v>286.33373154093857</v>
      </c>
      <c r="I21" s="113">
        <f>'P. sylv.+laricio+séquoia -forte'!$C$127</f>
        <v>315.35360341859808</v>
      </c>
      <c r="J21" s="113">
        <f>'Douglas - fertilité moyenne'!$C$127</f>
        <v>275.95496287283038</v>
      </c>
      <c r="K21" s="113"/>
      <c r="L21" s="113"/>
      <c r="M21" s="113"/>
      <c r="N21" s="113"/>
      <c r="O21" s="113"/>
      <c r="P21" s="113"/>
      <c r="Q21" s="122"/>
      <c r="R21" s="110">
        <f>SUMPRODUCT(E21:Q21,$E$24:$Q$24)</f>
        <v>10594.314954163847</v>
      </c>
      <c r="S21" s="15"/>
    </row>
    <row r="22" spans="3:19">
      <c r="C22" s="13"/>
      <c r="D22" s="106" t="s">
        <v>176</v>
      </c>
      <c r="E22" s="112">
        <f>'Chenes+Alisier - f. très forte'!D127</f>
        <v>0</v>
      </c>
      <c r="F22" s="113">
        <f>'Chenes+corm+merisier - f. forte'!$D$127</f>
        <v>0</v>
      </c>
      <c r="G22" s="113">
        <f>'Charme - fertil.forte'!$D$127</f>
        <v>0</v>
      </c>
      <c r="H22" s="113">
        <f>'Pin maritime - très forte'!$D$127</f>
        <v>15.839681181373761</v>
      </c>
      <c r="I22" s="113">
        <f>'P. sylv.+laricio+séquoia -forte'!$D$127</f>
        <v>15.495574602478504</v>
      </c>
      <c r="J22" s="113">
        <f>'Douglas - fertilité moyenne'!$D$127</f>
        <v>15.094219093502067</v>
      </c>
      <c r="K22" s="113"/>
      <c r="L22" s="113"/>
      <c r="M22" s="113"/>
      <c r="N22" s="113"/>
      <c r="O22" s="113"/>
      <c r="P22" s="113"/>
      <c r="Q22" s="122"/>
      <c r="R22" s="110">
        <f>SUMPRODUCT(E22:Q22,$E$24:$Q$24)</f>
        <v>171.29764127755854</v>
      </c>
      <c r="S22" s="15"/>
    </row>
    <row r="23" spans="3:19">
      <c r="C23" s="13"/>
      <c r="D23" s="106" t="s">
        <v>177</v>
      </c>
      <c r="E23" s="112">
        <f>'Chenes+Alisier - f. très forte'!E127</f>
        <v>8.5</v>
      </c>
      <c r="F23" s="113">
        <f>'Chenes+corm+merisier - f. forte'!$E$127</f>
        <v>3.44</v>
      </c>
      <c r="G23" s="113">
        <f>'Charme - fertil.forte'!$E$127</f>
        <v>1.75</v>
      </c>
      <c r="H23" s="113">
        <f>'Pin maritime - très forte'!$E$127</f>
        <v>48.16</v>
      </c>
      <c r="I23" s="113">
        <f>'P. sylv.+laricio+séquoia -forte'!$E$127</f>
        <v>49.879999999999995</v>
      </c>
      <c r="J23" s="113">
        <f>'Douglas - fertilité moyenne'!$E$127</f>
        <v>51.169999999999995</v>
      </c>
      <c r="K23" s="113"/>
      <c r="L23" s="113"/>
      <c r="M23" s="113"/>
      <c r="N23" s="113"/>
      <c r="O23" s="113"/>
      <c r="P23" s="113"/>
      <c r="Q23" s="122"/>
      <c r="R23" s="110">
        <f>SUMPRODUCT(E23:Q23,$E$24:$Q$24)</f>
        <v>692.65913699999999</v>
      </c>
      <c r="S23" s="15"/>
    </row>
    <row r="24" spans="3:19" ht="16" thickBot="1">
      <c r="C24" s="13"/>
      <c r="D24" s="107" t="s">
        <v>174</v>
      </c>
      <c r="E24" s="427">
        <f>'Chenes+Alisier - f. très forte'!F21</f>
        <v>13.3</v>
      </c>
      <c r="F24" s="428">
        <f>'Chenes+corm+merisier - f. forte'!$F21</f>
        <v>6.0750000000000002</v>
      </c>
      <c r="G24" s="428">
        <f>'Charme - fertil.forte'!F21</f>
        <v>7.2</v>
      </c>
      <c r="H24" s="428">
        <f>'Pin maritime - très forte'!$F21</f>
        <v>3.8285999999999998</v>
      </c>
      <c r="I24" s="428">
        <f>'P. sylv.+laricio+séquoia -forte'!$F21</f>
        <v>5.0536000000000003</v>
      </c>
      <c r="J24" s="428">
        <f>'Douglas - fertilité moyenne'!$F21</f>
        <v>2.1429</v>
      </c>
      <c r="K24" s="114">
        <f>0</f>
        <v>0</v>
      </c>
      <c r="L24" s="114">
        <f>0</f>
        <v>0</v>
      </c>
      <c r="M24" s="114">
        <f>0</f>
        <v>0</v>
      </c>
      <c r="N24" s="114">
        <f>0</f>
        <v>0</v>
      </c>
      <c r="O24" s="114">
        <f>0</f>
        <v>0</v>
      </c>
      <c r="P24" s="114">
        <f>0</f>
        <v>0</v>
      </c>
      <c r="Q24" s="123">
        <f>0</f>
        <v>0</v>
      </c>
      <c r="R24" s="111"/>
      <c r="S24" s="15"/>
    </row>
    <row r="25" spans="3:19">
      <c r="C25" s="13"/>
      <c r="D25" s="11"/>
      <c r="E25" s="115">
        <f t="shared" ref="E25:J25" si="0">SUM(E21:E23)*E24</f>
        <v>4043.1197980205457</v>
      </c>
      <c r="F25" s="115">
        <f t="shared" si="0"/>
        <v>1386.6859693670617</v>
      </c>
      <c r="G25" s="115">
        <f t="shared" si="0"/>
        <v>2029.7850020221854</v>
      </c>
      <c r="H25" s="115">
        <f t="shared" si="0"/>
        <v>1341.2865039486451</v>
      </c>
      <c r="I25" s="115">
        <f t="shared" si="0"/>
        <v>1924.0529740473125</v>
      </c>
      <c r="J25" s="115">
        <f t="shared" si="0"/>
        <v>733.34148503565393</v>
      </c>
      <c r="K25" s="115">
        <f t="shared" ref="K25:Q25" si="1">SUM(K21:K23)*K24</f>
        <v>0</v>
      </c>
      <c r="L25" s="115">
        <f t="shared" si="1"/>
        <v>0</v>
      </c>
      <c r="M25" s="115">
        <f t="shared" si="1"/>
        <v>0</v>
      </c>
      <c r="N25" s="115">
        <f t="shared" si="1"/>
        <v>0</v>
      </c>
      <c r="O25" s="115">
        <f t="shared" si="1"/>
        <v>0</v>
      </c>
      <c r="P25" s="115">
        <f t="shared" si="1"/>
        <v>0</v>
      </c>
      <c r="Q25" s="115">
        <f t="shared" si="1"/>
        <v>0</v>
      </c>
      <c r="R25" s="128">
        <f>IF(SUM(E25:P25)=SUM(R21:R23),SUM(R21:R23),"erreur")</f>
        <v>11458.271732441406</v>
      </c>
      <c r="S25" s="15"/>
    </row>
    <row r="26" spans="3:19">
      <c r="C26" s="13"/>
      <c r="I26" s="14"/>
      <c r="J26" s="14"/>
      <c r="K26" s="14"/>
      <c r="R26" s="14"/>
      <c r="S26" s="15"/>
    </row>
    <row r="27" spans="3:19">
      <c r="C27" s="13"/>
      <c r="S27" s="15"/>
    </row>
    <row r="28" spans="3:19">
      <c r="C28" s="13"/>
      <c r="S28" s="15"/>
    </row>
    <row r="29" spans="3:19">
      <c r="C29" s="13"/>
      <c r="D29" s="20" t="s">
        <v>182</v>
      </c>
      <c r="M29" s="20" t="s">
        <v>126</v>
      </c>
      <c r="S29" s="15"/>
    </row>
    <row r="30" spans="3:19">
      <c r="C30" s="13"/>
      <c r="K30" s="14"/>
      <c r="M30" s="14"/>
      <c r="N30" s="14"/>
      <c r="O30" s="14"/>
      <c r="P30" s="14"/>
      <c r="Q30" s="14"/>
      <c r="R30" s="14" t="s">
        <v>93</v>
      </c>
      <c r="S30" s="15"/>
    </row>
    <row r="31" spans="3:19">
      <c r="C31" s="13"/>
      <c r="E31" s="14"/>
      <c r="F31" s="14"/>
      <c r="G31" s="14"/>
      <c r="H31" s="14"/>
      <c r="I31" s="14"/>
      <c r="J31" s="164" t="s">
        <v>191</v>
      </c>
      <c r="K31" s="165" t="s">
        <v>192</v>
      </c>
      <c r="L31" s="14"/>
      <c r="M31" s="22" t="s">
        <v>89</v>
      </c>
      <c r="N31" s="354" t="s">
        <v>100</v>
      </c>
      <c r="O31" s="355"/>
      <c r="P31" s="356"/>
      <c r="Q31" s="22" t="s">
        <v>77</v>
      </c>
      <c r="R31" s="129">
        <v>0</v>
      </c>
      <c r="S31" s="15"/>
    </row>
    <row r="32" spans="3:19">
      <c r="C32" s="13"/>
      <c r="D32" s="357" t="s">
        <v>184</v>
      </c>
      <c r="E32" s="357"/>
      <c r="F32" s="14" t="s">
        <v>97</v>
      </c>
      <c r="G32" s="14"/>
      <c r="H32" s="14"/>
      <c r="I32" s="14" t="s">
        <v>101</v>
      </c>
      <c r="J32" s="31">
        <f>SUMPRODUCT(E24:Q24,E21:Q21)</f>
        <v>10594.314954163847</v>
      </c>
      <c r="K32" s="176">
        <f>J32*(1-$R$31)*(1-$R$32)*(1-$R$33)*(1-$R$34)</f>
        <v>9534.883458747463</v>
      </c>
      <c r="L32" s="14"/>
      <c r="M32" s="22" t="s">
        <v>90</v>
      </c>
      <c r="N32" s="354" t="s">
        <v>75</v>
      </c>
      <c r="O32" s="355"/>
      <c r="P32" s="356"/>
      <c r="Q32" s="22" t="s">
        <v>94</v>
      </c>
      <c r="R32" s="129">
        <v>0.1</v>
      </c>
      <c r="S32" s="15"/>
    </row>
    <row r="33" spans="1:24">
      <c r="C33" s="13"/>
      <c r="D33" s="357"/>
      <c r="E33" s="357"/>
      <c r="F33" s="14" t="s">
        <v>127</v>
      </c>
      <c r="G33" s="14"/>
      <c r="H33" s="14"/>
      <c r="I33" s="14" t="s">
        <v>102</v>
      </c>
      <c r="J33" s="31">
        <f>SUMPRODUCT(E24:Q24,E22:Q22)</f>
        <v>171.29764127755854</v>
      </c>
      <c r="K33" s="176">
        <f>J33*(1-$R$31)*(1-$R$32)*(1-$R$33)*(1-$R$34)</f>
        <v>154.16787714980268</v>
      </c>
      <c r="L33" s="14"/>
      <c r="M33" s="22" t="s">
        <v>91</v>
      </c>
      <c r="N33" s="354" t="s">
        <v>95</v>
      </c>
      <c r="O33" s="355"/>
      <c r="P33" s="356"/>
      <c r="Q33" s="22" t="s">
        <v>99</v>
      </c>
      <c r="R33" s="129">
        <v>0</v>
      </c>
      <c r="S33" s="15"/>
    </row>
    <row r="34" spans="1:24">
      <c r="C34" s="13"/>
      <c r="D34" s="14" t="s">
        <v>98</v>
      </c>
      <c r="E34" s="14"/>
      <c r="F34" s="14"/>
      <c r="G34" s="14"/>
      <c r="H34" s="14"/>
      <c r="I34" s="14" t="s">
        <v>103</v>
      </c>
      <c r="J34" s="31">
        <f>SUMPRODUCT(E24:Q24,E23:Q23)</f>
        <v>692.65913699999999</v>
      </c>
      <c r="K34" s="176">
        <f>J34*(1-$R$31)*(1-$R$32)*(1-$R$33)*(1-$R$34)</f>
        <v>623.39322330000005</v>
      </c>
      <c r="L34" s="14"/>
      <c r="M34" s="22" t="s">
        <v>92</v>
      </c>
      <c r="N34" s="354" t="s">
        <v>96</v>
      </c>
      <c r="O34" s="355"/>
      <c r="P34" s="356"/>
      <c r="Q34" s="22" t="s">
        <v>77</v>
      </c>
      <c r="R34" s="129">
        <v>0</v>
      </c>
      <c r="S34" s="15"/>
    </row>
    <row r="35" spans="1:24">
      <c r="C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5"/>
    </row>
    <row r="36" spans="1:24">
      <c r="C36" s="13"/>
      <c r="D36" s="14"/>
      <c r="E36" s="14"/>
      <c r="F36" s="14"/>
      <c r="G36" s="14"/>
      <c r="H36" s="14"/>
      <c r="I36" s="32" t="s">
        <v>181</v>
      </c>
      <c r="J36" s="31">
        <f>J34+J33+J32</f>
        <v>11458.271732441406</v>
      </c>
      <c r="K36" s="14"/>
      <c r="L36" s="14"/>
      <c r="M36" s="14"/>
      <c r="N36" s="14"/>
      <c r="O36" s="14"/>
      <c r="P36" s="14"/>
      <c r="Q36" s="32" t="s">
        <v>186</v>
      </c>
      <c r="R36" s="31">
        <f>J36*(1-R31)*(1-R32)*(1-R33)*(1-R34)</f>
        <v>10312.444559197265</v>
      </c>
      <c r="S36" s="15"/>
      <c r="W36" s="342"/>
    </row>
    <row r="37" spans="1:24">
      <c r="C37" s="13"/>
      <c r="K37" s="14"/>
      <c r="S37" s="15"/>
    </row>
    <row r="38" spans="1:24">
      <c r="C38" s="13"/>
      <c r="K38" s="14"/>
      <c r="S38" s="15"/>
    </row>
    <row r="39" spans="1:24" ht="16" thickBot="1"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8"/>
    </row>
    <row r="41" spans="1:2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>
      <c r="G79"/>
      <c r="H79"/>
      <c r="I79"/>
      <c r="J79"/>
      <c r="K79"/>
      <c r="L79"/>
    </row>
    <row r="80" spans="1:24">
      <c r="G80"/>
      <c r="H80"/>
      <c r="I80"/>
      <c r="J80"/>
      <c r="K80"/>
      <c r="L80"/>
    </row>
    <row r="81" spans="7:12">
      <c r="G81"/>
      <c r="H81"/>
      <c r="I81"/>
      <c r="J81"/>
      <c r="K81"/>
      <c r="L81"/>
    </row>
    <row r="82" spans="7:12">
      <c r="G82"/>
      <c r="H82"/>
      <c r="I82"/>
      <c r="J82"/>
      <c r="K82"/>
      <c r="L82"/>
    </row>
    <row r="83" spans="7:12">
      <c r="G83"/>
      <c r="H83"/>
      <c r="I83"/>
      <c r="J83"/>
      <c r="K83"/>
      <c r="L83"/>
    </row>
    <row r="84" spans="7:12">
      <c r="G84"/>
      <c r="H84"/>
      <c r="I84"/>
      <c r="J84"/>
      <c r="K84"/>
      <c r="L84"/>
    </row>
    <row r="85" spans="7:12">
      <c r="G85"/>
      <c r="H85"/>
      <c r="I85"/>
      <c r="J85"/>
      <c r="K85"/>
      <c r="L85"/>
    </row>
    <row r="86" spans="7:12">
      <c r="G86"/>
      <c r="H86"/>
      <c r="I86"/>
      <c r="J86"/>
      <c r="K86"/>
      <c r="L86"/>
    </row>
    <row r="87" spans="7:12">
      <c r="G87"/>
      <c r="H87"/>
      <c r="I87"/>
      <c r="J87"/>
      <c r="K87"/>
      <c r="L87"/>
    </row>
    <row r="88" spans="7:12">
      <c r="G88"/>
      <c r="H88"/>
      <c r="I88"/>
      <c r="J88"/>
      <c r="K88"/>
      <c r="L88"/>
    </row>
    <row r="89" spans="7:12">
      <c r="G89"/>
      <c r="H89"/>
      <c r="I89"/>
      <c r="J89"/>
      <c r="K89"/>
      <c r="L89"/>
    </row>
    <row r="90" spans="7:12">
      <c r="G90"/>
      <c r="H90"/>
      <c r="I90"/>
      <c r="J90"/>
      <c r="K90"/>
      <c r="L90"/>
    </row>
    <row r="91" spans="7:12">
      <c r="G91"/>
      <c r="H91"/>
      <c r="I91"/>
      <c r="J91"/>
      <c r="K91"/>
      <c r="L91"/>
    </row>
    <row r="92" spans="7:12">
      <c r="G92"/>
      <c r="H92"/>
      <c r="I92"/>
      <c r="J92"/>
      <c r="K92"/>
      <c r="L92"/>
    </row>
    <row r="93" spans="7:12">
      <c r="G93"/>
      <c r="H93"/>
      <c r="I93"/>
      <c r="J93"/>
      <c r="K93"/>
      <c r="L93"/>
    </row>
    <row r="94" spans="7:12">
      <c r="G94"/>
      <c r="H94"/>
      <c r="I94"/>
      <c r="J94"/>
      <c r="K94"/>
      <c r="L94"/>
    </row>
    <row r="95" spans="7:12">
      <c r="G95"/>
      <c r="H95"/>
      <c r="I95"/>
      <c r="J95"/>
      <c r="K95"/>
      <c r="L95"/>
    </row>
    <row r="96" spans="7:12">
      <c r="G96"/>
      <c r="H96"/>
      <c r="I96"/>
      <c r="J96"/>
      <c r="K96"/>
      <c r="L96"/>
    </row>
    <row r="97" spans="7:12">
      <c r="G97"/>
      <c r="H97"/>
      <c r="I97"/>
      <c r="J97"/>
      <c r="K97"/>
      <c r="L97"/>
    </row>
    <row r="98" spans="7:12">
      <c r="G98"/>
      <c r="H98"/>
      <c r="I98"/>
      <c r="J98"/>
      <c r="K98"/>
      <c r="L98"/>
    </row>
    <row r="99" spans="7:12">
      <c r="G99"/>
      <c r="H99"/>
      <c r="I99"/>
      <c r="J99"/>
      <c r="K99"/>
      <c r="L99"/>
    </row>
    <row r="100" spans="7:12">
      <c r="G100"/>
      <c r="H100"/>
      <c r="I100"/>
      <c r="J100"/>
      <c r="K100"/>
      <c r="L100"/>
    </row>
    <row r="101" spans="7:12">
      <c r="G101"/>
      <c r="H101"/>
      <c r="I101"/>
      <c r="J101"/>
      <c r="K101"/>
      <c r="L101"/>
    </row>
  </sheetData>
  <mergeCells count="6">
    <mergeCell ref="N34:P34"/>
    <mergeCell ref="D6:R6"/>
    <mergeCell ref="N31:P31"/>
    <mergeCell ref="D32:E33"/>
    <mergeCell ref="N32:P32"/>
    <mergeCell ref="N33:P33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</sheetPr>
  <dimension ref="B3:AY207"/>
  <sheetViews>
    <sheetView zoomScale="75" zoomScaleNormal="100" workbookViewId="0">
      <selection activeCell="B23" sqref="B23:G23"/>
    </sheetView>
  </sheetViews>
  <sheetFormatPr baseColWidth="10" defaultRowHeight="15"/>
  <cols>
    <col min="3" max="4" width="13.6640625" customWidth="1"/>
    <col min="5" max="5" width="15.5" customWidth="1"/>
    <col min="6" max="6" width="16.5" style="26" customWidth="1"/>
    <col min="7" max="7" width="14.5" style="24" customWidth="1"/>
    <col min="8" max="8" width="11.5" style="24"/>
    <col min="9" max="9" width="10.5" style="24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4" customWidth="1"/>
    <col min="47" max="51" width="10.5" customWidth="1"/>
    <col min="54" max="54" width="19.33203125" customWidth="1"/>
  </cols>
  <sheetData>
    <row r="3" spans="2:51" ht="16">
      <c r="I3" s="381" t="s">
        <v>172</v>
      </c>
      <c r="J3" s="382"/>
      <c r="K3" s="382"/>
      <c r="L3" s="382"/>
      <c r="M3" s="382"/>
      <c r="N3" s="382"/>
      <c r="O3" s="383"/>
      <c r="P3" s="384" t="s">
        <v>144</v>
      </c>
      <c r="Q3" s="385"/>
      <c r="R3" s="385"/>
      <c r="S3" s="385"/>
      <c r="T3" s="385"/>
      <c r="U3" s="385"/>
      <c r="V3" s="385"/>
      <c r="W3" s="385"/>
      <c r="X3" s="386"/>
      <c r="Y3" s="90"/>
      <c r="Z3" s="90"/>
      <c r="AA3" s="372" t="s">
        <v>159</v>
      </c>
      <c r="AB3" s="373"/>
      <c r="AC3" s="373"/>
      <c r="AD3" s="373"/>
      <c r="AE3" s="373"/>
      <c r="AF3" s="373"/>
      <c r="AG3" s="373"/>
      <c r="AH3" s="373"/>
      <c r="AI3" s="374"/>
      <c r="AJ3" s="90"/>
      <c r="AK3" s="372" t="s">
        <v>171</v>
      </c>
      <c r="AL3" s="373"/>
      <c r="AM3" s="373"/>
      <c r="AN3" s="373"/>
      <c r="AO3" s="373"/>
      <c r="AP3" s="373"/>
      <c r="AQ3" s="373"/>
      <c r="AR3" s="373"/>
      <c r="AS3" s="373"/>
      <c r="AT3" s="373"/>
      <c r="AU3" s="373"/>
      <c r="AV3" s="373"/>
      <c r="AW3" s="373"/>
      <c r="AX3" s="373"/>
      <c r="AY3" s="374"/>
    </row>
    <row r="4" spans="2:51" ht="45" customHeight="1">
      <c r="B4" s="376" t="s">
        <v>173</v>
      </c>
      <c r="C4" s="376"/>
      <c r="D4" s="376"/>
      <c r="E4" s="376"/>
      <c r="F4" s="376"/>
      <c r="I4" s="59" t="s">
        <v>76</v>
      </c>
      <c r="J4" s="60" t="s">
        <v>108</v>
      </c>
      <c r="K4" s="60" t="s">
        <v>109</v>
      </c>
      <c r="L4" s="60" t="s">
        <v>72</v>
      </c>
      <c r="M4" s="60" t="s">
        <v>110</v>
      </c>
      <c r="N4" s="60" t="s">
        <v>111</v>
      </c>
      <c r="O4" s="88" t="s">
        <v>113</v>
      </c>
      <c r="P4" s="59" t="s">
        <v>76</v>
      </c>
      <c r="Q4" s="61" t="s">
        <v>118</v>
      </c>
      <c r="R4" s="61" t="s">
        <v>119</v>
      </c>
      <c r="S4" s="62" t="s">
        <v>105</v>
      </c>
      <c r="T4" s="63" t="s">
        <v>104</v>
      </c>
      <c r="U4" s="60" t="s">
        <v>3</v>
      </c>
      <c r="V4" s="60" t="s">
        <v>106</v>
      </c>
      <c r="W4" s="60" t="s">
        <v>107</v>
      </c>
      <c r="X4" s="89" t="s">
        <v>112</v>
      </c>
      <c r="Y4" s="66" t="s">
        <v>120</v>
      </c>
      <c r="AA4" s="70" t="s">
        <v>76</v>
      </c>
      <c r="AB4" s="61" t="s">
        <v>146</v>
      </c>
      <c r="AC4" s="62" t="s">
        <v>147</v>
      </c>
      <c r="AD4" s="68" t="s">
        <v>148</v>
      </c>
      <c r="AE4" s="64" t="s">
        <v>149</v>
      </c>
      <c r="AF4" s="64" t="s">
        <v>150</v>
      </c>
      <c r="AG4" s="64" t="s">
        <v>151</v>
      </c>
      <c r="AH4" s="64" t="s">
        <v>152</v>
      </c>
      <c r="AI4" s="75" t="s">
        <v>153</v>
      </c>
      <c r="AK4" s="70" t="s">
        <v>76</v>
      </c>
      <c r="AL4" s="61" t="s">
        <v>146</v>
      </c>
      <c r="AM4" s="62" t="s">
        <v>147</v>
      </c>
      <c r="AN4" s="68" t="s">
        <v>148</v>
      </c>
      <c r="AO4" s="64" t="s">
        <v>149</v>
      </c>
      <c r="AP4" s="64" t="s">
        <v>161</v>
      </c>
      <c r="AQ4" s="196" t="s">
        <v>187</v>
      </c>
      <c r="AR4" s="196" t="s">
        <v>188</v>
      </c>
      <c r="AS4" s="196" t="s">
        <v>189</v>
      </c>
      <c r="AT4" s="196" t="s">
        <v>190</v>
      </c>
      <c r="AU4" s="64" t="s">
        <v>162</v>
      </c>
      <c r="AV4" s="64" t="s">
        <v>163</v>
      </c>
      <c r="AW4" s="64" t="s">
        <v>164</v>
      </c>
      <c r="AX4" s="64" t="s">
        <v>165</v>
      </c>
      <c r="AY4" s="75" t="s">
        <v>153</v>
      </c>
    </row>
    <row r="5" spans="2:51">
      <c r="B5" s="365" t="s">
        <v>133</v>
      </c>
      <c r="C5" s="91" t="s">
        <v>73</v>
      </c>
      <c r="D5" s="377" t="s">
        <v>1</v>
      </c>
      <c r="E5" s="377"/>
      <c r="F5" s="92">
        <f>IF(D5="","",VLOOKUP(D5,$B$98:$C$101,2,0))</f>
        <v>45</v>
      </c>
      <c r="I5" s="55">
        <v>0</v>
      </c>
      <c r="J5" s="33">
        <v>0</v>
      </c>
      <c r="K5" s="33">
        <v>0</v>
      </c>
      <c r="L5" s="33">
        <v>0</v>
      </c>
      <c r="M5" s="33">
        <f>IF(I5&lt;=$F$10,IF(I5&lt;=30,I5*($F$9-$F$6)/30,$F$9-$F$6),)</f>
        <v>0</v>
      </c>
      <c r="N5" s="33">
        <f t="shared" ref="N5:N68" si="0">IF(P6&lt;=$F$18,0,)</f>
        <v>0</v>
      </c>
      <c r="O5" s="34">
        <f t="shared" ref="O5:O68" si="1">((J5+K5)*0.475+L5+M5+N5)*44/12</f>
        <v>0</v>
      </c>
      <c r="P5" s="55">
        <v>0</v>
      </c>
      <c r="Q5" s="33">
        <v>0</v>
      </c>
      <c r="R5" s="33">
        <v>0</v>
      </c>
      <c r="S5" s="33">
        <f>$F$19*R5</f>
        <v>0</v>
      </c>
      <c r="T5" s="33">
        <f t="shared" ref="T5:T68" si="2">IF(S5=0,0,EXP(-1.0587+0.8836*LN(S5)+0.284))</f>
        <v>0</v>
      </c>
      <c r="U5" s="33">
        <v>0</v>
      </c>
      <c r="V5" s="33">
        <f t="shared" ref="V5:V68" si="3">IF(P5&lt;=$F$18,IF(P5&lt;=30,P5*($F$16-$F$6)/30,$F$16-$F$6),)</f>
        <v>0</v>
      </c>
      <c r="W5" s="33">
        <v>0</v>
      </c>
      <c r="X5" s="33">
        <f t="shared" ref="X5:X68" si="4">((S5+T5)*0.475+U5+V5+W5)*44/12</f>
        <v>0</v>
      </c>
      <c r="Y5" s="38">
        <f t="shared" ref="Y5:Y68" si="5">IF(P5&lt;=$F$18,X5-O5,)</f>
        <v>0</v>
      </c>
      <c r="AA5" s="71">
        <v>0</v>
      </c>
      <c r="AB5" s="33">
        <f t="shared" ref="AB5:AB68" si="6">IF(AA5&lt;=$F$18,IFERROR(VLOOKUP($AA5,$B$82:$G$95,2,FALSE),0),)</f>
        <v>0</v>
      </c>
      <c r="AC5" s="308">
        <f t="shared" ref="AC5:AC68" si="7">IF(AA5&lt;=$F$18,IFERROR(VLOOKUP($AA5,$B$82:$G$95,3,FALSE),0),)*50%</f>
        <v>0</v>
      </c>
      <c r="AD5" s="101">
        <f t="shared" ref="AD5:AD68" si="8">IF(AA5&lt;=$F$18,IFERROR(VLOOKUP($AA5,$B$82:$G$95,4,FALSE),0),)</f>
        <v>0</v>
      </c>
      <c r="AE5" s="101">
        <f t="shared" ref="AE5:AE68" si="9">IF(AA5&lt;=$F$18,IFERROR(VLOOKUP($AA5,$B$82:$G$95,5,FALSE),0),)</f>
        <v>0</v>
      </c>
      <c r="AF5" s="33">
        <v>0</v>
      </c>
      <c r="AG5" s="33">
        <v>0</v>
      </c>
      <c r="AH5" s="33">
        <v>0</v>
      </c>
      <c r="AI5" s="76">
        <f>SUM(AF5:AH5)</f>
        <v>0</v>
      </c>
      <c r="AK5" s="71">
        <v>0</v>
      </c>
      <c r="AL5" s="33">
        <f t="shared" ref="AL5:AL68" si="10">IF(AK5&lt;=$F$18,IFERROR(VLOOKUP($AA5,$B$82:$G$95,2,FALSE),0),)</f>
        <v>0</v>
      </c>
      <c r="AM5" s="33">
        <f t="shared" ref="AM5:AM68" si="11">IF(AK5&lt;=$F$18,IFERROR(VLOOKUP($AA5,$B$82:$G$95,3,FALSE),0),)</f>
        <v>0</v>
      </c>
      <c r="AN5" s="33">
        <f t="shared" ref="AN5:AN68" si="12">IF(AK5&lt;=$F$18,IFERROR(VLOOKUP($AA5,$B$82:$G$95,4,FALSE),0),)</f>
        <v>0</v>
      </c>
      <c r="AO5" s="33">
        <f t="shared" ref="AO5:AO68" si="13">IF(AK5&lt;=$F$18,IFERROR(VLOOKUP($AA5,$B$82:$G$95,5,FALSE),0),)</f>
        <v>0</v>
      </c>
      <c r="AP5" s="33">
        <f t="shared" ref="AP5:AP68" si="14">IF(AK5&lt;=$F$18,IFERROR(VLOOKUP($AA5,$B$82:$G$95,6,FALSE),0),)</f>
        <v>0</v>
      </c>
      <c r="AQ5" s="197">
        <f t="shared" ref="AQ5:AQ35" si="15">IF($AK5&lt;=$F$18,$AL5*AM5,)</f>
        <v>0</v>
      </c>
      <c r="AR5" s="197">
        <f t="shared" ref="AR5:AR35" si="16">IF($AK5&lt;=$F$18,$AL5*AN5,)</f>
        <v>0</v>
      </c>
      <c r="AS5" s="197">
        <f t="shared" ref="AS5:AS35" si="17">IF($AK5&lt;=$F$18,$AL5*AO5,)</f>
        <v>0</v>
      </c>
      <c r="AT5" s="197">
        <f t="shared" ref="AT5:AT35" si="18">IF($AK5&lt;=$F$18,$AL5*AP5,)</f>
        <v>0</v>
      </c>
      <c r="AU5" s="33"/>
      <c r="AV5" s="33"/>
      <c r="AW5" s="33"/>
      <c r="AX5" s="33"/>
      <c r="AY5" s="167">
        <v>0</v>
      </c>
    </row>
    <row r="6" spans="2:51">
      <c r="B6" s="366"/>
      <c r="C6" s="99" t="s">
        <v>74</v>
      </c>
      <c r="D6" s="368" t="s">
        <v>260</v>
      </c>
      <c r="E6" s="368"/>
      <c r="F6" s="100">
        <f>VLOOKUP(D5,$B$98:$D$101,3,FALSE)</f>
        <v>0</v>
      </c>
      <c r="I6" s="55">
        <v>1</v>
      </c>
      <c r="J6" s="33">
        <f>IF(D8&lt;&gt;"Cultures",IF($I6&lt;=$F$10,$F$11*$F$13+J5,),5)</f>
        <v>5</v>
      </c>
      <c r="K6" s="33">
        <f>IF(J6=0,0,EXP(-1.0587+0.8836*LN(J6)+0.284))</f>
        <v>1.910565629709926</v>
      </c>
      <c r="L6" s="33">
        <f>IF(I6&lt;=$F$10,$F$5+($F$8-$F$5)*(1-EXP(-0.0175*I6)),)</f>
        <v>45</v>
      </c>
      <c r="M6" s="33">
        <f>IF(I6&lt;=$F$10,IF(I6&lt;=30,I6*($F$9-$F$6)/30,$F$9-$F$6),)</f>
        <v>0</v>
      </c>
      <c r="N6" s="33">
        <f t="shared" si="0"/>
        <v>0</v>
      </c>
      <c r="O6" s="34">
        <f t="shared" si="1"/>
        <v>177.03590180507811</v>
      </c>
      <c r="P6" s="55">
        <v>1</v>
      </c>
      <c r="Q6" s="33">
        <f t="shared" ref="Q6:Q69" si="19">IF(P6&lt;=$F$18,LOOKUP(P6-1,$B$25:$B$78,$G$25:$G$78),)</f>
        <v>5.6940000000000008</v>
      </c>
      <c r="R6" s="33">
        <f>IF(P6&lt;=$F$18,Q6+R5,)</f>
        <v>5.6940000000000008</v>
      </c>
      <c r="S6" s="33">
        <f>$F$19*R6</f>
        <v>3.1886400000000008</v>
      </c>
      <c r="T6" s="33">
        <f t="shared" si="2"/>
        <v>1.2839197387438281</v>
      </c>
      <c r="U6" s="33">
        <f t="shared" ref="U6:U69" si="20">IF(P6&lt;=$F$18,$F$5+($F$15-$F$5)*(1-EXP(-0.0175*P6)),)</f>
        <v>45.433694108373167</v>
      </c>
      <c r="V6" s="33">
        <f t="shared" si="3"/>
        <v>0.33333333333333331</v>
      </c>
      <c r="W6" s="33">
        <v>0</v>
      </c>
      <c r="X6" s="33">
        <f t="shared" si="4"/>
        <v>175.60214216456936</v>
      </c>
      <c r="Y6" s="38">
        <f t="shared" si="5"/>
        <v>-1.4337596405087538</v>
      </c>
      <c r="AA6" s="71">
        <v>1</v>
      </c>
      <c r="AB6" s="33">
        <f t="shared" si="6"/>
        <v>0</v>
      </c>
      <c r="AC6" s="308">
        <f t="shared" si="7"/>
        <v>0</v>
      </c>
      <c r="AD6" s="101">
        <f t="shared" si="8"/>
        <v>0</v>
      </c>
      <c r="AE6" s="101">
        <f t="shared" si="9"/>
        <v>0</v>
      </c>
      <c r="AF6" s="197">
        <f>IF(OR(AA6&lt;=$F$18,AA6&lt;=30),EXP(-LN(2)/$D$104)*AF5+((1-EXP(-LN(2)/$D$104))/(LN(2)/$D$104))*$AB6*AC6*0.475*$F$19*44/12,)</f>
        <v>0</v>
      </c>
      <c r="AG6" s="197">
        <f>IF(OR(AA6&lt;=$F$18,AA6&lt;=30),EXP(-LN(2)/$D$106)*AG5+((1-EXP(-LN(2)/$D$106))/(LN(2)/$D$106))*$AB6*AD6*0.475*$F$19*44/12,)</f>
        <v>0</v>
      </c>
      <c r="AH6" s="197">
        <f>IF(OR(AA6&lt;=$F$18,AA6&lt;=30),EXP(-LN(2)/$D$105)*AH5+((1-EXP(-LN(2)/$D$105))/(LN(2)/$D$105))*$AB6*AE6*0.475*$F$19*44/12,)</f>
        <v>0</v>
      </c>
      <c r="AI6" s="202">
        <f>IF(OR(AA6&lt;=$F$18,AA6&lt;=30),SUM(AF6:AH6),)</f>
        <v>0</v>
      </c>
      <c r="AK6" s="71">
        <v>1</v>
      </c>
      <c r="AL6" s="33">
        <f t="shared" si="10"/>
        <v>0</v>
      </c>
      <c r="AM6" s="33">
        <f t="shared" si="11"/>
        <v>0</v>
      </c>
      <c r="AN6" s="33">
        <f t="shared" si="12"/>
        <v>0</v>
      </c>
      <c r="AO6" s="33">
        <f t="shared" si="13"/>
        <v>0</v>
      </c>
      <c r="AP6" s="33">
        <f t="shared" si="14"/>
        <v>0</v>
      </c>
      <c r="AQ6" s="197">
        <f t="shared" si="15"/>
        <v>0</v>
      </c>
      <c r="AR6" s="197">
        <f t="shared" si="16"/>
        <v>0</v>
      </c>
      <c r="AS6" s="197">
        <f t="shared" si="17"/>
        <v>0</v>
      </c>
      <c r="AT6" s="197">
        <f t="shared" si="18"/>
        <v>0</v>
      </c>
      <c r="AU6" s="33"/>
      <c r="AV6" s="33"/>
      <c r="AW6" s="33"/>
      <c r="AX6" s="33"/>
      <c r="AY6" s="167">
        <f>IF(OR($AK6&lt;=$F$18,$AK6&lt;=30),AL6*$G$108+AY5,)</f>
        <v>0</v>
      </c>
    </row>
    <row r="7" spans="2:51">
      <c r="B7" s="365" t="s">
        <v>134</v>
      </c>
      <c r="C7" s="378"/>
      <c r="D7" s="379"/>
      <c r="E7" s="379"/>
      <c r="F7" s="380"/>
      <c r="I7" s="55">
        <v>2</v>
      </c>
      <c r="J7" s="33">
        <f t="shared" ref="J7:J70" si="21">IF($I7&lt;=$F$10,$F$11*$F$13+J6,)</f>
        <v>5</v>
      </c>
      <c r="K7" s="33">
        <f t="shared" ref="K7:K70" si="22">IF(J7=0,0,EXP(-1.0587+0.8836*LN(J7)+0.284))</f>
        <v>1.910565629709926</v>
      </c>
      <c r="L7" s="33">
        <f t="shared" ref="L7:L70" si="23">IF(I7&lt;=$F$10,$F$5+($F$8-$F$5)*(1-EXP(-0.0175*I7)),)</f>
        <v>45</v>
      </c>
      <c r="M7" s="33">
        <f t="shared" ref="M7:M70" si="24">IF(I7&lt;=$F$10,IF(I7&lt;=30,I7*($F$9-$F$6)/30,$F$9-$F$6),)</f>
        <v>0</v>
      </c>
      <c r="N7" s="33">
        <f t="shared" si="0"/>
        <v>0</v>
      </c>
      <c r="O7" s="34">
        <f t="shared" si="1"/>
        <v>177.03590180507811</v>
      </c>
      <c r="P7" s="55">
        <v>2</v>
      </c>
      <c r="Q7" s="33">
        <f t="shared" si="19"/>
        <v>5.6940000000000008</v>
      </c>
      <c r="R7" s="33">
        <f t="shared" ref="R7:R70" si="25">IF(P7&lt;=$F$18,Q7+R6,)</f>
        <v>11.388000000000002</v>
      </c>
      <c r="S7" s="33">
        <f t="shared" ref="S7:S70" si="26">$F$19*R7</f>
        <v>6.3772800000000016</v>
      </c>
      <c r="T7" s="33">
        <f t="shared" si="2"/>
        <v>2.3687977389460642</v>
      </c>
      <c r="U7" s="33">
        <f t="shared" si="20"/>
        <v>45.859864593560836</v>
      </c>
      <c r="V7" s="33">
        <f t="shared" si="3"/>
        <v>0.66666666666666663</v>
      </c>
      <c r="W7" s="33">
        <v>0</v>
      </c>
      <c r="X7" s="33">
        <f t="shared" si="4"/>
        <v>185.83003334949856</v>
      </c>
      <c r="Y7" s="38">
        <f t="shared" si="5"/>
        <v>8.794131544420452</v>
      </c>
      <c r="AA7" s="71">
        <v>2</v>
      </c>
      <c r="AB7" s="33">
        <f t="shared" si="6"/>
        <v>0</v>
      </c>
      <c r="AC7" s="308">
        <f t="shared" si="7"/>
        <v>0</v>
      </c>
      <c r="AD7" s="101">
        <f t="shared" si="8"/>
        <v>0</v>
      </c>
      <c r="AE7" s="101">
        <f t="shared" si="9"/>
        <v>0</v>
      </c>
      <c r="AF7" s="197">
        <f>IF(OR(AA7&lt;=$F$18,AA7&lt;=30),EXP(-LN(2)/$D$104)*AF6+((1-EXP(-LN(2)/$D$104))/(LN(2)/$D$104))*$AB7*AC7*0.475*$F$19*44/12,)</f>
        <v>0</v>
      </c>
      <c r="AG7" s="197">
        <f>IF(OR(AA7&lt;=$F$18,AA7&lt;=30),EXP(-LN(2)/$D$106)*AG6+((1-EXP(-LN(2)/$D$106))/(LN(2)/$D$106))*$AB7*AD7*0.475*$F$19*44/12,)</f>
        <v>0</v>
      </c>
      <c r="AH7" s="197">
        <f>IF(OR(AA7&lt;=$F$18,AA7&lt;=30),EXP(-LN(2)/$D$105)*AH6+((1-EXP(-LN(2)/$D$105))/(LN(2)/$D$105))*$AB7*AE7*0.475*$F$19*44/12,)</f>
        <v>0</v>
      </c>
      <c r="AI7" s="202">
        <f>IF(OR(AA7&lt;=$F$18,AA7&lt;=30),SUM(AF7:AH7),)</f>
        <v>0</v>
      </c>
      <c r="AK7" s="71">
        <v>2</v>
      </c>
      <c r="AL7" s="33">
        <f t="shared" si="10"/>
        <v>0</v>
      </c>
      <c r="AM7" s="33">
        <f t="shared" si="11"/>
        <v>0</v>
      </c>
      <c r="AN7" s="33">
        <f t="shared" si="12"/>
        <v>0</v>
      </c>
      <c r="AO7" s="33">
        <f t="shared" si="13"/>
        <v>0</v>
      </c>
      <c r="AP7" s="33">
        <f t="shared" si="14"/>
        <v>0</v>
      </c>
      <c r="AQ7" s="197">
        <f t="shared" si="15"/>
        <v>0</v>
      </c>
      <c r="AR7" s="197">
        <f t="shared" si="16"/>
        <v>0</v>
      </c>
      <c r="AS7" s="197">
        <f t="shared" si="17"/>
        <v>0</v>
      </c>
      <c r="AT7" s="197">
        <f t="shared" si="18"/>
        <v>0</v>
      </c>
      <c r="AU7" s="33"/>
      <c r="AV7" s="33"/>
      <c r="AW7" s="33"/>
      <c r="AX7" s="33"/>
      <c r="AY7" s="167">
        <f t="shared" ref="AY7:AY35" si="27">IF(OR($AK7&lt;=$F$18,$AK7&lt;=30),AL7*$G$108+AY6,)</f>
        <v>0</v>
      </c>
    </row>
    <row r="8" spans="2:51">
      <c r="B8" s="375"/>
      <c r="C8" s="93" t="s">
        <v>73</v>
      </c>
      <c r="D8" s="371" t="s">
        <v>1</v>
      </c>
      <c r="E8" s="371"/>
      <c r="F8" s="94">
        <f>IF(D8="","",VLOOKUP(D8,$B$98:$C$101,2,0))</f>
        <v>45</v>
      </c>
      <c r="I8" s="55">
        <v>3</v>
      </c>
      <c r="J8" s="33">
        <f t="shared" si="21"/>
        <v>5</v>
      </c>
      <c r="K8" s="33">
        <f t="shared" si="22"/>
        <v>1.910565629709926</v>
      </c>
      <c r="L8" s="33">
        <f t="shared" si="23"/>
        <v>45</v>
      </c>
      <c r="M8" s="33">
        <f t="shared" si="24"/>
        <v>0</v>
      </c>
      <c r="N8" s="33">
        <f t="shared" si="0"/>
        <v>0</v>
      </c>
      <c r="O8" s="34">
        <f t="shared" si="1"/>
        <v>177.03590180507811</v>
      </c>
      <c r="P8" s="55">
        <v>3</v>
      </c>
      <c r="Q8" s="33">
        <f t="shared" si="19"/>
        <v>5.6940000000000008</v>
      </c>
      <c r="R8" s="33">
        <f t="shared" si="25"/>
        <v>17.082000000000001</v>
      </c>
      <c r="S8" s="33">
        <f t="shared" si="26"/>
        <v>9.565920000000002</v>
      </c>
      <c r="T8" s="33">
        <f t="shared" si="2"/>
        <v>3.3893952488696257</v>
      </c>
      <c r="U8" s="33">
        <f t="shared" si="20"/>
        <v>46.278641973604969</v>
      </c>
      <c r="V8" s="33">
        <f t="shared" si="3"/>
        <v>1</v>
      </c>
      <c r="W8" s="33">
        <v>0</v>
      </c>
      <c r="X8" s="33">
        <f t="shared" si="4"/>
        <v>195.91886129499949</v>
      </c>
      <c r="Y8" s="38">
        <f t="shared" si="5"/>
        <v>18.882959489921376</v>
      </c>
      <c r="AA8" s="71">
        <v>3</v>
      </c>
      <c r="AB8" s="33">
        <f t="shared" si="6"/>
        <v>0</v>
      </c>
      <c r="AC8" s="308">
        <f t="shared" si="7"/>
        <v>0</v>
      </c>
      <c r="AD8" s="101">
        <f t="shared" si="8"/>
        <v>0</v>
      </c>
      <c r="AE8" s="101">
        <f t="shared" si="9"/>
        <v>0</v>
      </c>
      <c r="AF8" s="197">
        <f>IF(OR(AA8&lt;=$F$18,AA8&lt;=30),EXP(-LN(2)/$D$104)*AF7+((1-EXP(-LN(2)/$D$104))/(LN(2)/$D$104))*$AB8*AC8*0.475*$F$19*44/12,)</f>
        <v>0</v>
      </c>
      <c r="AG8" s="197">
        <f>IF(OR(AA8&lt;=$F$18,AA8&lt;=30),EXP(-LN(2)/$D$106)*AG7+((1-EXP(-LN(2)/$D$106))/(LN(2)/$D$106))*$AB8*AD8*0.475*$F$19*44/12,)</f>
        <v>0</v>
      </c>
      <c r="AH8" s="197">
        <f>IF(OR(AA8&lt;=$F$18,AA8&lt;=30),EXP(-LN(2)/$D$105)*AH7+((1-EXP(-LN(2)/$D$105))/(LN(2)/$D$105))*$AB8*AE8*0.475*$F$19*44/12,)</f>
        <v>0</v>
      </c>
      <c r="AI8" s="202">
        <f>IF(OR(AA8&lt;=$F$18,AA8&lt;=30),SUM(AF8:AH8),)</f>
        <v>0</v>
      </c>
      <c r="AK8" s="71">
        <v>3</v>
      </c>
      <c r="AL8" s="33">
        <f t="shared" si="10"/>
        <v>0</v>
      </c>
      <c r="AM8" s="33">
        <f t="shared" si="11"/>
        <v>0</v>
      </c>
      <c r="AN8" s="33">
        <f t="shared" si="12"/>
        <v>0</v>
      </c>
      <c r="AO8" s="33">
        <f t="shared" si="13"/>
        <v>0</v>
      </c>
      <c r="AP8" s="33">
        <f t="shared" si="14"/>
        <v>0</v>
      </c>
      <c r="AQ8" s="197">
        <f t="shared" si="15"/>
        <v>0</v>
      </c>
      <c r="AR8" s="197">
        <f t="shared" si="16"/>
        <v>0</v>
      </c>
      <c r="AS8" s="197">
        <f t="shared" si="17"/>
        <v>0</v>
      </c>
      <c r="AT8" s="197">
        <f t="shared" si="18"/>
        <v>0</v>
      </c>
      <c r="AU8" s="33"/>
      <c r="AV8" s="33"/>
      <c r="AW8" s="33"/>
      <c r="AX8" s="33"/>
      <c r="AY8" s="167">
        <f t="shared" si="27"/>
        <v>0</v>
      </c>
    </row>
    <row r="9" spans="2:51">
      <c r="B9" s="375"/>
      <c r="C9" s="93" t="s">
        <v>74</v>
      </c>
      <c r="D9" s="367" t="str">
        <f>IF(D8=$B$101,"totale","néant")</f>
        <v>néant</v>
      </c>
      <c r="E9" s="367"/>
      <c r="F9" s="94">
        <f>IF(D8=B101,10,VLOOKUP(D8,$B$98:$D$101,3,FALSE))</f>
        <v>0</v>
      </c>
      <c r="I9" s="55">
        <v>4</v>
      </c>
      <c r="J9" s="33">
        <f t="shared" si="21"/>
        <v>5</v>
      </c>
      <c r="K9" s="33">
        <f t="shared" si="22"/>
        <v>1.910565629709926</v>
      </c>
      <c r="L9" s="33">
        <f t="shared" si="23"/>
        <v>45</v>
      </c>
      <c r="M9" s="33">
        <f t="shared" si="24"/>
        <v>0</v>
      </c>
      <c r="N9" s="33">
        <f t="shared" si="0"/>
        <v>0</v>
      </c>
      <c r="O9" s="34">
        <f t="shared" si="1"/>
        <v>177.03590180507811</v>
      </c>
      <c r="P9" s="55">
        <v>4</v>
      </c>
      <c r="Q9" s="33">
        <f t="shared" si="19"/>
        <v>5.6940000000000008</v>
      </c>
      <c r="R9" s="33">
        <f t="shared" si="25"/>
        <v>22.776000000000003</v>
      </c>
      <c r="S9" s="33">
        <f t="shared" si="26"/>
        <v>12.754560000000003</v>
      </c>
      <c r="T9" s="33">
        <f t="shared" si="2"/>
        <v>4.3703687689433908</v>
      </c>
      <c r="U9" s="33">
        <f t="shared" si="20"/>
        <v>46.690154502351291</v>
      </c>
      <c r="V9" s="33">
        <f t="shared" si="3"/>
        <v>1.3333333333333333</v>
      </c>
      <c r="W9" s="33">
        <v>0</v>
      </c>
      <c r="X9" s="33">
        <f t="shared" si="4"/>
        <v>205.91203967008673</v>
      </c>
      <c r="Y9" s="38">
        <f t="shared" si="5"/>
        <v>28.876137865008616</v>
      </c>
      <c r="AA9" s="71">
        <v>4</v>
      </c>
      <c r="AB9" s="33">
        <f t="shared" si="6"/>
        <v>0</v>
      </c>
      <c r="AC9" s="308">
        <f t="shared" si="7"/>
        <v>0</v>
      </c>
      <c r="AD9" s="101">
        <f t="shared" si="8"/>
        <v>0</v>
      </c>
      <c r="AE9" s="101">
        <f t="shared" si="9"/>
        <v>0</v>
      </c>
      <c r="AF9" s="197">
        <f>IF(OR(AA9&lt;=$F$18,AA9&lt;=30),EXP(-LN(2)/$D$104)*AF8+((1-EXP(-LN(2)/$D$104))/(LN(2)/$D$104))*$AB9*AC9*0.475*$F$19*44/12,)</f>
        <v>0</v>
      </c>
      <c r="AG9" s="197">
        <f>IF(OR(AA9&lt;=$F$18,AA9&lt;=30),EXP(-LN(2)/$D$106)*AG8+((1-EXP(-LN(2)/$D$106))/(LN(2)/$D$106))*$AB9*AD9*0.475*$F$19*44/12,)</f>
        <v>0</v>
      </c>
      <c r="AH9" s="197">
        <f>IF(OR(AA9&lt;=$F$18,AA9&lt;=30),EXP(-LN(2)/$D$105)*AH8+((1-EXP(-LN(2)/$D$105))/(LN(2)/$D$105))*$AB9*AE9*0.475*$F$19*44/12,)</f>
        <v>0</v>
      </c>
      <c r="AI9" s="202">
        <f>IF(OR(AA9&lt;=$F$18,AA9&lt;=30),SUM(AF9:AH9),)</f>
        <v>0</v>
      </c>
      <c r="AK9" s="71">
        <v>4</v>
      </c>
      <c r="AL9" s="33">
        <f t="shared" si="10"/>
        <v>0</v>
      </c>
      <c r="AM9" s="33">
        <f t="shared" si="11"/>
        <v>0</v>
      </c>
      <c r="AN9" s="33">
        <f t="shared" si="12"/>
        <v>0</v>
      </c>
      <c r="AO9" s="33">
        <f t="shared" si="13"/>
        <v>0</v>
      </c>
      <c r="AP9" s="33">
        <f t="shared" si="14"/>
        <v>0</v>
      </c>
      <c r="AQ9" s="197">
        <f t="shared" si="15"/>
        <v>0</v>
      </c>
      <c r="AR9" s="197">
        <f t="shared" si="16"/>
        <v>0</v>
      </c>
      <c r="AS9" s="197">
        <f t="shared" si="17"/>
        <v>0</v>
      </c>
      <c r="AT9" s="197">
        <f t="shared" si="18"/>
        <v>0</v>
      </c>
      <c r="AU9" s="33"/>
      <c r="AV9" s="33"/>
      <c r="AW9" s="33"/>
      <c r="AX9" s="33"/>
      <c r="AY9" s="167">
        <f t="shared" si="27"/>
        <v>0</v>
      </c>
    </row>
    <row r="10" spans="2:51">
      <c r="B10" s="375"/>
      <c r="C10" s="369" t="s">
        <v>124</v>
      </c>
      <c r="D10" s="364" t="s">
        <v>136</v>
      </c>
      <c r="E10" s="364"/>
      <c r="F10" s="95">
        <f>F18</f>
        <v>100</v>
      </c>
      <c r="I10" s="55">
        <v>5</v>
      </c>
      <c r="J10" s="33">
        <f t="shared" si="21"/>
        <v>5</v>
      </c>
      <c r="K10" s="33">
        <f t="shared" si="22"/>
        <v>1.910565629709926</v>
      </c>
      <c r="L10" s="33">
        <f t="shared" si="23"/>
        <v>45</v>
      </c>
      <c r="M10" s="33">
        <f t="shared" si="24"/>
        <v>0</v>
      </c>
      <c r="N10" s="33">
        <f t="shared" si="0"/>
        <v>0</v>
      </c>
      <c r="O10" s="34">
        <f t="shared" si="1"/>
        <v>177.03590180507811</v>
      </c>
      <c r="P10" s="55">
        <v>5</v>
      </c>
      <c r="Q10" s="33">
        <f t="shared" si="19"/>
        <v>5.6940000000000008</v>
      </c>
      <c r="R10" s="33">
        <f t="shared" si="25"/>
        <v>28.470000000000006</v>
      </c>
      <c r="S10" s="33">
        <f t="shared" si="26"/>
        <v>15.943200000000004</v>
      </c>
      <c r="T10" s="33">
        <f t="shared" si="2"/>
        <v>5.322893433455258</v>
      </c>
      <c r="U10" s="33">
        <f t="shared" si="20"/>
        <v>47.094528208728065</v>
      </c>
      <c r="V10" s="33">
        <f t="shared" si="3"/>
        <v>1.6666666666666667</v>
      </c>
      <c r="W10" s="33">
        <v>0</v>
      </c>
      <c r="X10" s="33">
        <f t="shared" si="4"/>
        <v>215.82949393971526</v>
      </c>
      <c r="Y10" s="38">
        <f t="shared" si="5"/>
        <v>38.793592134637152</v>
      </c>
      <c r="AA10" s="71">
        <v>5</v>
      </c>
      <c r="AB10" s="33">
        <f t="shared" si="6"/>
        <v>0</v>
      </c>
      <c r="AC10" s="308">
        <f t="shared" si="7"/>
        <v>0</v>
      </c>
      <c r="AD10" s="101">
        <f t="shared" si="8"/>
        <v>0</v>
      </c>
      <c r="AE10" s="101">
        <f t="shared" si="9"/>
        <v>0</v>
      </c>
      <c r="AF10" s="197">
        <f t="shared" ref="AF10:AF24" si="28">IF(OR(AA10&lt;=$F$18,AA10&lt;=30),EXP(-LN(2)/$D$104)*AF9+((1-EXP(-LN(2)/$D$104))/(LN(2)/$D$104))*$AB10*AC10*0.475*$F$19*44/12,)</f>
        <v>0</v>
      </c>
      <c r="AG10" s="197">
        <f t="shared" ref="AG10:AG24" si="29">IF(OR(AA10&lt;=$F$18,AA10&lt;=30),EXP(-LN(2)/$D$106)*AG9+((1-EXP(-LN(2)/$D$106))/(LN(2)/$D$106))*$AB10*AD10*0.475*$F$19*44/12,)</f>
        <v>0</v>
      </c>
      <c r="AH10" s="197">
        <f t="shared" ref="AH10:AH24" si="30">IF(OR(AA10&lt;=$F$18,AA10&lt;=30),EXP(-LN(2)/$D$105)*AH9+((1-EXP(-LN(2)/$D$105))/(LN(2)/$D$105))*$AB10*AE10*0.475*$F$19*44/12,)</f>
        <v>0</v>
      </c>
      <c r="AI10" s="202">
        <f t="shared" ref="AI10:AI24" si="31">IF(OR(AA10&lt;=$F$18,AA10&lt;=30),SUM(AF10:AH10),)</f>
        <v>0</v>
      </c>
      <c r="AK10" s="71">
        <v>5</v>
      </c>
      <c r="AL10" s="33">
        <f t="shared" si="10"/>
        <v>0</v>
      </c>
      <c r="AM10" s="33">
        <f t="shared" si="11"/>
        <v>0</v>
      </c>
      <c r="AN10" s="33">
        <f t="shared" si="12"/>
        <v>0</v>
      </c>
      <c r="AO10" s="33">
        <f t="shared" si="13"/>
        <v>0</v>
      </c>
      <c r="AP10" s="33">
        <f t="shared" si="14"/>
        <v>0</v>
      </c>
      <c r="AQ10" s="197">
        <f t="shared" si="15"/>
        <v>0</v>
      </c>
      <c r="AR10" s="197">
        <f t="shared" si="16"/>
        <v>0</v>
      </c>
      <c r="AS10" s="197">
        <f t="shared" si="17"/>
        <v>0</v>
      </c>
      <c r="AT10" s="197">
        <f t="shared" si="18"/>
        <v>0</v>
      </c>
      <c r="AU10" s="33"/>
      <c r="AV10" s="33"/>
      <c r="AW10" s="33"/>
      <c r="AX10" s="33"/>
      <c r="AY10" s="167">
        <f t="shared" si="27"/>
        <v>0</v>
      </c>
    </row>
    <row r="11" spans="2:51">
      <c r="B11" s="375"/>
      <c r="C11" s="369"/>
      <c r="D11" s="367" t="s">
        <v>139</v>
      </c>
      <c r="E11" s="367"/>
      <c r="F11" s="36">
        <f>IF(D8=$B$101,1,0)</f>
        <v>0</v>
      </c>
      <c r="I11" s="55">
        <v>6</v>
      </c>
      <c r="J11" s="33">
        <f t="shared" si="21"/>
        <v>5</v>
      </c>
      <c r="K11" s="33">
        <f t="shared" si="22"/>
        <v>1.910565629709926</v>
      </c>
      <c r="L11" s="33">
        <f t="shared" si="23"/>
        <v>45</v>
      </c>
      <c r="M11" s="33">
        <f t="shared" si="24"/>
        <v>0</v>
      </c>
      <c r="N11" s="33">
        <f t="shared" si="0"/>
        <v>0</v>
      </c>
      <c r="O11" s="34">
        <f t="shared" si="1"/>
        <v>177.03590180507811</v>
      </c>
      <c r="P11" s="55">
        <v>6</v>
      </c>
      <c r="Q11" s="33">
        <f t="shared" si="19"/>
        <v>5.6940000000000008</v>
      </c>
      <c r="R11" s="33">
        <f t="shared" si="25"/>
        <v>34.164000000000009</v>
      </c>
      <c r="S11" s="33">
        <f t="shared" si="26"/>
        <v>19.131840000000008</v>
      </c>
      <c r="T11" s="33">
        <f t="shared" si="2"/>
        <v>6.253344005577933</v>
      </c>
      <c r="U11" s="33">
        <f t="shared" si="20"/>
        <v>47.491886935343359</v>
      </c>
      <c r="V11" s="33">
        <f t="shared" si="3"/>
        <v>2</v>
      </c>
      <c r="W11" s="33">
        <v>0</v>
      </c>
      <c r="X11" s="33">
        <f t="shared" si="4"/>
        <v>225.68278090597391</v>
      </c>
      <c r="Y11" s="38">
        <f t="shared" si="5"/>
        <v>48.646879100895802</v>
      </c>
      <c r="AA11" s="71">
        <v>6</v>
      </c>
      <c r="AB11" s="33">
        <f t="shared" si="6"/>
        <v>0</v>
      </c>
      <c r="AC11" s="308">
        <f t="shared" si="7"/>
        <v>0</v>
      </c>
      <c r="AD11" s="101">
        <f t="shared" si="8"/>
        <v>0</v>
      </c>
      <c r="AE11" s="101">
        <f t="shared" si="9"/>
        <v>0</v>
      </c>
      <c r="AF11" s="197">
        <f t="shared" si="28"/>
        <v>0</v>
      </c>
      <c r="AG11" s="197">
        <f t="shared" si="29"/>
        <v>0</v>
      </c>
      <c r="AH11" s="197">
        <f t="shared" si="30"/>
        <v>0</v>
      </c>
      <c r="AI11" s="202">
        <f t="shared" si="31"/>
        <v>0</v>
      </c>
      <c r="AK11" s="71">
        <v>6</v>
      </c>
      <c r="AL11" s="33">
        <f t="shared" si="10"/>
        <v>0</v>
      </c>
      <c r="AM11" s="33">
        <f t="shared" si="11"/>
        <v>0</v>
      </c>
      <c r="AN11" s="33">
        <f t="shared" si="12"/>
        <v>0</v>
      </c>
      <c r="AO11" s="33">
        <f t="shared" si="13"/>
        <v>0</v>
      </c>
      <c r="AP11" s="33">
        <f t="shared" si="14"/>
        <v>0</v>
      </c>
      <c r="AQ11" s="197">
        <f t="shared" si="15"/>
        <v>0</v>
      </c>
      <c r="AR11" s="197">
        <f t="shared" si="16"/>
        <v>0</v>
      </c>
      <c r="AS11" s="197">
        <f t="shared" si="17"/>
        <v>0</v>
      </c>
      <c r="AT11" s="197">
        <f t="shared" si="18"/>
        <v>0</v>
      </c>
      <c r="AU11" s="33"/>
      <c r="AV11" s="33"/>
      <c r="AW11" s="33"/>
      <c r="AX11" s="33"/>
      <c r="AY11" s="167">
        <f t="shared" si="27"/>
        <v>0</v>
      </c>
    </row>
    <row r="12" spans="2:51" ht="16">
      <c r="B12" s="375"/>
      <c r="C12" s="369"/>
      <c r="D12" s="364" t="s">
        <v>131</v>
      </c>
      <c r="E12" s="364"/>
      <c r="F12" s="96" t="s">
        <v>70</v>
      </c>
      <c r="I12" s="55">
        <v>7</v>
      </c>
      <c r="J12" s="33">
        <f t="shared" si="21"/>
        <v>5</v>
      </c>
      <c r="K12" s="33">
        <f t="shared" si="22"/>
        <v>1.910565629709926</v>
      </c>
      <c r="L12" s="33">
        <f t="shared" si="23"/>
        <v>45</v>
      </c>
      <c r="M12" s="33">
        <f t="shared" si="24"/>
        <v>0</v>
      </c>
      <c r="N12" s="33">
        <f t="shared" si="0"/>
        <v>0</v>
      </c>
      <c r="O12" s="34">
        <f t="shared" si="1"/>
        <v>177.03590180507811</v>
      </c>
      <c r="P12" s="55">
        <v>7</v>
      </c>
      <c r="Q12" s="33">
        <f t="shared" si="19"/>
        <v>5.6940000000000008</v>
      </c>
      <c r="R12" s="33">
        <f t="shared" si="25"/>
        <v>39.858000000000011</v>
      </c>
      <c r="S12" s="33">
        <f t="shared" si="26"/>
        <v>22.320480000000007</v>
      </c>
      <c r="T12" s="33">
        <f t="shared" si="2"/>
        <v>7.1658300486450424</v>
      </c>
      <c r="U12" s="33">
        <f t="shared" si="20"/>
        <v>47.882352376412911</v>
      </c>
      <c r="V12" s="33">
        <f t="shared" si="3"/>
        <v>2.3333333333333335</v>
      </c>
      <c r="W12" s="33">
        <v>0</v>
      </c>
      <c r="X12" s="33">
        <f t="shared" si="4"/>
        <v>235.47950427045967</v>
      </c>
      <c r="Y12" s="38">
        <f t="shared" si="5"/>
        <v>58.443602465381559</v>
      </c>
      <c r="AA12" s="71">
        <v>7</v>
      </c>
      <c r="AB12" s="33">
        <f t="shared" si="6"/>
        <v>0</v>
      </c>
      <c r="AC12" s="308">
        <f t="shared" si="7"/>
        <v>0</v>
      </c>
      <c r="AD12" s="101">
        <f t="shared" si="8"/>
        <v>0</v>
      </c>
      <c r="AE12" s="101">
        <f t="shared" si="9"/>
        <v>0</v>
      </c>
      <c r="AF12" s="197">
        <f t="shared" si="28"/>
        <v>0</v>
      </c>
      <c r="AG12" s="197">
        <f t="shared" si="29"/>
        <v>0</v>
      </c>
      <c r="AH12" s="197">
        <f t="shared" si="30"/>
        <v>0</v>
      </c>
      <c r="AI12" s="202">
        <f t="shared" si="31"/>
        <v>0</v>
      </c>
      <c r="AK12" s="71">
        <v>7</v>
      </c>
      <c r="AL12" s="33">
        <f t="shared" si="10"/>
        <v>0</v>
      </c>
      <c r="AM12" s="33">
        <f t="shared" si="11"/>
        <v>0</v>
      </c>
      <c r="AN12" s="33">
        <f t="shared" si="12"/>
        <v>0</v>
      </c>
      <c r="AO12" s="33">
        <f t="shared" si="13"/>
        <v>0</v>
      </c>
      <c r="AP12" s="33">
        <f t="shared" si="14"/>
        <v>0</v>
      </c>
      <c r="AQ12" s="197">
        <f t="shared" si="15"/>
        <v>0</v>
      </c>
      <c r="AR12" s="197">
        <f t="shared" si="16"/>
        <v>0</v>
      </c>
      <c r="AS12" s="197">
        <f t="shared" si="17"/>
        <v>0</v>
      </c>
      <c r="AT12" s="197">
        <f t="shared" si="18"/>
        <v>0</v>
      </c>
      <c r="AU12" s="33"/>
      <c r="AV12" s="33"/>
      <c r="AW12" s="33"/>
      <c r="AX12" s="33"/>
      <c r="AY12" s="167">
        <f t="shared" si="27"/>
        <v>0</v>
      </c>
    </row>
    <row r="13" spans="2:51">
      <c r="B13" s="366"/>
      <c r="C13" s="370"/>
      <c r="D13" s="368" t="s">
        <v>155</v>
      </c>
      <c r="E13" s="368"/>
      <c r="F13" s="37">
        <f>IF(ISBLANK(F$12),,VLOOKUP(F$12,C131:D195,2,FALSE))</f>
        <v>0.56999999999999995</v>
      </c>
      <c r="I13" s="55">
        <v>8</v>
      </c>
      <c r="J13" s="33">
        <f t="shared" si="21"/>
        <v>5</v>
      </c>
      <c r="K13" s="33">
        <f t="shared" si="22"/>
        <v>1.910565629709926</v>
      </c>
      <c r="L13" s="33">
        <f t="shared" si="23"/>
        <v>45</v>
      </c>
      <c r="M13" s="33">
        <f t="shared" si="24"/>
        <v>0</v>
      </c>
      <c r="N13" s="33">
        <f t="shared" si="0"/>
        <v>0</v>
      </c>
      <c r="O13" s="34">
        <f t="shared" si="1"/>
        <v>177.03590180507811</v>
      </c>
      <c r="P13" s="55">
        <v>8</v>
      </c>
      <c r="Q13" s="33">
        <f t="shared" si="19"/>
        <v>5.6940000000000008</v>
      </c>
      <c r="R13" s="33">
        <f t="shared" si="25"/>
        <v>45.552000000000014</v>
      </c>
      <c r="S13" s="33">
        <f t="shared" si="26"/>
        <v>25.50912000000001</v>
      </c>
      <c r="T13" s="33">
        <f t="shared" si="2"/>
        <v>8.0632140357639308</v>
      </c>
      <c r="U13" s="33">
        <f t="shared" si="20"/>
        <v>48.266044115029857</v>
      </c>
      <c r="V13" s="33">
        <f t="shared" si="3"/>
        <v>2.6666666666666665</v>
      </c>
      <c r="W13" s="33">
        <v>0</v>
      </c>
      <c r="X13" s="33">
        <f t="shared" si="4"/>
        <v>245.22508797850949</v>
      </c>
      <c r="Y13" s="38">
        <f t="shared" si="5"/>
        <v>68.189186173431381</v>
      </c>
      <c r="AA13" s="71">
        <v>8</v>
      </c>
      <c r="AB13" s="33">
        <f t="shared" si="6"/>
        <v>0</v>
      </c>
      <c r="AC13" s="308">
        <f t="shared" si="7"/>
        <v>0</v>
      </c>
      <c r="AD13" s="101">
        <f t="shared" si="8"/>
        <v>0</v>
      </c>
      <c r="AE13" s="101">
        <f t="shared" si="9"/>
        <v>0</v>
      </c>
      <c r="AF13" s="197">
        <f t="shared" si="28"/>
        <v>0</v>
      </c>
      <c r="AG13" s="197">
        <f t="shared" si="29"/>
        <v>0</v>
      </c>
      <c r="AH13" s="197">
        <f t="shared" si="30"/>
        <v>0</v>
      </c>
      <c r="AI13" s="202">
        <f t="shared" si="31"/>
        <v>0</v>
      </c>
      <c r="AK13" s="71">
        <v>8</v>
      </c>
      <c r="AL13" s="33">
        <f t="shared" si="10"/>
        <v>0</v>
      </c>
      <c r="AM13" s="33">
        <f t="shared" si="11"/>
        <v>0</v>
      </c>
      <c r="AN13" s="33">
        <f t="shared" si="12"/>
        <v>0</v>
      </c>
      <c r="AO13" s="33">
        <f t="shared" si="13"/>
        <v>0</v>
      </c>
      <c r="AP13" s="33">
        <f t="shared" si="14"/>
        <v>0</v>
      </c>
      <c r="AQ13" s="197">
        <f t="shared" si="15"/>
        <v>0</v>
      </c>
      <c r="AR13" s="197">
        <f t="shared" si="16"/>
        <v>0</v>
      </c>
      <c r="AS13" s="197">
        <f t="shared" si="17"/>
        <v>0</v>
      </c>
      <c r="AT13" s="197">
        <f t="shared" si="18"/>
        <v>0</v>
      </c>
      <c r="AU13" s="33"/>
      <c r="AV13" s="33"/>
      <c r="AW13" s="33"/>
      <c r="AX13" s="33"/>
      <c r="AY13" s="167">
        <f t="shared" si="27"/>
        <v>0</v>
      </c>
    </row>
    <row r="14" spans="2:51">
      <c r="B14" s="365" t="s">
        <v>132</v>
      </c>
      <c r="C14" s="361"/>
      <c r="D14" s="362"/>
      <c r="E14" s="362"/>
      <c r="F14" s="363"/>
      <c r="I14" s="55">
        <v>9</v>
      </c>
      <c r="J14" s="33">
        <f t="shared" si="21"/>
        <v>5</v>
      </c>
      <c r="K14" s="33">
        <f t="shared" si="22"/>
        <v>1.910565629709926</v>
      </c>
      <c r="L14" s="33">
        <f t="shared" si="23"/>
        <v>45</v>
      </c>
      <c r="M14" s="33">
        <f t="shared" si="24"/>
        <v>0</v>
      </c>
      <c r="N14" s="33">
        <f t="shared" si="0"/>
        <v>0</v>
      </c>
      <c r="O14" s="34">
        <f t="shared" si="1"/>
        <v>177.03590180507811</v>
      </c>
      <c r="P14" s="55">
        <v>9</v>
      </c>
      <c r="Q14" s="33">
        <f t="shared" si="19"/>
        <v>5.6940000000000008</v>
      </c>
      <c r="R14" s="33">
        <f t="shared" si="25"/>
        <v>51.246000000000016</v>
      </c>
      <c r="S14" s="33">
        <f t="shared" si="26"/>
        <v>28.697760000000013</v>
      </c>
      <c r="T14" s="33">
        <f t="shared" si="2"/>
        <v>8.9475999210820767</v>
      </c>
      <c r="U14" s="33">
        <f t="shared" si="20"/>
        <v>48.643079659788015</v>
      </c>
      <c r="V14" s="33">
        <f t="shared" si="3"/>
        <v>3</v>
      </c>
      <c r="W14" s="33">
        <v>0</v>
      </c>
      <c r="X14" s="33">
        <f t="shared" si="4"/>
        <v>254.92362728177406</v>
      </c>
      <c r="Y14" s="38">
        <f t="shared" si="5"/>
        <v>77.887725476695948</v>
      </c>
      <c r="AA14" s="71">
        <v>9</v>
      </c>
      <c r="AB14" s="33">
        <f t="shared" si="6"/>
        <v>0</v>
      </c>
      <c r="AC14" s="308">
        <f t="shared" si="7"/>
        <v>0</v>
      </c>
      <c r="AD14" s="101">
        <f t="shared" si="8"/>
        <v>0</v>
      </c>
      <c r="AE14" s="101">
        <f t="shared" si="9"/>
        <v>0</v>
      </c>
      <c r="AF14" s="197">
        <f t="shared" si="28"/>
        <v>0</v>
      </c>
      <c r="AG14" s="197">
        <f t="shared" si="29"/>
        <v>0</v>
      </c>
      <c r="AH14" s="197">
        <f t="shared" si="30"/>
        <v>0</v>
      </c>
      <c r="AI14" s="202">
        <f t="shared" si="31"/>
        <v>0</v>
      </c>
      <c r="AK14" s="71">
        <v>9</v>
      </c>
      <c r="AL14" s="33">
        <f t="shared" si="10"/>
        <v>0</v>
      </c>
      <c r="AM14" s="33">
        <f t="shared" si="11"/>
        <v>0</v>
      </c>
      <c r="AN14" s="33">
        <f t="shared" si="12"/>
        <v>0</v>
      </c>
      <c r="AO14" s="33">
        <f t="shared" si="13"/>
        <v>0</v>
      </c>
      <c r="AP14" s="33">
        <f t="shared" si="14"/>
        <v>0</v>
      </c>
      <c r="AQ14" s="197">
        <f t="shared" si="15"/>
        <v>0</v>
      </c>
      <c r="AR14" s="197">
        <f t="shared" si="16"/>
        <v>0</v>
      </c>
      <c r="AS14" s="197">
        <f t="shared" si="17"/>
        <v>0</v>
      </c>
      <c r="AT14" s="197">
        <f t="shared" si="18"/>
        <v>0</v>
      </c>
      <c r="AU14" s="33"/>
      <c r="AV14" s="33"/>
      <c r="AW14" s="33"/>
      <c r="AX14" s="33"/>
      <c r="AY14" s="167">
        <f t="shared" si="27"/>
        <v>0</v>
      </c>
    </row>
    <row r="15" spans="2:51">
      <c r="B15" s="375"/>
      <c r="C15" s="93" t="s">
        <v>73</v>
      </c>
      <c r="D15" s="371" t="s">
        <v>135</v>
      </c>
      <c r="E15" s="371"/>
      <c r="F15" s="94">
        <f>IF(D15="","",VLOOKUP(D15,$B$98:$C$101,2,0))</f>
        <v>70</v>
      </c>
      <c r="I15" s="55">
        <v>10</v>
      </c>
      <c r="J15" s="33">
        <f t="shared" si="21"/>
        <v>5</v>
      </c>
      <c r="K15" s="33">
        <f t="shared" si="22"/>
        <v>1.910565629709926</v>
      </c>
      <c r="L15" s="33">
        <f t="shared" si="23"/>
        <v>45</v>
      </c>
      <c r="M15" s="33">
        <f t="shared" si="24"/>
        <v>0</v>
      </c>
      <c r="N15" s="33">
        <f t="shared" si="0"/>
        <v>0</v>
      </c>
      <c r="O15" s="34">
        <f t="shared" si="1"/>
        <v>177.03590180507811</v>
      </c>
      <c r="P15" s="55">
        <v>10</v>
      </c>
      <c r="Q15" s="33">
        <f t="shared" si="19"/>
        <v>5.6940000000000008</v>
      </c>
      <c r="R15" s="33">
        <f t="shared" si="25"/>
        <v>56.940000000000019</v>
      </c>
      <c r="S15" s="33">
        <f t="shared" si="26"/>
        <v>31.886400000000013</v>
      </c>
      <c r="T15" s="33">
        <f t="shared" si="2"/>
        <v>9.8205966847709831</v>
      </c>
      <c r="U15" s="33">
        <f t="shared" si="20"/>
        <v>49.013574480769819</v>
      </c>
      <c r="V15" s="33">
        <f t="shared" si="3"/>
        <v>3.3333333333333335</v>
      </c>
      <c r="W15" s="33">
        <v>0</v>
      </c>
      <c r="X15" s="33">
        <f t="shared" si="4"/>
        <v>264.57834787768769</v>
      </c>
      <c r="Y15" s="38">
        <f t="shared" si="5"/>
        <v>87.542446072609579</v>
      </c>
      <c r="AA15" s="71">
        <v>10</v>
      </c>
      <c r="AB15" s="33">
        <f t="shared" si="6"/>
        <v>0</v>
      </c>
      <c r="AC15" s="308">
        <f t="shared" si="7"/>
        <v>0</v>
      </c>
      <c r="AD15" s="101">
        <f t="shared" si="8"/>
        <v>0</v>
      </c>
      <c r="AE15" s="101">
        <f t="shared" si="9"/>
        <v>0</v>
      </c>
      <c r="AF15" s="197">
        <f t="shared" si="28"/>
        <v>0</v>
      </c>
      <c r="AG15" s="197">
        <f t="shared" si="29"/>
        <v>0</v>
      </c>
      <c r="AH15" s="197">
        <f t="shared" si="30"/>
        <v>0</v>
      </c>
      <c r="AI15" s="202">
        <f t="shared" si="31"/>
        <v>0</v>
      </c>
      <c r="AK15" s="71">
        <v>10</v>
      </c>
      <c r="AL15" s="33">
        <f t="shared" si="10"/>
        <v>0</v>
      </c>
      <c r="AM15" s="33">
        <f t="shared" si="11"/>
        <v>0</v>
      </c>
      <c r="AN15" s="33">
        <f t="shared" si="12"/>
        <v>0</v>
      </c>
      <c r="AO15" s="33">
        <f t="shared" si="13"/>
        <v>0</v>
      </c>
      <c r="AP15" s="33">
        <f t="shared" si="14"/>
        <v>0</v>
      </c>
      <c r="AQ15" s="197">
        <f t="shared" si="15"/>
        <v>0</v>
      </c>
      <c r="AR15" s="197">
        <f t="shared" si="16"/>
        <v>0</v>
      </c>
      <c r="AS15" s="197">
        <f t="shared" si="17"/>
        <v>0</v>
      </c>
      <c r="AT15" s="197">
        <f t="shared" si="18"/>
        <v>0</v>
      </c>
      <c r="AU15" s="33"/>
      <c r="AV15" s="33"/>
      <c r="AW15" s="33"/>
      <c r="AX15" s="33"/>
      <c r="AY15" s="167">
        <f t="shared" si="27"/>
        <v>0</v>
      </c>
    </row>
    <row r="16" spans="2:51">
      <c r="B16" s="375"/>
      <c r="C16" s="93" t="s">
        <v>74</v>
      </c>
      <c r="D16" s="367" t="s">
        <v>138</v>
      </c>
      <c r="E16" s="367"/>
      <c r="F16" s="94">
        <v>10</v>
      </c>
      <c r="I16" s="55">
        <v>11</v>
      </c>
      <c r="J16" s="33">
        <f t="shared" si="21"/>
        <v>5</v>
      </c>
      <c r="K16" s="33">
        <f t="shared" si="22"/>
        <v>1.910565629709926</v>
      </c>
      <c r="L16" s="33">
        <f t="shared" si="23"/>
        <v>45</v>
      </c>
      <c r="M16" s="33">
        <f t="shared" si="24"/>
        <v>0</v>
      </c>
      <c r="N16" s="33">
        <f t="shared" si="0"/>
        <v>0</v>
      </c>
      <c r="O16" s="34">
        <f t="shared" si="1"/>
        <v>177.03590180507811</v>
      </c>
      <c r="P16" s="55">
        <v>11</v>
      </c>
      <c r="Q16" s="33">
        <f t="shared" si="19"/>
        <v>5.6940000000000008</v>
      </c>
      <c r="R16" s="33">
        <f t="shared" si="25"/>
        <v>62.634000000000022</v>
      </c>
      <c r="S16" s="33">
        <f t="shared" si="26"/>
        <v>35.075040000000016</v>
      </c>
      <c r="T16" s="33">
        <f t="shared" si="2"/>
        <v>10.683472889491432</v>
      </c>
      <c r="U16" s="33">
        <f t="shared" si="20"/>
        <v>49.377642044909919</v>
      </c>
      <c r="V16" s="33">
        <f t="shared" si="3"/>
        <v>3.6666666666666665</v>
      </c>
      <c r="W16" s="33">
        <v>0</v>
      </c>
      <c r="X16" s="33">
        <f t="shared" si="4"/>
        <v>274.19187522497845</v>
      </c>
      <c r="Y16" s="38">
        <f t="shared" si="5"/>
        <v>97.155973419900334</v>
      </c>
      <c r="AA16" s="71">
        <v>11</v>
      </c>
      <c r="AB16" s="33">
        <f t="shared" si="6"/>
        <v>0</v>
      </c>
      <c r="AC16" s="308">
        <f t="shared" si="7"/>
        <v>0</v>
      </c>
      <c r="AD16" s="101">
        <f t="shared" si="8"/>
        <v>0</v>
      </c>
      <c r="AE16" s="101">
        <f t="shared" si="9"/>
        <v>0</v>
      </c>
      <c r="AF16" s="197">
        <f t="shared" si="28"/>
        <v>0</v>
      </c>
      <c r="AG16" s="197">
        <f t="shared" si="29"/>
        <v>0</v>
      </c>
      <c r="AH16" s="197">
        <f t="shared" si="30"/>
        <v>0</v>
      </c>
      <c r="AI16" s="202">
        <f t="shared" si="31"/>
        <v>0</v>
      </c>
      <c r="AK16" s="71">
        <v>11</v>
      </c>
      <c r="AL16" s="33">
        <f t="shared" si="10"/>
        <v>0</v>
      </c>
      <c r="AM16" s="33">
        <f t="shared" si="11"/>
        <v>0</v>
      </c>
      <c r="AN16" s="33">
        <f t="shared" si="12"/>
        <v>0</v>
      </c>
      <c r="AO16" s="33">
        <f t="shared" si="13"/>
        <v>0</v>
      </c>
      <c r="AP16" s="33">
        <f t="shared" si="14"/>
        <v>0</v>
      </c>
      <c r="AQ16" s="197">
        <f t="shared" si="15"/>
        <v>0</v>
      </c>
      <c r="AR16" s="197">
        <f t="shared" si="16"/>
        <v>0</v>
      </c>
      <c r="AS16" s="197">
        <f t="shared" si="17"/>
        <v>0</v>
      </c>
      <c r="AT16" s="197">
        <f t="shared" si="18"/>
        <v>0</v>
      </c>
      <c r="AU16" s="33"/>
      <c r="AV16" s="33"/>
      <c r="AW16" s="33"/>
      <c r="AX16" s="33"/>
      <c r="AY16" s="167">
        <f t="shared" si="27"/>
        <v>0</v>
      </c>
    </row>
    <row r="17" spans="2:51" ht="32">
      <c r="B17" s="375"/>
      <c r="C17" s="369" t="s">
        <v>124</v>
      </c>
      <c r="D17" s="364" t="s">
        <v>131</v>
      </c>
      <c r="E17" s="364"/>
      <c r="F17" s="96" t="s">
        <v>23</v>
      </c>
      <c r="I17" s="55">
        <v>12</v>
      </c>
      <c r="J17" s="33">
        <f t="shared" si="21"/>
        <v>5</v>
      </c>
      <c r="K17" s="33">
        <f t="shared" si="22"/>
        <v>1.910565629709926</v>
      </c>
      <c r="L17" s="33">
        <f t="shared" si="23"/>
        <v>45</v>
      </c>
      <c r="M17" s="33">
        <f t="shared" si="24"/>
        <v>0</v>
      </c>
      <c r="N17" s="33">
        <f t="shared" si="0"/>
        <v>0</v>
      </c>
      <c r="O17" s="34">
        <f t="shared" si="1"/>
        <v>177.03590180507811</v>
      </c>
      <c r="P17" s="55">
        <v>12</v>
      </c>
      <c r="Q17" s="33">
        <f t="shared" si="19"/>
        <v>5.6940000000000008</v>
      </c>
      <c r="R17" s="33">
        <f t="shared" si="25"/>
        <v>68.328000000000017</v>
      </c>
      <c r="S17" s="33">
        <f t="shared" si="26"/>
        <v>38.263680000000015</v>
      </c>
      <c r="T17" s="33">
        <f t="shared" si="2"/>
        <v>11.537253220951101</v>
      </c>
      <c r="U17" s="33">
        <f t="shared" si="20"/>
        <v>49.735393850745325</v>
      </c>
      <c r="V17" s="33">
        <f t="shared" si="3"/>
        <v>4</v>
      </c>
      <c r="W17" s="33">
        <v>0</v>
      </c>
      <c r="X17" s="33">
        <f t="shared" si="4"/>
        <v>283.76640281255607</v>
      </c>
      <c r="Y17" s="38">
        <f t="shared" si="5"/>
        <v>106.73050100747795</v>
      </c>
      <c r="AA17" s="71">
        <v>12</v>
      </c>
      <c r="AB17" s="33">
        <f t="shared" si="6"/>
        <v>0</v>
      </c>
      <c r="AC17" s="308">
        <f t="shared" si="7"/>
        <v>0</v>
      </c>
      <c r="AD17" s="101">
        <f t="shared" si="8"/>
        <v>0</v>
      </c>
      <c r="AE17" s="101">
        <f t="shared" si="9"/>
        <v>0</v>
      </c>
      <c r="AF17" s="197">
        <f t="shared" si="28"/>
        <v>0</v>
      </c>
      <c r="AG17" s="197">
        <f t="shared" si="29"/>
        <v>0</v>
      </c>
      <c r="AH17" s="197">
        <f t="shared" si="30"/>
        <v>0</v>
      </c>
      <c r="AI17" s="202">
        <f t="shared" si="31"/>
        <v>0</v>
      </c>
      <c r="AK17" s="71">
        <v>12</v>
      </c>
      <c r="AL17" s="33">
        <f t="shared" si="10"/>
        <v>0</v>
      </c>
      <c r="AM17" s="33">
        <f t="shared" si="11"/>
        <v>0</v>
      </c>
      <c r="AN17" s="33">
        <f t="shared" si="12"/>
        <v>0</v>
      </c>
      <c r="AO17" s="33">
        <f t="shared" si="13"/>
        <v>0</v>
      </c>
      <c r="AP17" s="33">
        <f t="shared" si="14"/>
        <v>0</v>
      </c>
      <c r="AQ17" s="197">
        <f t="shared" si="15"/>
        <v>0</v>
      </c>
      <c r="AR17" s="197">
        <f t="shared" si="16"/>
        <v>0</v>
      </c>
      <c r="AS17" s="197">
        <f t="shared" si="17"/>
        <v>0</v>
      </c>
      <c r="AT17" s="197">
        <f t="shared" si="18"/>
        <v>0</v>
      </c>
      <c r="AU17" s="33"/>
      <c r="AV17" s="33"/>
      <c r="AW17" s="33"/>
      <c r="AX17" s="33"/>
      <c r="AY17" s="167">
        <f t="shared" si="27"/>
        <v>0</v>
      </c>
    </row>
    <row r="18" spans="2:51">
      <c r="B18" s="375"/>
      <c r="C18" s="369"/>
      <c r="D18" s="364" t="s">
        <v>136</v>
      </c>
      <c r="E18" s="364"/>
      <c r="F18" s="97">
        <v>100</v>
      </c>
      <c r="I18" s="55">
        <v>13</v>
      </c>
      <c r="J18" s="33">
        <f t="shared" si="21"/>
        <v>5</v>
      </c>
      <c r="K18" s="33">
        <f t="shared" si="22"/>
        <v>1.910565629709926</v>
      </c>
      <c r="L18" s="33">
        <f t="shared" si="23"/>
        <v>45</v>
      </c>
      <c r="M18" s="33">
        <f t="shared" si="24"/>
        <v>0</v>
      </c>
      <c r="N18" s="33">
        <f t="shared" si="0"/>
        <v>0</v>
      </c>
      <c r="O18" s="34">
        <f t="shared" si="1"/>
        <v>177.03590180507811</v>
      </c>
      <c r="P18" s="55">
        <v>13</v>
      </c>
      <c r="Q18" s="33">
        <f t="shared" si="19"/>
        <v>5.6940000000000008</v>
      </c>
      <c r="R18" s="33">
        <f t="shared" si="25"/>
        <v>74.02200000000002</v>
      </c>
      <c r="S18" s="33">
        <f t="shared" si="26"/>
        <v>41.452320000000014</v>
      </c>
      <c r="T18" s="33">
        <f t="shared" si="2"/>
        <v>12.382781845255991</v>
      </c>
      <c r="U18" s="33">
        <f t="shared" si="20"/>
        <v>50.086939462562704</v>
      </c>
      <c r="V18" s="33">
        <f t="shared" si="3"/>
        <v>4.333333333333333</v>
      </c>
      <c r="W18" s="33">
        <v>0</v>
      </c>
      <c r="X18" s="33">
        <f t="shared" si="4"/>
        <v>293.30380263210628</v>
      </c>
      <c r="Y18" s="38">
        <f t="shared" si="5"/>
        <v>116.26790082702817</v>
      </c>
      <c r="AA18" s="71">
        <v>13</v>
      </c>
      <c r="AB18" s="33">
        <f t="shared" si="6"/>
        <v>0</v>
      </c>
      <c r="AC18" s="308">
        <f t="shared" si="7"/>
        <v>0</v>
      </c>
      <c r="AD18" s="101">
        <f t="shared" si="8"/>
        <v>0</v>
      </c>
      <c r="AE18" s="101">
        <f t="shared" si="9"/>
        <v>0</v>
      </c>
      <c r="AF18" s="197">
        <f t="shared" si="28"/>
        <v>0</v>
      </c>
      <c r="AG18" s="197">
        <f t="shared" si="29"/>
        <v>0</v>
      </c>
      <c r="AH18" s="197">
        <f t="shared" si="30"/>
        <v>0</v>
      </c>
      <c r="AI18" s="202">
        <f t="shared" si="31"/>
        <v>0</v>
      </c>
      <c r="AK18" s="71">
        <v>13</v>
      </c>
      <c r="AL18" s="33">
        <f t="shared" si="10"/>
        <v>0</v>
      </c>
      <c r="AM18" s="33">
        <f t="shared" si="11"/>
        <v>0</v>
      </c>
      <c r="AN18" s="33">
        <f t="shared" si="12"/>
        <v>0</v>
      </c>
      <c r="AO18" s="33">
        <f t="shared" si="13"/>
        <v>0</v>
      </c>
      <c r="AP18" s="33">
        <f t="shared" si="14"/>
        <v>0</v>
      </c>
      <c r="AQ18" s="197">
        <f t="shared" si="15"/>
        <v>0</v>
      </c>
      <c r="AR18" s="197">
        <f t="shared" si="16"/>
        <v>0</v>
      </c>
      <c r="AS18" s="197">
        <f t="shared" si="17"/>
        <v>0</v>
      </c>
      <c r="AT18" s="197">
        <f t="shared" si="18"/>
        <v>0</v>
      </c>
      <c r="AU18" s="33"/>
      <c r="AV18" s="33"/>
      <c r="AW18" s="33"/>
      <c r="AX18" s="33"/>
      <c r="AY18" s="167">
        <f t="shared" si="27"/>
        <v>0</v>
      </c>
    </row>
    <row r="19" spans="2:51">
      <c r="B19" s="375"/>
      <c r="C19" s="369"/>
      <c r="D19" s="367" t="s">
        <v>155</v>
      </c>
      <c r="E19" s="367"/>
      <c r="F19" s="36">
        <f>IF(ISBLANK(F$17),,VLOOKUP(F$17,C131:D195,2,FALSE))</f>
        <v>0.56000000000000005</v>
      </c>
      <c r="I19" s="55">
        <v>14</v>
      </c>
      <c r="J19" s="33">
        <f t="shared" si="21"/>
        <v>5</v>
      </c>
      <c r="K19" s="33">
        <f t="shared" si="22"/>
        <v>1.910565629709926</v>
      </c>
      <c r="L19" s="33">
        <f t="shared" si="23"/>
        <v>45</v>
      </c>
      <c r="M19" s="33">
        <f t="shared" si="24"/>
        <v>0</v>
      </c>
      <c r="N19" s="33">
        <f t="shared" si="0"/>
        <v>0</v>
      </c>
      <c r="O19" s="34">
        <f t="shared" si="1"/>
        <v>177.03590180507811</v>
      </c>
      <c r="P19" s="55">
        <v>14</v>
      </c>
      <c r="Q19" s="33">
        <f t="shared" si="19"/>
        <v>5.6940000000000008</v>
      </c>
      <c r="R19" s="33">
        <f t="shared" si="25"/>
        <v>79.716000000000022</v>
      </c>
      <c r="S19" s="33">
        <f t="shared" si="26"/>
        <v>44.640960000000014</v>
      </c>
      <c r="T19" s="33">
        <f t="shared" si="2"/>
        <v>13.220765679254757</v>
      </c>
      <c r="U19" s="33">
        <f t="shared" si="20"/>
        <v>50.432386543953299</v>
      </c>
      <c r="V19" s="33">
        <f t="shared" si="3"/>
        <v>4.666666666666667</v>
      </c>
      <c r="W19" s="33">
        <v>0</v>
      </c>
      <c r="X19" s="33">
        <f t="shared" si="4"/>
        <v>302.80570066364197</v>
      </c>
      <c r="Y19" s="38">
        <f t="shared" si="5"/>
        <v>125.76979885856386</v>
      </c>
      <c r="AA19" s="71">
        <v>14</v>
      </c>
      <c r="AB19" s="33">
        <f t="shared" si="6"/>
        <v>0</v>
      </c>
      <c r="AC19" s="308">
        <f t="shared" si="7"/>
        <v>0</v>
      </c>
      <c r="AD19" s="101">
        <f t="shared" si="8"/>
        <v>0</v>
      </c>
      <c r="AE19" s="101">
        <f t="shared" si="9"/>
        <v>0</v>
      </c>
      <c r="AF19" s="197">
        <f t="shared" si="28"/>
        <v>0</v>
      </c>
      <c r="AG19" s="197">
        <f t="shared" si="29"/>
        <v>0</v>
      </c>
      <c r="AH19" s="197">
        <f t="shared" si="30"/>
        <v>0</v>
      </c>
      <c r="AI19" s="202">
        <f t="shared" si="31"/>
        <v>0</v>
      </c>
      <c r="AK19" s="71">
        <v>14</v>
      </c>
      <c r="AL19" s="33">
        <f t="shared" si="10"/>
        <v>0</v>
      </c>
      <c r="AM19" s="33">
        <f t="shared" si="11"/>
        <v>0</v>
      </c>
      <c r="AN19" s="33">
        <f t="shared" si="12"/>
        <v>0</v>
      </c>
      <c r="AO19" s="33">
        <f t="shared" si="13"/>
        <v>0</v>
      </c>
      <c r="AP19" s="33">
        <f t="shared" si="14"/>
        <v>0</v>
      </c>
      <c r="AQ19" s="197">
        <f t="shared" si="15"/>
        <v>0</v>
      </c>
      <c r="AR19" s="197">
        <f t="shared" si="16"/>
        <v>0</v>
      </c>
      <c r="AS19" s="197">
        <f t="shared" si="17"/>
        <v>0</v>
      </c>
      <c r="AT19" s="197">
        <f t="shared" si="18"/>
        <v>0</v>
      </c>
      <c r="AU19" s="33"/>
      <c r="AV19" s="33"/>
      <c r="AW19" s="33"/>
      <c r="AX19" s="33"/>
      <c r="AY19" s="167">
        <f t="shared" si="27"/>
        <v>0</v>
      </c>
    </row>
    <row r="20" spans="2:51">
      <c r="B20" s="375"/>
      <c r="C20" s="369"/>
      <c r="D20" s="367" t="s">
        <v>140</v>
      </c>
      <c r="E20" s="367"/>
      <c r="F20" s="36">
        <f>IF(ISBLANK(F$17),,VLOOKUP(F17,Tableau145[#All],4,FALSE))</f>
        <v>1.56</v>
      </c>
      <c r="I20" s="55">
        <v>15</v>
      </c>
      <c r="J20" s="33">
        <f t="shared" si="21"/>
        <v>5</v>
      </c>
      <c r="K20" s="33">
        <f t="shared" si="22"/>
        <v>1.910565629709926</v>
      </c>
      <c r="L20" s="33">
        <f t="shared" si="23"/>
        <v>45</v>
      </c>
      <c r="M20" s="33">
        <f t="shared" si="24"/>
        <v>0</v>
      </c>
      <c r="N20" s="33">
        <f t="shared" si="0"/>
        <v>0</v>
      </c>
      <c r="O20" s="34">
        <f t="shared" si="1"/>
        <v>177.03590180507811</v>
      </c>
      <c r="P20" s="55">
        <v>15</v>
      </c>
      <c r="Q20" s="33">
        <f t="shared" si="19"/>
        <v>5.6940000000000008</v>
      </c>
      <c r="R20" s="33">
        <f t="shared" si="25"/>
        <v>85.410000000000025</v>
      </c>
      <c r="S20" s="33">
        <f t="shared" si="26"/>
        <v>47.829600000000021</v>
      </c>
      <c r="T20" s="33">
        <f t="shared" si="2"/>
        <v>14.051804929211594</v>
      </c>
      <c r="U20" s="33">
        <f t="shared" si="20"/>
        <v>50.771840890785739</v>
      </c>
      <c r="V20" s="33">
        <f t="shared" si="3"/>
        <v>5</v>
      </c>
      <c r="W20" s="33">
        <v>0</v>
      </c>
      <c r="X20" s="33">
        <f t="shared" si="4"/>
        <v>312.27353018459127</v>
      </c>
      <c r="Y20" s="38">
        <f t="shared" si="5"/>
        <v>135.23762837951315</v>
      </c>
      <c r="AA20" s="71">
        <v>15</v>
      </c>
      <c r="AB20" s="33">
        <f t="shared" si="6"/>
        <v>0</v>
      </c>
      <c r="AC20" s="308">
        <f t="shared" si="7"/>
        <v>0</v>
      </c>
      <c r="AD20" s="101">
        <f t="shared" si="8"/>
        <v>0</v>
      </c>
      <c r="AE20" s="101">
        <f t="shared" si="9"/>
        <v>0</v>
      </c>
      <c r="AF20" s="197">
        <f t="shared" si="28"/>
        <v>0</v>
      </c>
      <c r="AG20" s="197">
        <f t="shared" si="29"/>
        <v>0</v>
      </c>
      <c r="AH20" s="197">
        <f t="shared" si="30"/>
        <v>0</v>
      </c>
      <c r="AI20" s="202">
        <f t="shared" si="31"/>
        <v>0</v>
      </c>
      <c r="AK20" s="71">
        <v>15</v>
      </c>
      <c r="AL20" s="33">
        <f t="shared" si="10"/>
        <v>0</v>
      </c>
      <c r="AM20" s="33">
        <f t="shared" si="11"/>
        <v>0</v>
      </c>
      <c r="AN20" s="33">
        <f t="shared" si="12"/>
        <v>0</v>
      </c>
      <c r="AO20" s="33">
        <f t="shared" si="13"/>
        <v>0</v>
      </c>
      <c r="AP20" s="33">
        <f t="shared" si="14"/>
        <v>0</v>
      </c>
      <c r="AQ20" s="197">
        <f t="shared" si="15"/>
        <v>0</v>
      </c>
      <c r="AR20" s="197">
        <f t="shared" si="16"/>
        <v>0</v>
      </c>
      <c r="AS20" s="197">
        <f t="shared" si="17"/>
        <v>0</v>
      </c>
      <c r="AT20" s="197">
        <f t="shared" si="18"/>
        <v>0</v>
      </c>
      <c r="AU20" s="33"/>
      <c r="AV20" s="33"/>
      <c r="AW20" s="33"/>
      <c r="AX20" s="33"/>
      <c r="AY20" s="167">
        <f t="shared" si="27"/>
        <v>0</v>
      </c>
    </row>
    <row r="21" spans="2:51">
      <c r="B21" s="366"/>
      <c r="C21" s="370"/>
      <c r="D21" s="368" t="s">
        <v>143</v>
      </c>
      <c r="E21" s="368"/>
      <c r="F21" s="103">
        <f>7.95+2.475+2.425+0.45</f>
        <v>13.3</v>
      </c>
      <c r="I21" s="55">
        <v>16</v>
      </c>
      <c r="J21" s="33">
        <f t="shared" si="21"/>
        <v>5</v>
      </c>
      <c r="K21" s="33">
        <f t="shared" si="22"/>
        <v>1.910565629709926</v>
      </c>
      <c r="L21" s="33">
        <f t="shared" si="23"/>
        <v>45</v>
      </c>
      <c r="M21" s="33">
        <f t="shared" si="24"/>
        <v>0</v>
      </c>
      <c r="N21" s="33">
        <f t="shared" si="0"/>
        <v>0</v>
      </c>
      <c r="O21" s="34">
        <f t="shared" si="1"/>
        <v>177.03590180507811</v>
      </c>
      <c r="P21" s="55">
        <v>16</v>
      </c>
      <c r="Q21" s="33">
        <f t="shared" si="19"/>
        <v>5.6940000000000008</v>
      </c>
      <c r="R21" s="33">
        <f t="shared" si="25"/>
        <v>91.104000000000028</v>
      </c>
      <c r="S21" s="33">
        <f t="shared" si="26"/>
        <v>51.01824000000002</v>
      </c>
      <c r="T21" s="33">
        <f t="shared" si="2"/>
        <v>14.876415246363534</v>
      </c>
      <c r="U21" s="33">
        <f t="shared" si="20"/>
        <v>51.105406463606862</v>
      </c>
      <c r="V21" s="33">
        <f t="shared" si="3"/>
        <v>5.333333333333333</v>
      </c>
      <c r="W21" s="33">
        <v>0</v>
      </c>
      <c r="X21" s="33">
        <f t="shared" si="4"/>
        <v>321.70857047619717</v>
      </c>
      <c r="Y21" s="38">
        <f t="shared" si="5"/>
        <v>144.67266867111906</v>
      </c>
      <c r="AA21" s="71">
        <v>16</v>
      </c>
      <c r="AB21" s="33">
        <f t="shared" si="6"/>
        <v>0</v>
      </c>
      <c r="AC21" s="308">
        <f t="shared" si="7"/>
        <v>0</v>
      </c>
      <c r="AD21" s="101">
        <f t="shared" si="8"/>
        <v>0</v>
      </c>
      <c r="AE21" s="101">
        <f t="shared" si="9"/>
        <v>0</v>
      </c>
      <c r="AF21" s="197">
        <f t="shared" si="28"/>
        <v>0</v>
      </c>
      <c r="AG21" s="197">
        <f t="shared" si="29"/>
        <v>0</v>
      </c>
      <c r="AH21" s="197">
        <f t="shared" si="30"/>
        <v>0</v>
      </c>
      <c r="AI21" s="202">
        <f t="shared" si="31"/>
        <v>0</v>
      </c>
      <c r="AK21" s="71">
        <v>16</v>
      </c>
      <c r="AL21" s="33">
        <f t="shared" si="10"/>
        <v>0</v>
      </c>
      <c r="AM21" s="33">
        <f t="shared" si="11"/>
        <v>0</v>
      </c>
      <c r="AN21" s="33">
        <f t="shared" si="12"/>
        <v>0</v>
      </c>
      <c r="AO21" s="33">
        <f t="shared" si="13"/>
        <v>0</v>
      </c>
      <c r="AP21" s="33">
        <f t="shared" si="14"/>
        <v>0</v>
      </c>
      <c r="AQ21" s="197">
        <f t="shared" si="15"/>
        <v>0</v>
      </c>
      <c r="AR21" s="197">
        <f t="shared" si="16"/>
        <v>0</v>
      </c>
      <c r="AS21" s="197">
        <f t="shared" si="17"/>
        <v>0</v>
      </c>
      <c r="AT21" s="197">
        <f t="shared" si="18"/>
        <v>0</v>
      </c>
      <c r="AU21" s="33"/>
      <c r="AV21" s="33"/>
      <c r="AW21" s="33"/>
      <c r="AX21" s="33"/>
      <c r="AY21" s="167">
        <f t="shared" si="27"/>
        <v>0</v>
      </c>
    </row>
    <row r="22" spans="2:51">
      <c r="E22" s="6"/>
      <c r="I22" s="55">
        <v>17</v>
      </c>
      <c r="J22" s="33">
        <f t="shared" si="21"/>
        <v>5</v>
      </c>
      <c r="K22" s="33">
        <f t="shared" si="22"/>
        <v>1.910565629709926</v>
      </c>
      <c r="L22" s="33">
        <f t="shared" si="23"/>
        <v>45</v>
      </c>
      <c r="M22" s="33">
        <f t="shared" si="24"/>
        <v>0</v>
      </c>
      <c r="N22" s="33">
        <f t="shared" si="0"/>
        <v>0</v>
      </c>
      <c r="O22" s="34">
        <f t="shared" si="1"/>
        <v>177.03590180507811</v>
      </c>
      <c r="P22" s="55">
        <v>17</v>
      </c>
      <c r="Q22" s="33">
        <f t="shared" si="19"/>
        <v>5.6940000000000008</v>
      </c>
      <c r="R22" s="33">
        <f t="shared" si="25"/>
        <v>96.79800000000003</v>
      </c>
      <c r="S22" s="33">
        <f t="shared" si="26"/>
        <v>54.206880000000019</v>
      </c>
      <c r="T22" s="33">
        <f t="shared" si="2"/>
        <v>15.695044182455282</v>
      </c>
      <c r="U22" s="33">
        <f t="shared" si="20"/>
        <v>51.433185419480445</v>
      </c>
      <c r="V22" s="33">
        <f t="shared" si="3"/>
        <v>5.666666666666667</v>
      </c>
      <c r="W22" s="33">
        <v>0</v>
      </c>
      <c r="X22" s="33">
        <f t="shared" si="4"/>
        <v>331.11197560031576</v>
      </c>
      <c r="Y22" s="38">
        <f t="shared" si="5"/>
        <v>154.07607379523765</v>
      </c>
      <c r="AA22" s="71">
        <v>17</v>
      </c>
      <c r="AB22" s="33">
        <f t="shared" si="6"/>
        <v>0</v>
      </c>
      <c r="AC22" s="308">
        <f t="shared" si="7"/>
        <v>0</v>
      </c>
      <c r="AD22" s="101">
        <f t="shared" si="8"/>
        <v>0</v>
      </c>
      <c r="AE22" s="101">
        <f t="shared" si="9"/>
        <v>0</v>
      </c>
      <c r="AF22" s="197">
        <f t="shared" si="28"/>
        <v>0</v>
      </c>
      <c r="AG22" s="197">
        <f t="shared" si="29"/>
        <v>0</v>
      </c>
      <c r="AH22" s="197">
        <f t="shared" si="30"/>
        <v>0</v>
      </c>
      <c r="AI22" s="202">
        <f t="shared" si="31"/>
        <v>0</v>
      </c>
      <c r="AK22" s="71">
        <v>17</v>
      </c>
      <c r="AL22" s="33">
        <f t="shared" si="10"/>
        <v>0</v>
      </c>
      <c r="AM22" s="33">
        <f t="shared" si="11"/>
        <v>0</v>
      </c>
      <c r="AN22" s="33">
        <f t="shared" si="12"/>
        <v>0</v>
      </c>
      <c r="AO22" s="33">
        <f t="shared" si="13"/>
        <v>0</v>
      </c>
      <c r="AP22" s="33">
        <f t="shared" si="14"/>
        <v>0</v>
      </c>
      <c r="AQ22" s="197">
        <f t="shared" si="15"/>
        <v>0</v>
      </c>
      <c r="AR22" s="197">
        <f t="shared" si="16"/>
        <v>0</v>
      </c>
      <c r="AS22" s="197">
        <f t="shared" si="17"/>
        <v>0</v>
      </c>
      <c r="AT22" s="197">
        <f t="shared" si="18"/>
        <v>0</v>
      </c>
      <c r="AU22" s="33"/>
      <c r="AV22" s="33"/>
      <c r="AW22" s="33"/>
      <c r="AX22" s="33"/>
      <c r="AY22" s="167">
        <f t="shared" si="27"/>
        <v>0</v>
      </c>
    </row>
    <row r="23" spans="2:51">
      <c r="B23" s="358" t="s">
        <v>142</v>
      </c>
      <c r="C23" s="359"/>
      <c r="D23" s="359"/>
      <c r="E23" s="359"/>
      <c r="F23" s="359"/>
      <c r="G23" s="360"/>
      <c r="I23" s="55">
        <v>18</v>
      </c>
      <c r="J23" s="33">
        <f t="shared" si="21"/>
        <v>5</v>
      </c>
      <c r="K23" s="33">
        <f t="shared" si="22"/>
        <v>1.910565629709926</v>
      </c>
      <c r="L23" s="33">
        <f t="shared" si="23"/>
        <v>45</v>
      </c>
      <c r="M23" s="33">
        <f t="shared" si="24"/>
        <v>0</v>
      </c>
      <c r="N23" s="33">
        <f t="shared" si="0"/>
        <v>0</v>
      </c>
      <c r="O23" s="34">
        <f t="shared" si="1"/>
        <v>177.03590180507811</v>
      </c>
      <c r="P23" s="55">
        <v>18</v>
      </c>
      <c r="Q23" s="33">
        <f t="shared" si="19"/>
        <v>5.6940000000000008</v>
      </c>
      <c r="R23" s="33">
        <f t="shared" si="25"/>
        <v>102.49200000000003</v>
      </c>
      <c r="S23" s="33">
        <f t="shared" si="26"/>
        <v>57.395520000000026</v>
      </c>
      <c r="T23" s="33">
        <f t="shared" si="2"/>
        <v>16.508083661670465</v>
      </c>
      <c r="U23" s="33">
        <f t="shared" si="20"/>
        <v>51.755278143273578</v>
      </c>
      <c r="V23" s="33">
        <f t="shared" si="3"/>
        <v>6</v>
      </c>
      <c r="W23" s="33">
        <v>0</v>
      </c>
      <c r="X23" s="33">
        <f t="shared" si="4"/>
        <v>340.48479623607926</v>
      </c>
      <c r="Y23" s="38">
        <f t="shared" si="5"/>
        <v>163.44889443100115</v>
      </c>
      <c r="AA23" s="71">
        <v>18</v>
      </c>
      <c r="AB23" s="33">
        <f t="shared" si="6"/>
        <v>0</v>
      </c>
      <c r="AC23" s="308">
        <f t="shared" si="7"/>
        <v>0</v>
      </c>
      <c r="AD23" s="101">
        <f t="shared" si="8"/>
        <v>0</v>
      </c>
      <c r="AE23" s="101">
        <f t="shared" si="9"/>
        <v>0</v>
      </c>
      <c r="AF23" s="197">
        <f t="shared" si="28"/>
        <v>0</v>
      </c>
      <c r="AG23" s="197">
        <f t="shared" si="29"/>
        <v>0</v>
      </c>
      <c r="AH23" s="197">
        <f t="shared" si="30"/>
        <v>0</v>
      </c>
      <c r="AI23" s="202">
        <f t="shared" si="31"/>
        <v>0</v>
      </c>
      <c r="AK23" s="71">
        <v>18</v>
      </c>
      <c r="AL23" s="33">
        <f t="shared" si="10"/>
        <v>0</v>
      </c>
      <c r="AM23" s="33">
        <f t="shared" si="11"/>
        <v>0</v>
      </c>
      <c r="AN23" s="33">
        <f t="shared" si="12"/>
        <v>0</v>
      </c>
      <c r="AO23" s="33">
        <f t="shared" si="13"/>
        <v>0</v>
      </c>
      <c r="AP23" s="33">
        <f t="shared" si="14"/>
        <v>0</v>
      </c>
      <c r="AQ23" s="197">
        <f t="shared" si="15"/>
        <v>0</v>
      </c>
      <c r="AR23" s="197">
        <f t="shared" si="16"/>
        <v>0</v>
      </c>
      <c r="AS23" s="197">
        <f t="shared" si="17"/>
        <v>0</v>
      </c>
      <c r="AT23" s="197">
        <f t="shared" si="18"/>
        <v>0</v>
      </c>
      <c r="AU23" s="33"/>
      <c r="AV23" s="33"/>
      <c r="AW23" s="33"/>
      <c r="AX23" s="33"/>
      <c r="AY23" s="167">
        <f t="shared" si="27"/>
        <v>0</v>
      </c>
    </row>
    <row r="24" spans="2:51">
      <c r="B24" s="47" t="s">
        <v>114</v>
      </c>
      <c r="C24" s="48" t="s">
        <v>115</v>
      </c>
      <c r="D24" s="48" t="s">
        <v>83</v>
      </c>
      <c r="E24" s="48" t="s">
        <v>117</v>
      </c>
      <c r="F24" s="48" t="s">
        <v>116</v>
      </c>
      <c r="G24" s="49" t="s">
        <v>141</v>
      </c>
      <c r="I24" s="55">
        <v>19</v>
      </c>
      <c r="J24" s="33">
        <f t="shared" si="21"/>
        <v>5</v>
      </c>
      <c r="K24" s="33">
        <f t="shared" si="22"/>
        <v>1.910565629709926</v>
      </c>
      <c r="L24" s="33">
        <f t="shared" si="23"/>
        <v>45</v>
      </c>
      <c r="M24" s="33">
        <f t="shared" si="24"/>
        <v>0</v>
      </c>
      <c r="N24" s="33">
        <f t="shared" si="0"/>
        <v>0</v>
      </c>
      <c r="O24" s="34">
        <f t="shared" si="1"/>
        <v>177.03590180507811</v>
      </c>
      <c r="P24" s="55">
        <v>19</v>
      </c>
      <c r="Q24" s="33">
        <f t="shared" si="19"/>
        <v>5.6940000000000008</v>
      </c>
      <c r="R24" s="33">
        <f t="shared" si="25"/>
        <v>108.18600000000004</v>
      </c>
      <c r="S24" s="33">
        <f t="shared" si="26"/>
        <v>60.584160000000026</v>
      </c>
      <c r="T24" s="33">
        <f t="shared" si="2"/>
        <v>17.315879601565101</v>
      </c>
      <c r="U24" s="33">
        <f t="shared" si="20"/>
        <v>52.07178327840036</v>
      </c>
      <c r="V24" s="33">
        <f t="shared" si="3"/>
        <v>6.333333333333333</v>
      </c>
      <c r="W24" s="33">
        <v>0</v>
      </c>
      <c r="X24" s="33">
        <f t="shared" si="4"/>
        <v>349.8279965490828</v>
      </c>
      <c r="Y24" s="38">
        <f t="shared" si="5"/>
        <v>172.79209474400469</v>
      </c>
      <c r="AA24" s="71">
        <v>19</v>
      </c>
      <c r="AB24" s="33">
        <f t="shared" si="6"/>
        <v>0</v>
      </c>
      <c r="AC24" s="308">
        <f t="shared" si="7"/>
        <v>0</v>
      </c>
      <c r="AD24" s="101">
        <f t="shared" si="8"/>
        <v>0</v>
      </c>
      <c r="AE24" s="101">
        <f t="shared" si="9"/>
        <v>0</v>
      </c>
      <c r="AF24" s="197">
        <f t="shared" si="28"/>
        <v>0</v>
      </c>
      <c r="AG24" s="197">
        <f t="shared" si="29"/>
        <v>0</v>
      </c>
      <c r="AH24" s="197">
        <f t="shared" si="30"/>
        <v>0</v>
      </c>
      <c r="AI24" s="202">
        <f t="shared" si="31"/>
        <v>0</v>
      </c>
      <c r="AK24" s="71">
        <v>19</v>
      </c>
      <c r="AL24" s="33">
        <f t="shared" si="10"/>
        <v>0</v>
      </c>
      <c r="AM24" s="33">
        <f t="shared" si="11"/>
        <v>0</v>
      </c>
      <c r="AN24" s="33">
        <f t="shared" si="12"/>
        <v>0</v>
      </c>
      <c r="AO24" s="33">
        <f t="shared" si="13"/>
        <v>0</v>
      </c>
      <c r="AP24" s="33">
        <f t="shared" si="14"/>
        <v>0</v>
      </c>
      <c r="AQ24" s="197">
        <f t="shared" si="15"/>
        <v>0</v>
      </c>
      <c r="AR24" s="197">
        <f t="shared" si="16"/>
        <v>0</v>
      </c>
      <c r="AS24" s="197">
        <f t="shared" si="17"/>
        <v>0</v>
      </c>
      <c r="AT24" s="197">
        <f t="shared" si="18"/>
        <v>0</v>
      </c>
      <c r="AU24" s="33"/>
      <c r="AV24" s="33"/>
      <c r="AW24" s="33"/>
      <c r="AX24" s="33"/>
      <c r="AY24" s="167">
        <f t="shared" si="27"/>
        <v>0</v>
      </c>
    </row>
    <row r="25" spans="2:51">
      <c r="B25" s="45">
        <v>0</v>
      </c>
      <c r="C25" s="337">
        <v>20</v>
      </c>
      <c r="D25" s="139">
        <f>D26+6</f>
        <v>73</v>
      </c>
      <c r="E25" s="143">
        <f t="shared" ref="E25:E78" si="32">$F$20</f>
        <v>1.56</v>
      </c>
      <c r="F25" s="46">
        <f t="shared" ref="F25:F47" si="33">D25*E25</f>
        <v>113.88000000000001</v>
      </c>
      <c r="G25" s="50">
        <f>F25/(C25-B25)</f>
        <v>5.6940000000000008</v>
      </c>
      <c r="I25" s="55">
        <v>20</v>
      </c>
      <c r="J25" s="33">
        <f t="shared" si="21"/>
        <v>5</v>
      </c>
      <c r="K25" s="33">
        <f t="shared" si="22"/>
        <v>1.910565629709926</v>
      </c>
      <c r="L25" s="33">
        <f t="shared" si="23"/>
        <v>45</v>
      </c>
      <c r="M25" s="33">
        <f t="shared" si="24"/>
        <v>0</v>
      </c>
      <c r="N25" s="33">
        <f t="shared" si="0"/>
        <v>0</v>
      </c>
      <c r="O25" s="34">
        <f t="shared" si="1"/>
        <v>177.03590180507811</v>
      </c>
      <c r="P25" s="55">
        <v>20</v>
      </c>
      <c r="Q25" s="33">
        <f t="shared" si="19"/>
        <v>5.6940000000000008</v>
      </c>
      <c r="R25" s="33">
        <f t="shared" si="25"/>
        <v>113.88000000000004</v>
      </c>
      <c r="S25" s="33">
        <f t="shared" si="26"/>
        <v>63.772800000000025</v>
      </c>
      <c r="T25" s="33">
        <f t="shared" si="2"/>
        <v>18.118739450759566</v>
      </c>
      <c r="U25" s="33">
        <f t="shared" si="20"/>
        <v>52.382797757032165</v>
      </c>
      <c r="V25" s="33">
        <f t="shared" si="3"/>
        <v>6.666666666666667</v>
      </c>
      <c r="W25" s="33">
        <v>0</v>
      </c>
      <c r="X25" s="33">
        <f t="shared" si="4"/>
        <v>359.14246743030202</v>
      </c>
      <c r="Y25" s="38">
        <f t="shared" si="5"/>
        <v>182.10656562522391</v>
      </c>
      <c r="AA25" s="71">
        <v>20</v>
      </c>
      <c r="AB25" s="33">
        <f t="shared" si="6"/>
        <v>0</v>
      </c>
      <c r="AC25" s="308">
        <f t="shared" si="7"/>
        <v>0</v>
      </c>
      <c r="AD25" s="101">
        <f t="shared" si="8"/>
        <v>0</v>
      </c>
      <c r="AE25" s="101">
        <f t="shared" si="9"/>
        <v>0</v>
      </c>
      <c r="AF25" s="197">
        <f>IF(OR(AA25&lt;=$F$18,AA25&lt;=30),EXP(-LN(2)/$D$104)*AF24+((1-EXP(-LN(2)/$D$104))/(LN(2)/$D$104))*$AB25*AC25*0.475*$F$19*44/12,)</f>
        <v>0</v>
      </c>
      <c r="AG25" s="197">
        <f>IF(OR(AA25&lt;=$F$18,AA25&lt;=30),EXP(-LN(2)/$D$106)*AG24+((1-EXP(-LN(2)/$D$106))/(LN(2)/$D$106))*$AB25*AD25*0.475*$F$19*44/12,)</f>
        <v>0</v>
      </c>
      <c r="AH25" s="197">
        <f>IF(OR(AA25&lt;=$F$18,AA25&lt;=30),EXP(-LN(2)/$D$105)*AH24+((1-EXP(-LN(2)/$D$105))/(LN(2)/$D$105))*$AB25*AE25*0.475*$F$19*44/12,)</f>
        <v>0</v>
      </c>
      <c r="AI25" s="202">
        <f>IF(OR(AA25&lt;=$F$18,AA25&lt;=30),SUM(AF25:AH25),)</f>
        <v>0</v>
      </c>
      <c r="AK25" s="71">
        <v>20</v>
      </c>
      <c r="AL25" s="33">
        <f t="shared" si="10"/>
        <v>0</v>
      </c>
      <c r="AM25" s="33">
        <f t="shared" si="11"/>
        <v>0</v>
      </c>
      <c r="AN25" s="33">
        <f t="shared" si="12"/>
        <v>0</v>
      </c>
      <c r="AO25" s="33">
        <f t="shared" si="13"/>
        <v>0</v>
      </c>
      <c r="AP25" s="33">
        <f t="shared" si="14"/>
        <v>0</v>
      </c>
      <c r="AQ25" s="197">
        <f t="shared" si="15"/>
        <v>0</v>
      </c>
      <c r="AR25" s="197">
        <f t="shared" si="16"/>
        <v>0</v>
      </c>
      <c r="AS25" s="197">
        <f t="shared" si="17"/>
        <v>0</v>
      </c>
      <c r="AT25" s="197">
        <f t="shared" si="18"/>
        <v>0</v>
      </c>
      <c r="AU25" s="33"/>
      <c r="AV25" s="33"/>
      <c r="AW25" s="33"/>
      <c r="AX25" s="33"/>
      <c r="AY25" s="167">
        <f t="shared" si="27"/>
        <v>0</v>
      </c>
    </row>
    <row r="26" spans="2:51">
      <c r="B26" s="40">
        <f t="shared" ref="B26:B78" si="34">C25</f>
        <v>20</v>
      </c>
      <c r="C26" s="41">
        <f>B26+1</f>
        <v>21</v>
      </c>
      <c r="D26" s="140">
        <v>67</v>
      </c>
      <c r="E26" s="144">
        <f t="shared" si="32"/>
        <v>1.56</v>
      </c>
      <c r="F26" s="42">
        <f t="shared" si="33"/>
        <v>104.52000000000001</v>
      </c>
      <c r="G26" s="145">
        <f>(F26-F25)/(C26-B26)</f>
        <v>-9.36</v>
      </c>
      <c r="I26" s="55">
        <v>21</v>
      </c>
      <c r="J26" s="33">
        <f t="shared" si="21"/>
        <v>5</v>
      </c>
      <c r="K26" s="33">
        <f t="shared" si="22"/>
        <v>1.910565629709926</v>
      </c>
      <c r="L26" s="33">
        <f t="shared" si="23"/>
        <v>45</v>
      </c>
      <c r="M26" s="33">
        <f t="shared" si="24"/>
        <v>0</v>
      </c>
      <c r="N26" s="33">
        <f t="shared" si="0"/>
        <v>0</v>
      </c>
      <c r="O26" s="34">
        <f t="shared" si="1"/>
        <v>177.03590180507811</v>
      </c>
      <c r="P26" s="55">
        <v>21</v>
      </c>
      <c r="Q26" s="33">
        <f t="shared" si="19"/>
        <v>-9.36</v>
      </c>
      <c r="R26" s="33">
        <f t="shared" si="25"/>
        <v>104.52000000000004</v>
      </c>
      <c r="S26" s="33">
        <f t="shared" si="26"/>
        <v>58.531200000000027</v>
      </c>
      <c r="T26" s="33">
        <f t="shared" si="2"/>
        <v>16.796376317470752</v>
      </c>
      <c r="U26" s="33">
        <f t="shared" si="20"/>
        <v>52.688416829783918</v>
      </c>
      <c r="V26" s="33">
        <f t="shared" si="3"/>
        <v>7</v>
      </c>
      <c r="W26" s="33">
        <v>0</v>
      </c>
      <c r="X26" s="33">
        <f t="shared" si="4"/>
        <v>350.05305712880266</v>
      </c>
      <c r="Y26" s="38">
        <f t="shared" si="5"/>
        <v>173.01715532372455</v>
      </c>
      <c r="AA26" s="71">
        <v>21</v>
      </c>
      <c r="AB26" s="33">
        <f t="shared" si="6"/>
        <v>6</v>
      </c>
      <c r="AC26" s="308">
        <f t="shared" si="7"/>
        <v>0</v>
      </c>
      <c r="AD26" s="101">
        <f t="shared" si="8"/>
        <v>0</v>
      </c>
      <c r="AE26" s="101">
        <f t="shared" si="9"/>
        <v>0</v>
      </c>
      <c r="AF26" s="197">
        <f>IF(OR(AA26&lt;=$F$18,AA26&lt;=30),EXP(-LN(2)/$D$104)*AF25+((1-EXP(-LN(2)/$D$104))/(LN(2)/$D$104))*$AB26*AC26*0.475*$F$19*44/12,)</f>
        <v>0</v>
      </c>
      <c r="AG26" s="197">
        <f>IF(OR(AA26&lt;=$F$18,AA26&lt;=30),EXP(-LN(2)/$D$106)*AG25+((1-EXP(-LN(2)/$D$106))/(LN(2)/$D$106))*$AB26*AD26*0.475*$F$19*44/12,)</f>
        <v>0</v>
      </c>
      <c r="AH26" s="197">
        <f>IF(OR(AA26&lt;=$F$18,AA26&lt;=30),EXP(-LN(2)/$D$105)*AH25+((1-EXP(-LN(2)/$D$105))/(LN(2)/$D$105))*$AB26*AE26*0.475*$F$19*44/12,)</f>
        <v>0</v>
      </c>
      <c r="AI26" s="202">
        <f>IF(OR(AA26&lt;=$F$18,AA26&lt;=30),SUM(AF26:AH26),)</f>
        <v>0</v>
      </c>
      <c r="AK26" s="71">
        <v>21</v>
      </c>
      <c r="AL26" s="33">
        <f t="shared" si="10"/>
        <v>6</v>
      </c>
      <c r="AM26" s="33">
        <f t="shared" si="11"/>
        <v>0</v>
      </c>
      <c r="AN26" s="33">
        <f t="shared" si="12"/>
        <v>0</v>
      </c>
      <c r="AO26" s="33">
        <f t="shared" si="13"/>
        <v>0</v>
      </c>
      <c r="AP26" s="33">
        <f t="shared" si="14"/>
        <v>1</v>
      </c>
      <c r="AQ26" s="197">
        <f t="shared" si="15"/>
        <v>0</v>
      </c>
      <c r="AR26" s="197">
        <f t="shared" si="16"/>
        <v>0</v>
      </c>
      <c r="AS26" s="197">
        <f t="shared" si="17"/>
        <v>0</v>
      </c>
      <c r="AT26" s="197">
        <f t="shared" si="18"/>
        <v>6</v>
      </c>
      <c r="AU26" s="33"/>
      <c r="AV26" s="33"/>
      <c r="AW26" s="33"/>
      <c r="AX26" s="33"/>
      <c r="AY26" s="167">
        <f t="shared" si="27"/>
        <v>1.5</v>
      </c>
    </row>
    <row r="27" spans="2:51">
      <c r="B27" s="40">
        <f t="shared" si="34"/>
        <v>21</v>
      </c>
      <c r="C27" s="155">
        <f>C25+5</f>
        <v>25</v>
      </c>
      <c r="D27" s="140">
        <f>D28+28</f>
        <v>103</v>
      </c>
      <c r="E27" s="144">
        <f t="shared" si="32"/>
        <v>1.56</v>
      </c>
      <c r="F27" s="42">
        <f t="shared" si="33"/>
        <v>160.68</v>
      </c>
      <c r="G27" s="51">
        <f t="shared" ref="G27:G47" si="35">(F27-F26)/(C27-B27)</f>
        <v>14.04</v>
      </c>
      <c r="I27" s="55">
        <v>22</v>
      </c>
      <c r="J27" s="33">
        <f t="shared" si="21"/>
        <v>5</v>
      </c>
      <c r="K27" s="33">
        <f t="shared" si="22"/>
        <v>1.910565629709926</v>
      </c>
      <c r="L27" s="33">
        <f t="shared" si="23"/>
        <v>45</v>
      </c>
      <c r="M27" s="33">
        <f t="shared" si="24"/>
        <v>0</v>
      </c>
      <c r="N27" s="33">
        <f t="shared" si="0"/>
        <v>0</v>
      </c>
      <c r="O27" s="34">
        <f t="shared" si="1"/>
        <v>177.03590180507811</v>
      </c>
      <c r="P27" s="55">
        <v>22</v>
      </c>
      <c r="Q27" s="33">
        <f t="shared" si="19"/>
        <v>14.04</v>
      </c>
      <c r="R27" s="33">
        <f t="shared" si="25"/>
        <v>118.56000000000003</v>
      </c>
      <c r="S27" s="33">
        <f t="shared" si="26"/>
        <v>66.393600000000021</v>
      </c>
      <c r="T27" s="33">
        <f t="shared" si="2"/>
        <v>18.775122997078544</v>
      </c>
      <c r="U27" s="33">
        <f t="shared" si="20"/>
        <v>52.988734094885309</v>
      </c>
      <c r="V27" s="33">
        <f t="shared" si="3"/>
        <v>7.333333333333333</v>
      </c>
      <c r="W27" s="33">
        <v>0</v>
      </c>
      <c r="X27" s="33">
        <f t="shared" si="4"/>
        <v>369.51643979004683</v>
      </c>
      <c r="Y27" s="38">
        <f t="shared" si="5"/>
        <v>192.48053798496872</v>
      </c>
      <c r="AA27" s="71">
        <v>22</v>
      </c>
      <c r="AB27" s="33">
        <f t="shared" si="6"/>
        <v>0</v>
      </c>
      <c r="AC27" s="308">
        <f t="shared" si="7"/>
        <v>0</v>
      </c>
      <c r="AD27" s="101">
        <f t="shared" si="8"/>
        <v>0</v>
      </c>
      <c r="AE27" s="101">
        <f t="shared" si="9"/>
        <v>0</v>
      </c>
      <c r="AF27" s="197">
        <f t="shared" ref="AF27:AF90" si="36">IF(OR(AA27&lt;=$F$18,AA27&lt;=30),EXP(-LN(2)/$D$104)*AF26+((1-EXP(-LN(2)/$D$104))/(LN(2)/$D$104))*$AB27*AC27*0.475*$F$19*44/12,)</f>
        <v>0</v>
      </c>
      <c r="AG27" s="197">
        <f t="shared" ref="AG27:AG90" si="37">IF(OR(AA27&lt;=$F$18,AA27&lt;=30),EXP(-LN(2)/$D$106)*AG26+((1-EXP(-LN(2)/$D$106))/(LN(2)/$D$106))*$AB27*AD27*0.475*$F$19*44/12,)</f>
        <v>0</v>
      </c>
      <c r="AH27" s="197">
        <f t="shared" ref="AH27:AH90" si="38">IF(OR(AA27&lt;=$F$18,AA27&lt;=30),EXP(-LN(2)/$D$105)*AH26+((1-EXP(-LN(2)/$D$105))/(LN(2)/$D$105))*$AB27*AE27*0.475*$F$19*44/12,)</f>
        <v>0</v>
      </c>
      <c r="AI27" s="202">
        <f t="shared" ref="AI27:AI90" si="39">IF(OR(AA27&lt;=$F$18,AA27&lt;=30),SUM(AF27:AH27),)</f>
        <v>0</v>
      </c>
      <c r="AK27" s="71">
        <v>22</v>
      </c>
      <c r="AL27" s="33">
        <f t="shared" si="10"/>
        <v>0</v>
      </c>
      <c r="AM27" s="33">
        <f t="shared" si="11"/>
        <v>0</v>
      </c>
      <c r="AN27" s="33">
        <f t="shared" si="12"/>
        <v>0</v>
      </c>
      <c r="AO27" s="33">
        <f t="shared" si="13"/>
        <v>0</v>
      </c>
      <c r="AP27" s="33">
        <f t="shared" si="14"/>
        <v>0</v>
      </c>
      <c r="AQ27" s="197">
        <f t="shared" si="15"/>
        <v>0</v>
      </c>
      <c r="AR27" s="197">
        <f t="shared" si="16"/>
        <v>0</v>
      </c>
      <c r="AS27" s="197">
        <f t="shared" si="17"/>
        <v>0</v>
      </c>
      <c r="AT27" s="197">
        <f t="shared" si="18"/>
        <v>0</v>
      </c>
      <c r="AU27" s="33"/>
      <c r="AV27" s="33"/>
      <c r="AW27" s="33"/>
      <c r="AX27" s="33"/>
      <c r="AY27" s="167">
        <f t="shared" si="27"/>
        <v>1.5</v>
      </c>
    </row>
    <row r="28" spans="2:51">
      <c r="B28" s="40">
        <f t="shared" si="34"/>
        <v>25</v>
      </c>
      <c r="C28" s="155">
        <f>C26+5</f>
        <v>26</v>
      </c>
      <c r="D28" s="140">
        <v>75</v>
      </c>
      <c r="E28" s="144">
        <f t="shared" si="32"/>
        <v>1.56</v>
      </c>
      <c r="F28" s="42">
        <f t="shared" si="33"/>
        <v>117</v>
      </c>
      <c r="G28" s="51">
        <f t="shared" si="35"/>
        <v>-43.680000000000007</v>
      </c>
      <c r="I28" s="55">
        <v>23</v>
      </c>
      <c r="J28" s="33">
        <f t="shared" si="21"/>
        <v>5</v>
      </c>
      <c r="K28" s="33">
        <f t="shared" si="22"/>
        <v>1.910565629709926</v>
      </c>
      <c r="L28" s="33">
        <f t="shared" si="23"/>
        <v>45</v>
      </c>
      <c r="M28" s="33">
        <f t="shared" si="24"/>
        <v>0</v>
      </c>
      <c r="N28" s="33">
        <f t="shared" si="0"/>
        <v>0</v>
      </c>
      <c r="O28" s="34">
        <f t="shared" si="1"/>
        <v>177.03590180507811</v>
      </c>
      <c r="P28" s="55">
        <v>23</v>
      </c>
      <c r="Q28" s="33">
        <f t="shared" si="19"/>
        <v>14.04</v>
      </c>
      <c r="R28" s="33">
        <f t="shared" si="25"/>
        <v>132.60000000000002</v>
      </c>
      <c r="S28" s="33">
        <f t="shared" si="26"/>
        <v>74.256000000000014</v>
      </c>
      <c r="T28" s="33">
        <f t="shared" si="2"/>
        <v>20.726714411291823</v>
      </c>
      <c r="U28" s="33">
        <f t="shared" si="20"/>
        <v>53.283841526846018</v>
      </c>
      <c r="V28" s="33">
        <f t="shared" si="3"/>
        <v>7.666666666666667</v>
      </c>
      <c r="W28" s="33">
        <v>0</v>
      </c>
      <c r="X28" s="33">
        <f t="shared" si="4"/>
        <v>388.9134243092131</v>
      </c>
      <c r="Y28" s="38">
        <f t="shared" si="5"/>
        <v>211.87752250413499</v>
      </c>
      <c r="AA28" s="71">
        <v>23</v>
      </c>
      <c r="AB28" s="33">
        <f t="shared" si="6"/>
        <v>0</v>
      </c>
      <c r="AC28" s="308">
        <f t="shared" si="7"/>
        <v>0</v>
      </c>
      <c r="AD28" s="101">
        <f t="shared" si="8"/>
        <v>0</v>
      </c>
      <c r="AE28" s="101">
        <f t="shared" si="9"/>
        <v>0</v>
      </c>
      <c r="AF28" s="197">
        <f t="shared" si="36"/>
        <v>0</v>
      </c>
      <c r="AG28" s="197">
        <f t="shared" si="37"/>
        <v>0</v>
      </c>
      <c r="AH28" s="197">
        <f t="shared" si="38"/>
        <v>0</v>
      </c>
      <c r="AI28" s="202">
        <f t="shared" si="39"/>
        <v>0</v>
      </c>
      <c r="AK28" s="71">
        <v>23</v>
      </c>
      <c r="AL28" s="33">
        <f t="shared" si="10"/>
        <v>0</v>
      </c>
      <c r="AM28" s="33">
        <f t="shared" si="11"/>
        <v>0</v>
      </c>
      <c r="AN28" s="33">
        <f t="shared" si="12"/>
        <v>0</v>
      </c>
      <c r="AO28" s="33">
        <f t="shared" si="13"/>
        <v>0</v>
      </c>
      <c r="AP28" s="33">
        <f t="shared" si="14"/>
        <v>0</v>
      </c>
      <c r="AQ28" s="197">
        <f t="shared" si="15"/>
        <v>0</v>
      </c>
      <c r="AR28" s="197">
        <f t="shared" si="16"/>
        <v>0</v>
      </c>
      <c r="AS28" s="197">
        <f t="shared" si="17"/>
        <v>0</v>
      </c>
      <c r="AT28" s="197">
        <f t="shared" si="18"/>
        <v>0</v>
      </c>
      <c r="AU28" s="33"/>
      <c r="AV28" s="33"/>
      <c r="AW28" s="33"/>
      <c r="AX28" s="33"/>
      <c r="AY28" s="167">
        <f t="shared" si="27"/>
        <v>1.5</v>
      </c>
    </row>
    <row r="29" spans="2:51">
      <c r="B29" s="40">
        <f t="shared" si="34"/>
        <v>26</v>
      </c>
      <c r="C29" s="155">
        <f t="shared" ref="C29:C78" si="40">C27+5</f>
        <v>30</v>
      </c>
      <c r="D29" s="140">
        <f>D30+28</f>
        <v>121</v>
      </c>
      <c r="E29" s="144">
        <f t="shared" si="32"/>
        <v>1.56</v>
      </c>
      <c r="F29" s="42">
        <f t="shared" si="33"/>
        <v>188.76000000000002</v>
      </c>
      <c r="G29" s="51">
        <f t="shared" si="35"/>
        <v>17.940000000000005</v>
      </c>
      <c r="I29" s="55">
        <v>24</v>
      </c>
      <c r="J29" s="33">
        <f t="shared" si="21"/>
        <v>5</v>
      </c>
      <c r="K29" s="33">
        <f t="shared" si="22"/>
        <v>1.910565629709926</v>
      </c>
      <c r="L29" s="33">
        <f t="shared" si="23"/>
        <v>45</v>
      </c>
      <c r="M29" s="33">
        <f t="shared" si="24"/>
        <v>0</v>
      </c>
      <c r="N29" s="33">
        <f t="shared" si="0"/>
        <v>0</v>
      </c>
      <c r="O29" s="34">
        <f t="shared" si="1"/>
        <v>177.03590180507811</v>
      </c>
      <c r="P29" s="55">
        <v>24</v>
      </c>
      <c r="Q29" s="33">
        <f t="shared" si="19"/>
        <v>14.04</v>
      </c>
      <c r="R29" s="33">
        <f t="shared" si="25"/>
        <v>146.64000000000001</v>
      </c>
      <c r="S29" s="33">
        <f t="shared" si="26"/>
        <v>82.118400000000022</v>
      </c>
      <c r="T29" s="33">
        <f t="shared" si="2"/>
        <v>22.654353452648408</v>
      </c>
      <c r="U29" s="33">
        <f t="shared" si="20"/>
        <v>53.573829504623582</v>
      </c>
      <c r="V29" s="33">
        <f t="shared" si="3"/>
        <v>8</v>
      </c>
      <c r="W29" s="33">
        <v>0</v>
      </c>
      <c r="X29" s="33">
        <f t="shared" si="4"/>
        <v>408.24992044698246</v>
      </c>
      <c r="Y29" s="38">
        <f t="shared" si="5"/>
        <v>231.21401864190435</v>
      </c>
      <c r="AA29" s="71">
        <v>24</v>
      </c>
      <c r="AB29" s="33">
        <f t="shared" si="6"/>
        <v>0</v>
      </c>
      <c r="AC29" s="308">
        <f t="shared" si="7"/>
        <v>0</v>
      </c>
      <c r="AD29" s="101">
        <f t="shared" si="8"/>
        <v>0</v>
      </c>
      <c r="AE29" s="101">
        <f t="shared" si="9"/>
        <v>0</v>
      </c>
      <c r="AF29" s="197">
        <f t="shared" si="36"/>
        <v>0</v>
      </c>
      <c r="AG29" s="197">
        <f t="shared" si="37"/>
        <v>0</v>
      </c>
      <c r="AH29" s="197">
        <f t="shared" si="38"/>
        <v>0</v>
      </c>
      <c r="AI29" s="202">
        <f t="shared" si="39"/>
        <v>0</v>
      </c>
      <c r="AK29" s="71">
        <v>24</v>
      </c>
      <c r="AL29" s="33">
        <f t="shared" si="10"/>
        <v>0</v>
      </c>
      <c r="AM29" s="33">
        <f t="shared" si="11"/>
        <v>0</v>
      </c>
      <c r="AN29" s="33">
        <f t="shared" si="12"/>
        <v>0</v>
      </c>
      <c r="AO29" s="33">
        <f t="shared" si="13"/>
        <v>0</v>
      </c>
      <c r="AP29" s="33">
        <f t="shared" si="14"/>
        <v>0</v>
      </c>
      <c r="AQ29" s="197">
        <f t="shared" si="15"/>
        <v>0</v>
      </c>
      <c r="AR29" s="197">
        <f t="shared" si="16"/>
        <v>0</v>
      </c>
      <c r="AS29" s="197">
        <f t="shared" si="17"/>
        <v>0</v>
      </c>
      <c r="AT29" s="197">
        <f t="shared" si="18"/>
        <v>0</v>
      </c>
      <c r="AU29" s="33"/>
      <c r="AV29" s="33"/>
      <c r="AW29" s="33"/>
      <c r="AX29" s="33"/>
      <c r="AY29" s="167">
        <f t="shared" si="27"/>
        <v>1.5</v>
      </c>
    </row>
    <row r="30" spans="2:51">
      <c r="B30" s="40">
        <f t="shared" si="34"/>
        <v>30</v>
      </c>
      <c r="C30" s="155">
        <f t="shared" si="40"/>
        <v>31</v>
      </c>
      <c r="D30" s="140">
        <v>93</v>
      </c>
      <c r="E30" s="144">
        <f t="shared" si="32"/>
        <v>1.56</v>
      </c>
      <c r="F30" s="42">
        <f t="shared" si="33"/>
        <v>145.08000000000001</v>
      </c>
      <c r="G30" s="51">
        <f t="shared" si="35"/>
        <v>-43.680000000000007</v>
      </c>
      <c r="I30" s="55">
        <v>25</v>
      </c>
      <c r="J30" s="33">
        <f t="shared" si="21"/>
        <v>5</v>
      </c>
      <c r="K30" s="33">
        <f t="shared" si="22"/>
        <v>1.910565629709926</v>
      </c>
      <c r="L30" s="33">
        <f t="shared" si="23"/>
        <v>45</v>
      </c>
      <c r="M30" s="33">
        <f t="shared" si="24"/>
        <v>0</v>
      </c>
      <c r="N30" s="33">
        <f t="shared" si="0"/>
        <v>0</v>
      </c>
      <c r="O30" s="34">
        <f t="shared" si="1"/>
        <v>177.03590180507811</v>
      </c>
      <c r="P30" s="55">
        <v>25</v>
      </c>
      <c r="Q30" s="33">
        <f t="shared" si="19"/>
        <v>14.04</v>
      </c>
      <c r="R30" s="33">
        <f t="shared" si="25"/>
        <v>160.68</v>
      </c>
      <c r="S30" s="33">
        <f t="shared" si="26"/>
        <v>89.980800000000016</v>
      </c>
      <c r="T30" s="33">
        <f t="shared" si="2"/>
        <v>24.560594358746648</v>
      </c>
      <c r="U30" s="33">
        <f t="shared" si="20"/>
        <v>53.858786839302695</v>
      </c>
      <c r="V30" s="33">
        <f t="shared" si="3"/>
        <v>8.3333333333333339</v>
      </c>
      <c r="W30" s="33">
        <v>0</v>
      </c>
      <c r="X30" s="33">
        <f t="shared" si="4"/>
        <v>427.5307024744825</v>
      </c>
      <c r="Y30" s="38">
        <f t="shared" si="5"/>
        <v>250.49480066940438</v>
      </c>
      <c r="AA30" s="71">
        <v>25</v>
      </c>
      <c r="AB30" s="33">
        <f t="shared" si="6"/>
        <v>0</v>
      </c>
      <c r="AC30" s="308">
        <f t="shared" si="7"/>
        <v>0</v>
      </c>
      <c r="AD30" s="101">
        <f t="shared" si="8"/>
        <v>0</v>
      </c>
      <c r="AE30" s="101">
        <f t="shared" si="9"/>
        <v>0</v>
      </c>
      <c r="AF30" s="197">
        <f t="shared" si="36"/>
        <v>0</v>
      </c>
      <c r="AG30" s="197">
        <f t="shared" si="37"/>
        <v>0</v>
      </c>
      <c r="AH30" s="197">
        <f t="shared" si="38"/>
        <v>0</v>
      </c>
      <c r="AI30" s="202">
        <f t="shared" si="39"/>
        <v>0</v>
      </c>
      <c r="AK30" s="71">
        <v>25</v>
      </c>
      <c r="AL30" s="33">
        <f t="shared" si="10"/>
        <v>0</v>
      </c>
      <c r="AM30" s="33">
        <f t="shared" si="11"/>
        <v>0</v>
      </c>
      <c r="AN30" s="33">
        <f t="shared" si="12"/>
        <v>0</v>
      </c>
      <c r="AO30" s="33">
        <f t="shared" si="13"/>
        <v>0</v>
      </c>
      <c r="AP30" s="33">
        <f t="shared" si="14"/>
        <v>0</v>
      </c>
      <c r="AQ30" s="197">
        <f t="shared" si="15"/>
        <v>0</v>
      </c>
      <c r="AR30" s="197">
        <f t="shared" si="16"/>
        <v>0</v>
      </c>
      <c r="AS30" s="197">
        <f t="shared" si="17"/>
        <v>0</v>
      </c>
      <c r="AT30" s="197">
        <f t="shared" si="18"/>
        <v>0</v>
      </c>
      <c r="AU30" s="33"/>
      <c r="AV30" s="33"/>
      <c r="AW30" s="33"/>
      <c r="AX30" s="33"/>
      <c r="AY30" s="167">
        <f t="shared" si="27"/>
        <v>1.5</v>
      </c>
    </row>
    <row r="31" spans="2:51">
      <c r="B31" s="40">
        <f t="shared" si="34"/>
        <v>31</v>
      </c>
      <c r="C31" s="155">
        <f t="shared" si="40"/>
        <v>35</v>
      </c>
      <c r="D31" s="140">
        <f>D32+28</f>
        <v>147</v>
      </c>
      <c r="E31" s="144">
        <f t="shared" si="32"/>
        <v>1.56</v>
      </c>
      <c r="F31" s="42">
        <f t="shared" si="33"/>
        <v>229.32000000000002</v>
      </c>
      <c r="G31" s="51">
        <f t="shared" si="35"/>
        <v>21.060000000000002</v>
      </c>
      <c r="I31" s="55">
        <v>26</v>
      </c>
      <c r="J31" s="33">
        <f t="shared" si="21"/>
        <v>5</v>
      </c>
      <c r="K31" s="33">
        <f t="shared" si="22"/>
        <v>1.910565629709926</v>
      </c>
      <c r="L31" s="33">
        <f t="shared" si="23"/>
        <v>45</v>
      </c>
      <c r="M31" s="33">
        <f t="shared" si="24"/>
        <v>0</v>
      </c>
      <c r="N31" s="33">
        <f t="shared" si="0"/>
        <v>0</v>
      </c>
      <c r="O31" s="34">
        <f t="shared" si="1"/>
        <v>177.03590180507811</v>
      </c>
      <c r="P31" s="55">
        <v>26</v>
      </c>
      <c r="Q31" s="33">
        <f t="shared" si="19"/>
        <v>-43.680000000000007</v>
      </c>
      <c r="R31" s="33">
        <f t="shared" si="25"/>
        <v>117</v>
      </c>
      <c r="S31" s="33">
        <f t="shared" si="26"/>
        <v>65.52000000000001</v>
      </c>
      <c r="T31" s="33">
        <f t="shared" si="2"/>
        <v>18.556669503136725</v>
      </c>
      <c r="U31" s="33">
        <f t="shared" si="20"/>
        <v>54.138800801294295</v>
      </c>
      <c r="V31" s="33">
        <f t="shared" si="3"/>
        <v>8.6666666666666661</v>
      </c>
      <c r="W31" s="33">
        <v>0</v>
      </c>
      <c r="X31" s="33">
        <f t="shared" si="4"/>
        <v>376.72024676715336</v>
      </c>
      <c r="Y31" s="38">
        <f t="shared" si="5"/>
        <v>199.68434496207524</v>
      </c>
      <c r="AA31" s="71">
        <v>26</v>
      </c>
      <c r="AB31" s="33">
        <f t="shared" si="6"/>
        <v>28</v>
      </c>
      <c r="AC31" s="308">
        <f t="shared" si="7"/>
        <v>0</v>
      </c>
      <c r="AD31" s="101">
        <f t="shared" si="8"/>
        <v>0</v>
      </c>
      <c r="AE31" s="101">
        <f t="shared" si="9"/>
        <v>0</v>
      </c>
      <c r="AF31" s="197">
        <f t="shared" si="36"/>
        <v>0</v>
      </c>
      <c r="AG31" s="197">
        <f t="shared" si="37"/>
        <v>0</v>
      </c>
      <c r="AH31" s="197">
        <f t="shared" si="38"/>
        <v>0</v>
      </c>
      <c r="AI31" s="202">
        <f t="shared" si="39"/>
        <v>0</v>
      </c>
      <c r="AK31" s="71">
        <v>26</v>
      </c>
      <c r="AL31" s="33">
        <f t="shared" si="10"/>
        <v>28</v>
      </c>
      <c r="AM31" s="33">
        <f t="shared" si="11"/>
        <v>0</v>
      </c>
      <c r="AN31" s="33">
        <f t="shared" si="12"/>
        <v>0</v>
      </c>
      <c r="AO31" s="33">
        <f t="shared" si="13"/>
        <v>0</v>
      </c>
      <c r="AP31" s="33">
        <f t="shared" si="14"/>
        <v>1</v>
      </c>
      <c r="AQ31" s="197">
        <f t="shared" si="15"/>
        <v>0</v>
      </c>
      <c r="AR31" s="197">
        <f t="shared" si="16"/>
        <v>0</v>
      </c>
      <c r="AS31" s="197">
        <f t="shared" si="17"/>
        <v>0</v>
      </c>
      <c r="AT31" s="197">
        <f t="shared" si="18"/>
        <v>28</v>
      </c>
      <c r="AU31" s="33"/>
      <c r="AV31" s="33"/>
      <c r="AW31" s="33"/>
      <c r="AX31" s="33"/>
      <c r="AY31" s="167">
        <f t="shared" si="27"/>
        <v>8.5</v>
      </c>
    </row>
    <row r="32" spans="2:51">
      <c r="B32" s="40">
        <f t="shared" si="34"/>
        <v>35</v>
      </c>
      <c r="C32" s="155">
        <f t="shared" si="40"/>
        <v>36</v>
      </c>
      <c r="D32" s="140">
        <v>119</v>
      </c>
      <c r="E32" s="144">
        <f t="shared" si="32"/>
        <v>1.56</v>
      </c>
      <c r="F32" s="42">
        <f t="shared" si="33"/>
        <v>185.64000000000001</v>
      </c>
      <c r="G32" s="51">
        <f t="shared" si="35"/>
        <v>-43.680000000000007</v>
      </c>
      <c r="I32" s="55">
        <v>27</v>
      </c>
      <c r="J32" s="33">
        <f t="shared" si="21"/>
        <v>5</v>
      </c>
      <c r="K32" s="33">
        <f t="shared" si="22"/>
        <v>1.910565629709926</v>
      </c>
      <c r="L32" s="33">
        <f t="shared" si="23"/>
        <v>45</v>
      </c>
      <c r="M32" s="33">
        <f t="shared" si="24"/>
        <v>0</v>
      </c>
      <c r="N32" s="33">
        <f t="shared" si="0"/>
        <v>0</v>
      </c>
      <c r="O32" s="34">
        <f t="shared" si="1"/>
        <v>177.03590180507811</v>
      </c>
      <c r="P32" s="55">
        <v>27</v>
      </c>
      <c r="Q32" s="33">
        <f t="shared" si="19"/>
        <v>17.940000000000005</v>
      </c>
      <c r="R32" s="33">
        <f t="shared" si="25"/>
        <v>134.94</v>
      </c>
      <c r="S32" s="33">
        <f t="shared" si="26"/>
        <v>75.566400000000002</v>
      </c>
      <c r="T32" s="33">
        <f t="shared" si="2"/>
        <v>21.049575074005404</v>
      </c>
      <c r="U32" s="33">
        <f t="shared" si="20"/>
        <v>54.413957147062774</v>
      </c>
      <c r="V32" s="33">
        <f t="shared" si="3"/>
        <v>9</v>
      </c>
      <c r="W32" s="33">
        <v>0</v>
      </c>
      <c r="X32" s="33">
        <f t="shared" si="4"/>
        <v>400.79066612645624</v>
      </c>
      <c r="Y32" s="38">
        <f t="shared" si="5"/>
        <v>223.75476432137813</v>
      </c>
      <c r="AA32" s="71">
        <v>27</v>
      </c>
      <c r="AB32" s="33">
        <f t="shared" si="6"/>
        <v>0</v>
      </c>
      <c r="AC32" s="308">
        <f t="shared" si="7"/>
        <v>0</v>
      </c>
      <c r="AD32" s="101">
        <f t="shared" si="8"/>
        <v>0</v>
      </c>
      <c r="AE32" s="101">
        <f t="shared" si="9"/>
        <v>0</v>
      </c>
      <c r="AF32" s="197">
        <f t="shared" si="36"/>
        <v>0</v>
      </c>
      <c r="AG32" s="197">
        <f t="shared" si="37"/>
        <v>0</v>
      </c>
      <c r="AH32" s="197">
        <f t="shared" si="38"/>
        <v>0</v>
      </c>
      <c r="AI32" s="202">
        <f t="shared" si="39"/>
        <v>0</v>
      </c>
      <c r="AK32" s="71">
        <v>27</v>
      </c>
      <c r="AL32" s="33">
        <f t="shared" si="10"/>
        <v>0</v>
      </c>
      <c r="AM32" s="33">
        <f t="shared" si="11"/>
        <v>0</v>
      </c>
      <c r="AN32" s="33">
        <f t="shared" si="12"/>
        <v>0</v>
      </c>
      <c r="AO32" s="33">
        <f t="shared" si="13"/>
        <v>0</v>
      </c>
      <c r="AP32" s="33">
        <f t="shared" si="14"/>
        <v>0</v>
      </c>
      <c r="AQ32" s="197">
        <f t="shared" si="15"/>
        <v>0</v>
      </c>
      <c r="AR32" s="197">
        <f t="shared" si="16"/>
        <v>0</v>
      </c>
      <c r="AS32" s="197">
        <f t="shared" si="17"/>
        <v>0</v>
      </c>
      <c r="AT32" s="197">
        <f t="shared" si="18"/>
        <v>0</v>
      </c>
      <c r="AU32" s="33"/>
      <c r="AV32" s="33"/>
      <c r="AW32" s="33"/>
      <c r="AX32" s="33"/>
      <c r="AY32" s="167">
        <f t="shared" si="27"/>
        <v>8.5</v>
      </c>
    </row>
    <row r="33" spans="2:51">
      <c r="B33" s="40">
        <f t="shared" si="34"/>
        <v>36</v>
      </c>
      <c r="C33" s="155">
        <f t="shared" si="40"/>
        <v>40</v>
      </c>
      <c r="D33" s="140">
        <f>D34+28</f>
        <v>175</v>
      </c>
      <c r="E33" s="144">
        <f t="shared" si="32"/>
        <v>1.56</v>
      </c>
      <c r="F33" s="42">
        <f t="shared" si="33"/>
        <v>273</v>
      </c>
      <c r="G33" s="51">
        <f t="shared" si="35"/>
        <v>21.839999999999996</v>
      </c>
      <c r="I33" s="55">
        <v>28</v>
      </c>
      <c r="J33" s="33">
        <f t="shared" si="21"/>
        <v>5</v>
      </c>
      <c r="K33" s="33">
        <f t="shared" si="22"/>
        <v>1.910565629709926</v>
      </c>
      <c r="L33" s="33">
        <f t="shared" si="23"/>
        <v>45</v>
      </c>
      <c r="M33" s="33">
        <f t="shared" si="24"/>
        <v>0</v>
      </c>
      <c r="N33" s="33">
        <f t="shared" si="0"/>
        <v>0</v>
      </c>
      <c r="O33" s="34">
        <f t="shared" si="1"/>
        <v>177.03590180507811</v>
      </c>
      <c r="P33" s="55">
        <v>28</v>
      </c>
      <c r="Q33" s="33">
        <f t="shared" si="19"/>
        <v>17.940000000000005</v>
      </c>
      <c r="R33" s="33">
        <f t="shared" si="25"/>
        <v>152.88</v>
      </c>
      <c r="S33" s="33">
        <f t="shared" si="26"/>
        <v>85.612800000000007</v>
      </c>
      <c r="T33" s="33">
        <f t="shared" si="2"/>
        <v>23.504080242391282</v>
      </c>
      <c r="U33" s="33">
        <f t="shared" si="20"/>
        <v>54.684340145389598</v>
      </c>
      <c r="V33" s="33">
        <f t="shared" si="3"/>
        <v>9.3333333333333339</v>
      </c>
      <c r="W33" s="33">
        <v>0</v>
      </c>
      <c r="X33" s="33">
        <f t="shared" si="4"/>
        <v>424.77670251081554</v>
      </c>
      <c r="Y33" s="38">
        <f t="shared" si="5"/>
        <v>247.74080070573743</v>
      </c>
      <c r="AA33" s="71">
        <v>28</v>
      </c>
      <c r="AB33" s="33">
        <f t="shared" si="6"/>
        <v>0</v>
      </c>
      <c r="AC33" s="308">
        <f t="shared" si="7"/>
        <v>0</v>
      </c>
      <c r="AD33" s="101">
        <f t="shared" si="8"/>
        <v>0</v>
      </c>
      <c r="AE33" s="101">
        <f t="shared" si="9"/>
        <v>0</v>
      </c>
      <c r="AF33" s="197">
        <f t="shared" si="36"/>
        <v>0</v>
      </c>
      <c r="AG33" s="197">
        <f t="shared" si="37"/>
        <v>0</v>
      </c>
      <c r="AH33" s="197">
        <f t="shared" si="38"/>
        <v>0</v>
      </c>
      <c r="AI33" s="202">
        <f t="shared" si="39"/>
        <v>0</v>
      </c>
      <c r="AK33" s="71">
        <v>28</v>
      </c>
      <c r="AL33" s="33">
        <f t="shared" si="10"/>
        <v>0</v>
      </c>
      <c r="AM33" s="33">
        <f t="shared" si="11"/>
        <v>0</v>
      </c>
      <c r="AN33" s="33">
        <f t="shared" si="12"/>
        <v>0</v>
      </c>
      <c r="AO33" s="33">
        <f t="shared" si="13"/>
        <v>0</v>
      </c>
      <c r="AP33" s="33">
        <f t="shared" si="14"/>
        <v>0</v>
      </c>
      <c r="AQ33" s="197">
        <f t="shared" si="15"/>
        <v>0</v>
      </c>
      <c r="AR33" s="197">
        <f t="shared" si="16"/>
        <v>0</v>
      </c>
      <c r="AS33" s="197">
        <f t="shared" si="17"/>
        <v>0</v>
      </c>
      <c r="AT33" s="197">
        <f t="shared" si="18"/>
        <v>0</v>
      </c>
      <c r="AU33" s="33"/>
      <c r="AV33" s="33"/>
      <c r="AW33" s="33"/>
      <c r="AX33" s="33"/>
      <c r="AY33" s="167">
        <f t="shared" si="27"/>
        <v>8.5</v>
      </c>
    </row>
    <row r="34" spans="2:51" ht="16" thickBot="1">
      <c r="B34" s="40">
        <f t="shared" si="34"/>
        <v>40</v>
      </c>
      <c r="C34" s="155">
        <f t="shared" si="40"/>
        <v>41</v>
      </c>
      <c r="D34" s="140">
        <v>147</v>
      </c>
      <c r="E34" s="144">
        <f t="shared" si="32"/>
        <v>1.56</v>
      </c>
      <c r="F34" s="42">
        <f t="shared" si="33"/>
        <v>229.32000000000002</v>
      </c>
      <c r="G34" s="51">
        <f t="shared" si="35"/>
        <v>-43.679999999999978</v>
      </c>
      <c r="I34" s="55">
        <v>29</v>
      </c>
      <c r="J34" s="33">
        <f t="shared" si="21"/>
        <v>5</v>
      </c>
      <c r="K34" s="33">
        <f t="shared" si="22"/>
        <v>1.910565629709926</v>
      </c>
      <c r="L34" s="33">
        <f t="shared" si="23"/>
        <v>45</v>
      </c>
      <c r="M34" s="33">
        <f t="shared" si="24"/>
        <v>0</v>
      </c>
      <c r="N34" s="33">
        <f t="shared" si="0"/>
        <v>0</v>
      </c>
      <c r="O34" s="34">
        <f t="shared" si="1"/>
        <v>177.03590180507811</v>
      </c>
      <c r="P34" s="55">
        <v>29</v>
      </c>
      <c r="Q34" s="35">
        <f t="shared" si="19"/>
        <v>17.940000000000005</v>
      </c>
      <c r="R34" s="33">
        <f t="shared" si="25"/>
        <v>170.82</v>
      </c>
      <c r="S34" s="33">
        <f t="shared" si="26"/>
        <v>95.659199999999998</v>
      </c>
      <c r="T34" s="33">
        <f t="shared" si="2"/>
        <v>25.92520602338745</v>
      </c>
      <c r="U34" s="33">
        <f t="shared" si="20"/>
        <v>54.950032603181285</v>
      </c>
      <c r="V34" s="33">
        <f t="shared" si="3"/>
        <v>9.6666666666666661</v>
      </c>
      <c r="W34" s="33">
        <v>0</v>
      </c>
      <c r="X34" s="33">
        <f t="shared" si="4"/>
        <v>448.68740448017564</v>
      </c>
      <c r="Y34" s="38">
        <f t="shared" si="5"/>
        <v>271.6515026750975</v>
      </c>
      <c r="AA34" s="71">
        <v>29</v>
      </c>
      <c r="AB34" s="146">
        <f t="shared" si="6"/>
        <v>0</v>
      </c>
      <c r="AC34" s="308">
        <f t="shared" si="7"/>
        <v>0</v>
      </c>
      <c r="AD34" s="102">
        <f t="shared" si="8"/>
        <v>0</v>
      </c>
      <c r="AE34" s="102">
        <f t="shared" si="9"/>
        <v>0</v>
      </c>
      <c r="AF34" s="199">
        <f t="shared" si="36"/>
        <v>0</v>
      </c>
      <c r="AG34" s="199">
        <f t="shared" si="37"/>
        <v>0</v>
      </c>
      <c r="AH34" s="197">
        <f t="shared" si="38"/>
        <v>0</v>
      </c>
      <c r="AI34" s="202">
        <f t="shared" si="39"/>
        <v>0</v>
      </c>
      <c r="AK34" s="71">
        <v>29</v>
      </c>
      <c r="AL34" s="146">
        <f t="shared" si="10"/>
        <v>0</v>
      </c>
      <c r="AM34" s="35">
        <f t="shared" si="11"/>
        <v>0</v>
      </c>
      <c r="AN34" s="35">
        <f t="shared" si="12"/>
        <v>0</v>
      </c>
      <c r="AO34" s="35">
        <f t="shared" si="13"/>
        <v>0</v>
      </c>
      <c r="AP34" s="35">
        <f t="shared" si="14"/>
        <v>0</v>
      </c>
      <c r="AQ34" s="197">
        <f t="shared" si="15"/>
        <v>0</v>
      </c>
      <c r="AR34" s="197">
        <f t="shared" si="16"/>
        <v>0</v>
      </c>
      <c r="AS34" s="197">
        <f t="shared" si="17"/>
        <v>0</v>
      </c>
      <c r="AT34" s="197">
        <f t="shared" si="18"/>
        <v>0</v>
      </c>
      <c r="AU34" s="33"/>
      <c r="AV34" s="33"/>
      <c r="AW34" s="33"/>
      <c r="AX34" s="33"/>
      <c r="AY34" s="167">
        <f t="shared" si="27"/>
        <v>8.5</v>
      </c>
    </row>
    <row r="35" spans="2:51" ht="16" thickBot="1">
      <c r="B35" s="40">
        <f t="shared" si="34"/>
        <v>41</v>
      </c>
      <c r="C35" s="155">
        <f t="shared" si="40"/>
        <v>45</v>
      </c>
      <c r="D35" s="140">
        <f>D36+28</f>
        <v>204</v>
      </c>
      <c r="E35" s="144">
        <f t="shared" si="32"/>
        <v>1.56</v>
      </c>
      <c r="F35" s="42">
        <f t="shared" si="33"/>
        <v>318.24</v>
      </c>
      <c r="G35" s="51">
        <f t="shared" si="35"/>
        <v>22.229999999999997</v>
      </c>
      <c r="I35" s="87">
        <v>30</v>
      </c>
      <c r="J35" s="162">
        <f>IF($I35&lt;=$F$10,IF(AND(D8=B101,F12=C194),($F$11*$F$13+J34*50%),$F$11*$F$13+J34),)</f>
        <v>5</v>
      </c>
      <c r="K35" s="53">
        <f t="shared" si="22"/>
        <v>1.910565629709926</v>
      </c>
      <c r="L35" s="53">
        <f t="shared" si="23"/>
        <v>45</v>
      </c>
      <c r="M35" s="53">
        <f t="shared" si="24"/>
        <v>0</v>
      </c>
      <c r="N35" s="54">
        <f t="shared" si="0"/>
        <v>0</v>
      </c>
      <c r="O35" s="69">
        <f t="shared" si="1"/>
        <v>177.03590180507811</v>
      </c>
      <c r="P35" s="87">
        <v>30</v>
      </c>
      <c r="Q35" s="53">
        <f t="shared" si="19"/>
        <v>17.940000000000005</v>
      </c>
      <c r="R35" s="54">
        <f t="shared" si="25"/>
        <v>188.76</v>
      </c>
      <c r="S35" s="53">
        <f t="shared" si="26"/>
        <v>105.7056</v>
      </c>
      <c r="T35" s="54">
        <f t="shared" si="2"/>
        <v>28.316857405559993</v>
      </c>
      <c r="U35" s="54">
        <f t="shared" si="20"/>
        <v>55.211115890829625</v>
      </c>
      <c r="V35" s="53">
        <f t="shared" si="3"/>
        <v>10</v>
      </c>
      <c r="W35" s="54">
        <v>0</v>
      </c>
      <c r="X35" s="69">
        <f t="shared" si="4"/>
        <v>472.52987158105901</v>
      </c>
      <c r="Y35" s="65">
        <f t="shared" si="5"/>
        <v>295.49396977598087</v>
      </c>
      <c r="AA35" s="73">
        <v>30</v>
      </c>
      <c r="AB35" s="146">
        <f t="shared" si="6"/>
        <v>0</v>
      </c>
      <c r="AC35" s="308">
        <f t="shared" si="7"/>
        <v>0</v>
      </c>
      <c r="AD35" s="102">
        <f t="shared" si="8"/>
        <v>0</v>
      </c>
      <c r="AE35" s="102">
        <f t="shared" si="9"/>
        <v>0</v>
      </c>
      <c r="AF35" s="203">
        <f t="shared" si="36"/>
        <v>0</v>
      </c>
      <c r="AG35" s="198">
        <f t="shared" si="37"/>
        <v>0</v>
      </c>
      <c r="AH35" s="204">
        <f t="shared" si="38"/>
        <v>0</v>
      </c>
      <c r="AI35" s="205">
        <f t="shared" si="39"/>
        <v>0</v>
      </c>
      <c r="AK35" s="73">
        <v>30</v>
      </c>
      <c r="AL35" s="146">
        <f t="shared" si="10"/>
        <v>0</v>
      </c>
      <c r="AM35" s="35">
        <f t="shared" si="11"/>
        <v>0</v>
      </c>
      <c r="AN35" s="35">
        <f t="shared" si="12"/>
        <v>0</v>
      </c>
      <c r="AO35" s="35">
        <f t="shared" si="13"/>
        <v>0</v>
      </c>
      <c r="AP35" s="35">
        <f t="shared" si="14"/>
        <v>0</v>
      </c>
      <c r="AQ35" s="198">
        <f t="shared" si="15"/>
        <v>0</v>
      </c>
      <c r="AR35" s="198">
        <f t="shared" si="16"/>
        <v>0</v>
      </c>
      <c r="AS35" s="198">
        <f t="shared" si="17"/>
        <v>0</v>
      </c>
      <c r="AT35" s="198">
        <f t="shared" si="18"/>
        <v>0</v>
      </c>
      <c r="AU35" s="53"/>
      <c r="AV35" s="53"/>
      <c r="AW35" s="53"/>
      <c r="AX35" s="53"/>
      <c r="AY35" s="168">
        <f t="shared" si="27"/>
        <v>8.5</v>
      </c>
    </row>
    <row r="36" spans="2:51">
      <c r="B36" s="40">
        <f t="shared" si="34"/>
        <v>45</v>
      </c>
      <c r="C36" s="155">
        <f t="shared" si="40"/>
        <v>46</v>
      </c>
      <c r="D36" s="140">
        <v>176</v>
      </c>
      <c r="E36" s="144">
        <f t="shared" si="32"/>
        <v>1.56</v>
      </c>
      <c r="F36" s="42">
        <f t="shared" si="33"/>
        <v>274.56</v>
      </c>
      <c r="G36" s="51">
        <f t="shared" si="35"/>
        <v>-43.680000000000007</v>
      </c>
      <c r="I36" s="55">
        <v>31</v>
      </c>
      <c r="J36" s="33">
        <f t="shared" si="21"/>
        <v>5</v>
      </c>
      <c r="K36" s="33">
        <f t="shared" si="22"/>
        <v>1.910565629709926</v>
      </c>
      <c r="L36" s="33">
        <f t="shared" si="23"/>
        <v>45</v>
      </c>
      <c r="M36" s="33">
        <f t="shared" si="24"/>
        <v>0</v>
      </c>
      <c r="N36" s="33">
        <f t="shared" si="0"/>
        <v>0</v>
      </c>
      <c r="O36" s="34">
        <f t="shared" si="1"/>
        <v>177.03590180507811</v>
      </c>
      <c r="P36" s="55">
        <v>31</v>
      </c>
      <c r="Q36" s="33">
        <f t="shared" si="19"/>
        <v>-43.680000000000007</v>
      </c>
      <c r="R36" s="33">
        <f t="shared" si="25"/>
        <v>145.07999999999998</v>
      </c>
      <c r="S36" s="33">
        <f t="shared" si="26"/>
        <v>81.244799999999998</v>
      </c>
      <c r="T36" s="33">
        <f t="shared" si="2"/>
        <v>22.441270156928962</v>
      </c>
      <c r="U36" s="33">
        <f t="shared" si="20"/>
        <v>55.467669967132053</v>
      </c>
      <c r="V36" s="33">
        <f t="shared" si="3"/>
        <v>10</v>
      </c>
      <c r="W36" s="33">
        <v>0</v>
      </c>
      <c r="X36" s="33">
        <f t="shared" si="4"/>
        <v>420.63469540280215</v>
      </c>
      <c r="Y36" s="38">
        <f t="shared" si="5"/>
        <v>243.59879359772404</v>
      </c>
      <c r="AA36" s="71">
        <v>31</v>
      </c>
      <c r="AB36" s="33">
        <f t="shared" si="6"/>
        <v>28</v>
      </c>
      <c r="AC36" s="308">
        <f t="shared" si="7"/>
        <v>0</v>
      </c>
      <c r="AD36" s="101">
        <f t="shared" si="8"/>
        <v>0</v>
      </c>
      <c r="AE36" s="101">
        <f t="shared" si="9"/>
        <v>0</v>
      </c>
      <c r="AF36" s="197">
        <f t="shared" si="36"/>
        <v>0</v>
      </c>
      <c r="AG36" s="197">
        <f t="shared" si="37"/>
        <v>0</v>
      </c>
      <c r="AH36" s="197">
        <f t="shared" si="38"/>
        <v>0</v>
      </c>
      <c r="AI36" s="202">
        <f t="shared" si="39"/>
        <v>0</v>
      </c>
      <c r="AK36" s="71">
        <v>31</v>
      </c>
      <c r="AL36" s="33">
        <f t="shared" si="10"/>
        <v>28</v>
      </c>
      <c r="AM36" s="33">
        <f t="shared" si="11"/>
        <v>0</v>
      </c>
      <c r="AN36" s="33">
        <f t="shared" si="12"/>
        <v>0</v>
      </c>
      <c r="AO36" s="33">
        <f t="shared" si="13"/>
        <v>0</v>
      </c>
      <c r="AP36" s="33">
        <f t="shared" si="14"/>
        <v>1</v>
      </c>
      <c r="AQ36" s="197">
        <f t="shared" ref="AQ36:AQ99" si="41">IF($AK36&lt;=$F$18,$AL36*AM36,)</f>
        <v>0</v>
      </c>
      <c r="AR36" s="197">
        <f t="shared" ref="AR36:AR99" si="42">IF($AK36&lt;=$F$18,$AL36*AN36,)</f>
        <v>0</v>
      </c>
      <c r="AS36" s="197">
        <f t="shared" ref="AS36:AS99" si="43">IF($AK36&lt;=$F$18,$AL36*AO36,)</f>
        <v>0</v>
      </c>
      <c r="AT36" s="197">
        <f t="shared" ref="AT36:AT99" si="44">IF($AK36&lt;=$F$18,$AL36*AP36,)</f>
        <v>28</v>
      </c>
      <c r="AU36" s="33"/>
      <c r="AV36" s="33"/>
      <c r="AW36" s="33"/>
      <c r="AX36" s="33"/>
      <c r="AY36" s="76"/>
    </row>
    <row r="37" spans="2:51">
      <c r="B37" s="40">
        <f t="shared" si="34"/>
        <v>46</v>
      </c>
      <c r="C37" s="155">
        <f t="shared" si="40"/>
        <v>50</v>
      </c>
      <c r="D37" s="140">
        <f>D38+28</f>
        <v>231</v>
      </c>
      <c r="E37" s="144">
        <f t="shared" si="32"/>
        <v>1.56</v>
      </c>
      <c r="F37" s="42">
        <f t="shared" si="33"/>
        <v>360.36</v>
      </c>
      <c r="G37" s="51">
        <f t="shared" si="35"/>
        <v>21.450000000000003</v>
      </c>
      <c r="I37" s="55">
        <v>32</v>
      </c>
      <c r="J37" s="33">
        <f t="shared" si="21"/>
        <v>5</v>
      </c>
      <c r="K37" s="33">
        <f t="shared" si="22"/>
        <v>1.910565629709926</v>
      </c>
      <c r="L37" s="33">
        <f t="shared" si="23"/>
        <v>45</v>
      </c>
      <c r="M37" s="33">
        <f t="shared" si="24"/>
        <v>0</v>
      </c>
      <c r="N37" s="33">
        <f t="shared" si="0"/>
        <v>0</v>
      </c>
      <c r="O37" s="34">
        <f t="shared" si="1"/>
        <v>177.03590180507811</v>
      </c>
      <c r="P37" s="55">
        <v>32</v>
      </c>
      <c r="Q37" s="33">
        <f t="shared" si="19"/>
        <v>21.060000000000002</v>
      </c>
      <c r="R37" s="33">
        <f t="shared" si="25"/>
        <v>166.14</v>
      </c>
      <c r="S37" s="33">
        <f t="shared" si="26"/>
        <v>93.038399999999996</v>
      </c>
      <c r="T37" s="33">
        <f t="shared" si="2"/>
        <v>25.296591874437105</v>
      </c>
      <c r="U37" s="33">
        <f t="shared" si="20"/>
        <v>55.719773403779627</v>
      </c>
      <c r="V37" s="33">
        <f t="shared" si="3"/>
        <v>10</v>
      </c>
      <c r="W37" s="33">
        <v>0</v>
      </c>
      <c r="X37" s="33">
        <f t="shared" si="4"/>
        <v>447.07261332850322</v>
      </c>
      <c r="Y37" s="38">
        <f t="shared" si="5"/>
        <v>270.03671152342508</v>
      </c>
      <c r="AA37" s="71">
        <v>32</v>
      </c>
      <c r="AB37" s="33">
        <f t="shared" si="6"/>
        <v>0</v>
      </c>
      <c r="AC37" s="308">
        <f t="shared" si="7"/>
        <v>0</v>
      </c>
      <c r="AD37" s="101">
        <f t="shared" si="8"/>
        <v>0</v>
      </c>
      <c r="AE37" s="101">
        <f t="shared" si="9"/>
        <v>0</v>
      </c>
      <c r="AF37" s="197">
        <f t="shared" si="36"/>
        <v>0</v>
      </c>
      <c r="AG37" s="197">
        <f t="shared" si="37"/>
        <v>0</v>
      </c>
      <c r="AH37" s="197">
        <f t="shared" si="38"/>
        <v>0</v>
      </c>
      <c r="AI37" s="202">
        <f t="shared" si="39"/>
        <v>0</v>
      </c>
      <c r="AK37" s="71">
        <v>32</v>
      </c>
      <c r="AL37" s="33">
        <f t="shared" si="10"/>
        <v>0</v>
      </c>
      <c r="AM37" s="33">
        <f t="shared" si="11"/>
        <v>0</v>
      </c>
      <c r="AN37" s="33">
        <f t="shared" si="12"/>
        <v>0</v>
      </c>
      <c r="AO37" s="33">
        <f t="shared" si="13"/>
        <v>0</v>
      </c>
      <c r="AP37" s="33">
        <f t="shared" si="14"/>
        <v>0</v>
      </c>
      <c r="AQ37" s="197">
        <f t="shared" si="41"/>
        <v>0</v>
      </c>
      <c r="AR37" s="197">
        <f t="shared" si="42"/>
        <v>0</v>
      </c>
      <c r="AS37" s="197">
        <f t="shared" si="43"/>
        <v>0</v>
      </c>
      <c r="AT37" s="197">
        <f t="shared" si="44"/>
        <v>0</v>
      </c>
      <c r="AU37" s="33"/>
      <c r="AV37" s="33"/>
      <c r="AW37" s="33"/>
      <c r="AX37" s="33"/>
      <c r="AY37" s="76"/>
    </row>
    <row r="38" spans="2:51">
      <c r="B38" s="40">
        <f t="shared" si="34"/>
        <v>50</v>
      </c>
      <c r="C38" s="155">
        <f t="shared" si="40"/>
        <v>51</v>
      </c>
      <c r="D38" s="140">
        <v>203</v>
      </c>
      <c r="E38" s="144">
        <f t="shared" si="32"/>
        <v>1.56</v>
      </c>
      <c r="F38" s="42">
        <f t="shared" si="33"/>
        <v>316.68</v>
      </c>
      <c r="G38" s="51">
        <f t="shared" si="35"/>
        <v>-43.680000000000007</v>
      </c>
      <c r="I38" s="55">
        <v>33</v>
      </c>
      <c r="J38" s="33">
        <f t="shared" si="21"/>
        <v>5</v>
      </c>
      <c r="K38" s="33">
        <f t="shared" si="22"/>
        <v>1.910565629709926</v>
      </c>
      <c r="L38" s="33">
        <f t="shared" si="23"/>
        <v>45</v>
      </c>
      <c r="M38" s="33">
        <f t="shared" si="24"/>
        <v>0</v>
      </c>
      <c r="N38" s="33">
        <f t="shared" si="0"/>
        <v>0</v>
      </c>
      <c r="O38" s="34">
        <f t="shared" si="1"/>
        <v>177.03590180507811</v>
      </c>
      <c r="P38" s="55">
        <v>33</v>
      </c>
      <c r="Q38" s="33">
        <f t="shared" si="19"/>
        <v>21.060000000000002</v>
      </c>
      <c r="R38" s="33">
        <f t="shared" si="25"/>
        <v>187.2</v>
      </c>
      <c r="S38" s="33">
        <f t="shared" si="26"/>
        <v>104.83200000000001</v>
      </c>
      <c r="T38" s="33">
        <f t="shared" si="2"/>
        <v>28.109974371137717</v>
      </c>
      <c r="U38" s="33">
        <f t="shared" si="20"/>
        <v>55.96750340942021</v>
      </c>
      <c r="V38" s="33">
        <f t="shared" si="3"/>
        <v>10</v>
      </c>
      <c r="W38" s="33">
        <v>0</v>
      </c>
      <c r="X38" s="33">
        <f t="shared" si="4"/>
        <v>473.42145119760562</v>
      </c>
      <c r="Y38" s="38">
        <f t="shared" si="5"/>
        <v>296.38554939252754</v>
      </c>
      <c r="AA38" s="71">
        <v>33</v>
      </c>
      <c r="AB38" s="33">
        <f t="shared" si="6"/>
        <v>0</v>
      </c>
      <c r="AC38" s="308">
        <f t="shared" si="7"/>
        <v>0</v>
      </c>
      <c r="AD38" s="101">
        <f t="shared" si="8"/>
        <v>0</v>
      </c>
      <c r="AE38" s="101">
        <f t="shared" si="9"/>
        <v>0</v>
      </c>
      <c r="AF38" s="197">
        <f t="shared" si="36"/>
        <v>0</v>
      </c>
      <c r="AG38" s="197">
        <f t="shared" si="37"/>
        <v>0</v>
      </c>
      <c r="AH38" s="197">
        <f t="shared" si="38"/>
        <v>0</v>
      </c>
      <c r="AI38" s="202">
        <f t="shared" si="39"/>
        <v>0</v>
      </c>
      <c r="AK38" s="71">
        <v>33</v>
      </c>
      <c r="AL38" s="33">
        <f t="shared" si="10"/>
        <v>0</v>
      </c>
      <c r="AM38" s="33">
        <f t="shared" si="11"/>
        <v>0</v>
      </c>
      <c r="AN38" s="33">
        <f t="shared" si="12"/>
        <v>0</v>
      </c>
      <c r="AO38" s="33">
        <f t="shared" si="13"/>
        <v>0</v>
      </c>
      <c r="AP38" s="33">
        <f t="shared" si="14"/>
        <v>0</v>
      </c>
      <c r="AQ38" s="197">
        <f t="shared" si="41"/>
        <v>0</v>
      </c>
      <c r="AR38" s="197">
        <f t="shared" si="42"/>
        <v>0</v>
      </c>
      <c r="AS38" s="197">
        <f t="shared" si="43"/>
        <v>0</v>
      </c>
      <c r="AT38" s="197">
        <f t="shared" si="44"/>
        <v>0</v>
      </c>
      <c r="AU38" s="33"/>
      <c r="AV38" s="33"/>
      <c r="AW38" s="33"/>
      <c r="AX38" s="33"/>
      <c r="AY38" s="76"/>
    </row>
    <row r="39" spans="2:51">
      <c r="B39" s="40">
        <f t="shared" si="34"/>
        <v>51</v>
      </c>
      <c r="C39" s="155">
        <f t="shared" si="40"/>
        <v>55</v>
      </c>
      <c r="D39" s="140">
        <f>D40+28</f>
        <v>254</v>
      </c>
      <c r="E39" s="144">
        <f t="shared" si="32"/>
        <v>1.56</v>
      </c>
      <c r="F39" s="42">
        <f t="shared" si="33"/>
        <v>396.24</v>
      </c>
      <c r="G39" s="51">
        <f t="shared" si="35"/>
        <v>19.89</v>
      </c>
      <c r="I39" s="55">
        <v>34</v>
      </c>
      <c r="J39" s="33">
        <f t="shared" si="21"/>
        <v>5</v>
      </c>
      <c r="K39" s="33">
        <f t="shared" si="22"/>
        <v>1.910565629709926</v>
      </c>
      <c r="L39" s="33">
        <f t="shared" si="23"/>
        <v>45</v>
      </c>
      <c r="M39" s="33">
        <f t="shared" si="24"/>
        <v>0</v>
      </c>
      <c r="N39" s="33">
        <f t="shared" si="0"/>
        <v>0</v>
      </c>
      <c r="O39" s="34">
        <f t="shared" si="1"/>
        <v>177.03590180507811</v>
      </c>
      <c r="P39" s="55">
        <v>34</v>
      </c>
      <c r="Q39" s="33">
        <f t="shared" si="19"/>
        <v>21.060000000000002</v>
      </c>
      <c r="R39" s="33">
        <f t="shared" si="25"/>
        <v>208.26</v>
      </c>
      <c r="S39" s="33">
        <f t="shared" si="26"/>
        <v>116.62560000000001</v>
      </c>
      <c r="T39" s="33">
        <f t="shared" si="2"/>
        <v>30.886674195614219</v>
      </c>
      <c r="U39" s="33">
        <f t="shared" si="20"/>
        <v>56.210935853304257</v>
      </c>
      <c r="V39" s="33">
        <f t="shared" si="3"/>
        <v>10</v>
      </c>
      <c r="W39" s="33">
        <v>0</v>
      </c>
      <c r="X39" s="33">
        <f t="shared" si="4"/>
        <v>499.69064235281047</v>
      </c>
      <c r="Y39" s="38">
        <f t="shared" si="5"/>
        <v>322.65474054773233</v>
      </c>
      <c r="AA39" s="71">
        <v>34</v>
      </c>
      <c r="AB39" s="33">
        <f t="shared" si="6"/>
        <v>0</v>
      </c>
      <c r="AC39" s="308">
        <f t="shared" si="7"/>
        <v>0</v>
      </c>
      <c r="AD39" s="101">
        <f t="shared" si="8"/>
        <v>0</v>
      </c>
      <c r="AE39" s="101">
        <f t="shared" si="9"/>
        <v>0</v>
      </c>
      <c r="AF39" s="197">
        <f t="shared" si="36"/>
        <v>0</v>
      </c>
      <c r="AG39" s="197">
        <f t="shared" si="37"/>
        <v>0</v>
      </c>
      <c r="AH39" s="197">
        <f t="shared" si="38"/>
        <v>0</v>
      </c>
      <c r="AI39" s="202">
        <f t="shared" si="39"/>
        <v>0</v>
      </c>
      <c r="AK39" s="71">
        <v>34</v>
      </c>
      <c r="AL39" s="33">
        <f t="shared" si="10"/>
        <v>0</v>
      </c>
      <c r="AM39" s="33">
        <f t="shared" si="11"/>
        <v>0</v>
      </c>
      <c r="AN39" s="33">
        <f t="shared" si="12"/>
        <v>0</v>
      </c>
      <c r="AO39" s="33">
        <f t="shared" si="13"/>
        <v>0</v>
      </c>
      <c r="AP39" s="33">
        <f t="shared" si="14"/>
        <v>0</v>
      </c>
      <c r="AQ39" s="197">
        <f t="shared" si="41"/>
        <v>0</v>
      </c>
      <c r="AR39" s="197">
        <f t="shared" si="42"/>
        <v>0</v>
      </c>
      <c r="AS39" s="197">
        <f t="shared" si="43"/>
        <v>0</v>
      </c>
      <c r="AT39" s="197">
        <f t="shared" si="44"/>
        <v>0</v>
      </c>
      <c r="AU39" s="33"/>
      <c r="AV39" s="33"/>
      <c r="AW39" s="33"/>
      <c r="AX39" s="33"/>
      <c r="AY39" s="76"/>
    </row>
    <row r="40" spans="2:51">
      <c r="B40" s="40">
        <f t="shared" si="34"/>
        <v>55</v>
      </c>
      <c r="C40" s="155">
        <f t="shared" si="40"/>
        <v>56</v>
      </c>
      <c r="D40" s="140">
        <v>226</v>
      </c>
      <c r="E40" s="144">
        <f t="shared" si="32"/>
        <v>1.56</v>
      </c>
      <c r="F40" s="42">
        <f t="shared" si="33"/>
        <v>352.56</v>
      </c>
      <c r="G40" s="51">
        <f t="shared" si="35"/>
        <v>-43.680000000000007</v>
      </c>
      <c r="I40" s="55">
        <v>35</v>
      </c>
      <c r="J40" s="33">
        <f t="shared" si="21"/>
        <v>5</v>
      </c>
      <c r="K40" s="33">
        <f t="shared" si="22"/>
        <v>1.910565629709926</v>
      </c>
      <c r="L40" s="33">
        <f t="shared" si="23"/>
        <v>45</v>
      </c>
      <c r="M40" s="33">
        <f t="shared" si="24"/>
        <v>0</v>
      </c>
      <c r="N40" s="33">
        <f t="shared" si="0"/>
        <v>0</v>
      </c>
      <c r="O40" s="34">
        <f t="shared" si="1"/>
        <v>177.03590180507811</v>
      </c>
      <c r="P40" s="55">
        <v>35</v>
      </c>
      <c r="Q40" s="33">
        <f t="shared" si="19"/>
        <v>21.060000000000002</v>
      </c>
      <c r="R40" s="33">
        <f t="shared" si="25"/>
        <v>229.32</v>
      </c>
      <c r="S40" s="33">
        <f t="shared" si="26"/>
        <v>128.41920000000002</v>
      </c>
      <c r="T40" s="33">
        <f t="shared" si="2"/>
        <v>33.630823177860762</v>
      </c>
      <c r="U40" s="33">
        <f t="shared" si="20"/>
        <v>56.450145288520318</v>
      </c>
      <c r="V40" s="33">
        <f t="shared" si="3"/>
        <v>10</v>
      </c>
      <c r="W40" s="33">
        <v>0</v>
      </c>
      <c r="X40" s="33">
        <f t="shared" si="4"/>
        <v>525.88765642601538</v>
      </c>
      <c r="Y40" s="38">
        <f t="shared" si="5"/>
        <v>348.8517546209373</v>
      </c>
      <c r="AA40" s="71">
        <v>35</v>
      </c>
      <c r="AB40" s="33">
        <f t="shared" si="6"/>
        <v>0</v>
      </c>
      <c r="AC40" s="308">
        <f t="shared" si="7"/>
        <v>0</v>
      </c>
      <c r="AD40" s="101">
        <f t="shared" si="8"/>
        <v>0</v>
      </c>
      <c r="AE40" s="101">
        <f t="shared" si="9"/>
        <v>0</v>
      </c>
      <c r="AF40" s="197">
        <f t="shared" si="36"/>
        <v>0</v>
      </c>
      <c r="AG40" s="197">
        <f t="shared" si="37"/>
        <v>0</v>
      </c>
      <c r="AH40" s="197">
        <f t="shared" si="38"/>
        <v>0</v>
      </c>
      <c r="AI40" s="202">
        <f t="shared" si="39"/>
        <v>0</v>
      </c>
      <c r="AK40" s="71">
        <v>35</v>
      </c>
      <c r="AL40" s="33">
        <f t="shared" si="10"/>
        <v>0</v>
      </c>
      <c r="AM40" s="33">
        <f t="shared" si="11"/>
        <v>0</v>
      </c>
      <c r="AN40" s="33">
        <f t="shared" si="12"/>
        <v>0</v>
      </c>
      <c r="AO40" s="33">
        <f t="shared" si="13"/>
        <v>0</v>
      </c>
      <c r="AP40" s="33">
        <f t="shared" si="14"/>
        <v>0</v>
      </c>
      <c r="AQ40" s="197">
        <f t="shared" si="41"/>
        <v>0</v>
      </c>
      <c r="AR40" s="197">
        <f t="shared" si="42"/>
        <v>0</v>
      </c>
      <c r="AS40" s="197">
        <f t="shared" si="43"/>
        <v>0</v>
      </c>
      <c r="AT40" s="197">
        <f t="shared" si="44"/>
        <v>0</v>
      </c>
      <c r="AU40" s="33"/>
      <c r="AV40" s="33"/>
      <c r="AW40" s="33"/>
      <c r="AX40" s="33"/>
      <c r="AY40" s="76"/>
    </row>
    <row r="41" spans="2:51">
      <c r="B41" s="40">
        <f t="shared" si="34"/>
        <v>56</v>
      </c>
      <c r="C41" s="155">
        <f t="shared" si="40"/>
        <v>60</v>
      </c>
      <c r="D41" s="140">
        <f>D42+28</f>
        <v>273</v>
      </c>
      <c r="E41" s="144">
        <f t="shared" si="32"/>
        <v>1.56</v>
      </c>
      <c r="F41" s="42">
        <f t="shared" si="33"/>
        <v>425.88</v>
      </c>
      <c r="G41" s="51">
        <f t="shared" si="35"/>
        <v>18.329999999999998</v>
      </c>
      <c r="I41" s="55">
        <v>36</v>
      </c>
      <c r="J41" s="33">
        <f t="shared" si="21"/>
        <v>5</v>
      </c>
      <c r="K41" s="33">
        <f t="shared" si="22"/>
        <v>1.910565629709926</v>
      </c>
      <c r="L41" s="33">
        <f t="shared" si="23"/>
        <v>45</v>
      </c>
      <c r="M41" s="33">
        <f t="shared" si="24"/>
        <v>0</v>
      </c>
      <c r="N41" s="33">
        <f t="shared" si="0"/>
        <v>0</v>
      </c>
      <c r="O41" s="34">
        <f t="shared" si="1"/>
        <v>177.03590180507811</v>
      </c>
      <c r="P41" s="55">
        <v>36</v>
      </c>
      <c r="Q41" s="33">
        <f t="shared" si="19"/>
        <v>-43.680000000000007</v>
      </c>
      <c r="R41" s="33">
        <f t="shared" si="25"/>
        <v>185.64</v>
      </c>
      <c r="S41" s="33">
        <f t="shared" si="26"/>
        <v>103.9584</v>
      </c>
      <c r="T41" s="33">
        <f t="shared" si="2"/>
        <v>27.902890560352166</v>
      </c>
      <c r="U41" s="33">
        <f t="shared" si="20"/>
        <v>56.68520497482757</v>
      </c>
      <c r="V41" s="33">
        <f t="shared" si="3"/>
        <v>10</v>
      </c>
      <c r="W41" s="33">
        <v>0</v>
      </c>
      <c r="X41" s="33">
        <f t="shared" si="4"/>
        <v>474.17083263364776</v>
      </c>
      <c r="Y41" s="38">
        <f t="shared" si="5"/>
        <v>297.13493082856962</v>
      </c>
      <c r="AA41" s="71">
        <v>36</v>
      </c>
      <c r="AB41" s="33">
        <f t="shared" si="6"/>
        <v>28</v>
      </c>
      <c r="AC41" s="308">
        <f t="shared" si="7"/>
        <v>0.05</v>
      </c>
      <c r="AD41" s="101">
        <f t="shared" si="8"/>
        <v>0</v>
      </c>
      <c r="AE41" s="101">
        <f t="shared" si="9"/>
        <v>0</v>
      </c>
      <c r="AF41" s="197">
        <f t="shared" si="36"/>
        <v>1.3520344929839794</v>
      </c>
      <c r="AG41" s="197">
        <f t="shared" si="37"/>
        <v>0</v>
      </c>
      <c r="AH41" s="197">
        <f t="shared" si="38"/>
        <v>0</v>
      </c>
      <c r="AI41" s="202">
        <f t="shared" si="39"/>
        <v>1.3520344929839794</v>
      </c>
      <c r="AK41" s="71">
        <v>36</v>
      </c>
      <c r="AL41" s="33">
        <f t="shared" si="10"/>
        <v>28</v>
      </c>
      <c r="AM41" s="33">
        <f t="shared" si="11"/>
        <v>0.1</v>
      </c>
      <c r="AN41" s="33">
        <f t="shared" si="12"/>
        <v>0</v>
      </c>
      <c r="AO41" s="33">
        <f t="shared" si="13"/>
        <v>0</v>
      </c>
      <c r="AP41" s="33">
        <f t="shared" si="14"/>
        <v>0.9</v>
      </c>
      <c r="AQ41" s="197">
        <f t="shared" si="41"/>
        <v>2.8000000000000003</v>
      </c>
      <c r="AR41" s="197">
        <f t="shared" si="42"/>
        <v>0</v>
      </c>
      <c r="AS41" s="197">
        <f t="shared" si="43"/>
        <v>0</v>
      </c>
      <c r="AT41" s="197">
        <f t="shared" si="44"/>
        <v>25.2</v>
      </c>
      <c r="AU41" s="33"/>
      <c r="AV41" s="33"/>
      <c r="AW41" s="33"/>
      <c r="AX41" s="33"/>
      <c r="AY41" s="76"/>
    </row>
    <row r="42" spans="2:51">
      <c r="B42" s="40">
        <f t="shared" si="34"/>
        <v>60</v>
      </c>
      <c r="C42" s="155">
        <f t="shared" si="40"/>
        <v>61</v>
      </c>
      <c r="D42" s="140">
        <v>245</v>
      </c>
      <c r="E42" s="144">
        <f t="shared" si="32"/>
        <v>1.56</v>
      </c>
      <c r="F42" s="42">
        <f t="shared" si="33"/>
        <v>382.2</v>
      </c>
      <c r="G42" s="51">
        <f t="shared" si="35"/>
        <v>-43.680000000000007</v>
      </c>
      <c r="I42" s="55">
        <v>37</v>
      </c>
      <c r="J42" s="33">
        <f t="shared" si="21"/>
        <v>5</v>
      </c>
      <c r="K42" s="33">
        <f t="shared" si="22"/>
        <v>1.910565629709926</v>
      </c>
      <c r="L42" s="33">
        <f t="shared" si="23"/>
        <v>45</v>
      </c>
      <c r="M42" s="33">
        <f t="shared" si="24"/>
        <v>0</v>
      </c>
      <c r="N42" s="33">
        <f t="shared" si="0"/>
        <v>0</v>
      </c>
      <c r="O42" s="34">
        <f t="shared" si="1"/>
        <v>177.03590180507811</v>
      </c>
      <c r="P42" s="55">
        <v>37</v>
      </c>
      <c r="Q42" s="33">
        <f t="shared" si="19"/>
        <v>21.839999999999996</v>
      </c>
      <c r="R42" s="33">
        <f t="shared" si="25"/>
        <v>207.48</v>
      </c>
      <c r="S42" s="33">
        <f t="shared" si="26"/>
        <v>116.1888</v>
      </c>
      <c r="T42" s="33">
        <f t="shared" si="2"/>
        <v>30.784436657961731</v>
      </c>
      <c r="U42" s="33">
        <f t="shared" si="20"/>
        <v>56.916186901092118</v>
      </c>
      <c r="V42" s="33">
        <f t="shared" si="3"/>
        <v>10</v>
      </c>
      <c r="W42" s="33">
        <v>0</v>
      </c>
      <c r="X42" s="33">
        <f t="shared" si="4"/>
        <v>501.33773914995442</v>
      </c>
      <c r="Y42" s="38">
        <f t="shared" si="5"/>
        <v>324.30183734487628</v>
      </c>
      <c r="AA42" s="71">
        <v>37</v>
      </c>
      <c r="AB42" s="33">
        <f t="shared" si="6"/>
        <v>0</v>
      </c>
      <c r="AC42" s="308">
        <f t="shared" si="7"/>
        <v>0</v>
      </c>
      <c r="AD42" s="101">
        <f t="shared" si="8"/>
        <v>0</v>
      </c>
      <c r="AE42" s="101">
        <f t="shared" si="9"/>
        <v>0</v>
      </c>
      <c r="AF42" s="197">
        <f t="shared" si="36"/>
        <v>1.325521921236176</v>
      </c>
      <c r="AG42" s="197">
        <f t="shared" si="37"/>
        <v>0</v>
      </c>
      <c r="AH42" s="197">
        <f t="shared" si="38"/>
        <v>0</v>
      </c>
      <c r="AI42" s="202">
        <f t="shared" si="39"/>
        <v>1.325521921236176</v>
      </c>
      <c r="AK42" s="71">
        <v>37</v>
      </c>
      <c r="AL42" s="33">
        <f t="shared" si="10"/>
        <v>0</v>
      </c>
      <c r="AM42" s="33">
        <f t="shared" si="11"/>
        <v>0</v>
      </c>
      <c r="AN42" s="33">
        <f t="shared" si="12"/>
        <v>0</v>
      </c>
      <c r="AO42" s="33">
        <f t="shared" si="13"/>
        <v>0</v>
      </c>
      <c r="AP42" s="33">
        <f t="shared" si="14"/>
        <v>0</v>
      </c>
      <c r="AQ42" s="197">
        <f t="shared" si="41"/>
        <v>0</v>
      </c>
      <c r="AR42" s="197">
        <f t="shared" si="42"/>
        <v>0</v>
      </c>
      <c r="AS42" s="197">
        <f t="shared" si="43"/>
        <v>0</v>
      </c>
      <c r="AT42" s="197">
        <f t="shared" si="44"/>
        <v>0</v>
      </c>
      <c r="AU42" s="33"/>
      <c r="AV42" s="33"/>
      <c r="AW42" s="33"/>
      <c r="AX42" s="33"/>
      <c r="AY42" s="76"/>
    </row>
    <row r="43" spans="2:51">
      <c r="B43" s="40">
        <f t="shared" si="34"/>
        <v>61</v>
      </c>
      <c r="C43" s="155">
        <f t="shared" si="40"/>
        <v>65</v>
      </c>
      <c r="D43" s="140">
        <f>D44+28</f>
        <v>289</v>
      </c>
      <c r="E43" s="144">
        <f t="shared" si="32"/>
        <v>1.56</v>
      </c>
      <c r="F43" s="42">
        <f t="shared" si="33"/>
        <v>450.84000000000003</v>
      </c>
      <c r="G43" s="51">
        <f t="shared" si="35"/>
        <v>17.160000000000011</v>
      </c>
      <c r="I43" s="55">
        <v>38</v>
      </c>
      <c r="J43" s="33">
        <f t="shared" si="21"/>
        <v>5</v>
      </c>
      <c r="K43" s="33">
        <f t="shared" si="22"/>
        <v>1.910565629709926</v>
      </c>
      <c r="L43" s="33">
        <f t="shared" si="23"/>
        <v>45</v>
      </c>
      <c r="M43" s="33">
        <f t="shared" si="24"/>
        <v>0</v>
      </c>
      <c r="N43" s="33">
        <f t="shared" si="0"/>
        <v>0</v>
      </c>
      <c r="O43" s="34">
        <f t="shared" si="1"/>
        <v>177.03590180507811</v>
      </c>
      <c r="P43" s="55">
        <v>38</v>
      </c>
      <c r="Q43" s="33">
        <f t="shared" si="19"/>
        <v>21.839999999999996</v>
      </c>
      <c r="R43" s="33">
        <f t="shared" si="25"/>
        <v>229.32</v>
      </c>
      <c r="S43" s="33">
        <f t="shared" si="26"/>
        <v>128.41920000000002</v>
      </c>
      <c r="T43" s="33">
        <f t="shared" si="2"/>
        <v>33.630823177860762</v>
      </c>
      <c r="U43" s="33">
        <f t="shared" si="20"/>
        <v>57.143161807334202</v>
      </c>
      <c r="V43" s="33">
        <f t="shared" si="3"/>
        <v>10</v>
      </c>
      <c r="W43" s="33">
        <v>0</v>
      </c>
      <c r="X43" s="33">
        <f t="shared" si="4"/>
        <v>528.42871699499972</v>
      </c>
      <c r="Y43" s="38">
        <f t="shared" si="5"/>
        <v>351.39281518992163</v>
      </c>
      <c r="AA43" s="71">
        <v>38</v>
      </c>
      <c r="AB43" s="33">
        <f t="shared" si="6"/>
        <v>0</v>
      </c>
      <c r="AC43" s="308">
        <f t="shared" si="7"/>
        <v>0</v>
      </c>
      <c r="AD43" s="101">
        <f t="shared" si="8"/>
        <v>0</v>
      </c>
      <c r="AE43" s="101">
        <f t="shared" si="9"/>
        <v>0</v>
      </c>
      <c r="AF43" s="197">
        <f t="shared" si="36"/>
        <v>1.2995292448492748</v>
      </c>
      <c r="AG43" s="197">
        <f t="shared" si="37"/>
        <v>0</v>
      </c>
      <c r="AH43" s="197">
        <f t="shared" si="38"/>
        <v>0</v>
      </c>
      <c r="AI43" s="202">
        <f t="shared" si="39"/>
        <v>1.2995292448492748</v>
      </c>
      <c r="AK43" s="71">
        <v>38</v>
      </c>
      <c r="AL43" s="33">
        <f t="shared" si="10"/>
        <v>0</v>
      </c>
      <c r="AM43" s="33">
        <f t="shared" si="11"/>
        <v>0</v>
      </c>
      <c r="AN43" s="33">
        <f t="shared" si="12"/>
        <v>0</v>
      </c>
      <c r="AO43" s="33">
        <f t="shared" si="13"/>
        <v>0</v>
      </c>
      <c r="AP43" s="33">
        <f t="shared" si="14"/>
        <v>0</v>
      </c>
      <c r="AQ43" s="197">
        <f t="shared" si="41"/>
        <v>0</v>
      </c>
      <c r="AR43" s="197">
        <f t="shared" si="42"/>
        <v>0</v>
      </c>
      <c r="AS43" s="197">
        <f t="shared" si="43"/>
        <v>0</v>
      </c>
      <c r="AT43" s="197">
        <f t="shared" si="44"/>
        <v>0</v>
      </c>
      <c r="AU43" s="33"/>
      <c r="AV43" s="33"/>
      <c r="AW43" s="33"/>
      <c r="AX43" s="33"/>
      <c r="AY43" s="76"/>
    </row>
    <row r="44" spans="2:51">
      <c r="B44" s="40">
        <f t="shared" si="34"/>
        <v>65</v>
      </c>
      <c r="C44" s="155">
        <f t="shared" si="40"/>
        <v>66</v>
      </c>
      <c r="D44" s="140">
        <v>261</v>
      </c>
      <c r="E44" s="144">
        <f t="shared" si="32"/>
        <v>1.56</v>
      </c>
      <c r="F44" s="42">
        <f t="shared" si="33"/>
        <v>407.16</v>
      </c>
      <c r="G44" s="51">
        <f t="shared" si="35"/>
        <v>-43.680000000000007</v>
      </c>
      <c r="I44" s="55">
        <v>39</v>
      </c>
      <c r="J44" s="33">
        <f t="shared" si="21"/>
        <v>5</v>
      </c>
      <c r="K44" s="33">
        <f t="shared" si="22"/>
        <v>1.910565629709926</v>
      </c>
      <c r="L44" s="33">
        <f t="shared" si="23"/>
        <v>45</v>
      </c>
      <c r="M44" s="33">
        <f t="shared" si="24"/>
        <v>0</v>
      </c>
      <c r="N44" s="33">
        <f t="shared" si="0"/>
        <v>0</v>
      </c>
      <c r="O44" s="34">
        <f t="shared" si="1"/>
        <v>177.03590180507811</v>
      </c>
      <c r="P44" s="55">
        <v>39</v>
      </c>
      <c r="Q44" s="33">
        <f t="shared" si="19"/>
        <v>21.839999999999996</v>
      </c>
      <c r="R44" s="33">
        <f t="shared" si="25"/>
        <v>251.16</v>
      </c>
      <c r="S44" s="33">
        <f t="shared" si="26"/>
        <v>140.64960000000002</v>
      </c>
      <c r="T44" s="33">
        <f t="shared" si="2"/>
        <v>36.445779615258601</v>
      </c>
      <c r="U44" s="33">
        <f t="shared" si="20"/>
        <v>57.366199206392857</v>
      </c>
      <c r="V44" s="33">
        <f t="shared" si="3"/>
        <v>10</v>
      </c>
      <c r="W44" s="33">
        <v>0</v>
      </c>
      <c r="X44" s="33">
        <f t="shared" si="4"/>
        <v>555.45051658668251</v>
      </c>
      <c r="Y44" s="38">
        <f t="shared" si="5"/>
        <v>378.41461478160443</v>
      </c>
      <c r="AA44" s="71">
        <v>39</v>
      </c>
      <c r="AB44" s="33">
        <f t="shared" si="6"/>
        <v>0</v>
      </c>
      <c r="AC44" s="308">
        <f t="shared" si="7"/>
        <v>0</v>
      </c>
      <c r="AD44" s="101">
        <f t="shared" si="8"/>
        <v>0</v>
      </c>
      <c r="AE44" s="101">
        <f t="shared" si="9"/>
        <v>0</v>
      </c>
      <c r="AF44" s="197">
        <f t="shared" si="36"/>
        <v>1.2740462689923537</v>
      </c>
      <c r="AG44" s="197">
        <f t="shared" si="37"/>
        <v>0</v>
      </c>
      <c r="AH44" s="197">
        <f t="shared" si="38"/>
        <v>0</v>
      </c>
      <c r="AI44" s="202">
        <f t="shared" si="39"/>
        <v>1.2740462689923537</v>
      </c>
      <c r="AK44" s="71">
        <v>39</v>
      </c>
      <c r="AL44" s="33">
        <f t="shared" si="10"/>
        <v>0</v>
      </c>
      <c r="AM44" s="33">
        <f t="shared" si="11"/>
        <v>0</v>
      </c>
      <c r="AN44" s="33">
        <f t="shared" si="12"/>
        <v>0</v>
      </c>
      <c r="AO44" s="33">
        <f t="shared" si="13"/>
        <v>0</v>
      </c>
      <c r="AP44" s="33">
        <f t="shared" si="14"/>
        <v>0</v>
      </c>
      <c r="AQ44" s="197">
        <f t="shared" si="41"/>
        <v>0</v>
      </c>
      <c r="AR44" s="197">
        <f t="shared" si="42"/>
        <v>0</v>
      </c>
      <c r="AS44" s="197">
        <f t="shared" si="43"/>
        <v>0</v>
      </c>
      <c r="AT44" s="197">
        <f t="shared" si="44"/>
        <v>0</v>
      </c>
      <c r="AU44" s="33"/>
      <c r="AV44" s="33"/>
      <c r="AW44" s="33"/>
      <c r="AX44" s="33"/>
      <c r="AY44" s="76"/>
    </row>
    <row r="45" spans="2:51">
      <c r="B45" s="40">
        <f t="shared" si="34"/>
        <v>66</v>
      </c>
      <c r="C45" s="155">
        <f t="shared" si="40"/>
        <v>70</v>
      </c>
      <c r="D45" s="140">
        <f>D46+28</f>
        <v>302</v>
      </c>
      <c r="E45" s="144">
        <f t="shared" si="32"/>
        <v>1.56</v>
      </c>
      <c r="F45" s="42">
        <f t="shared" si="33"/>
        <v>471.12</v>
      </c>
      <c r="G45" s="51">
        <f t="shared" si="35"/>
        <v>15.989999999999995</v>
      </c>
      <c r="I45" s="55">
        <v>40</v>
      </c>
      <c r="J45" s="33">
        <f t="shared" si="21"/>
        <v>5</v>
      </c>
      <c r="K45" s="33">
        <f t="shared" si="22"/>
        <v>1.910565629709926</v>
      </c>
      <c r="L45" s="33">
        <f t="shared" si="23"/>
        <v>45</v>
      </c>
      <c r="M45" s="33">
        <f t="shared" si="24"/>
        <v>0</v>
      </c>
      <c r="N45" s="33">
        <f t="shared" si="0"/>
        <v>0</v>
      </c>
      <c r="O45" s="34">
        <f t="shared" si="1"/>
        <v>177.03590180507811</v>
      </c>
      <c r="P45" s="55">
        <v>40</v>
      </c>
      <c r="Q45" s="33">
        <f t="shared" si="19"/>
        <v>21.839999999999996</v>
      </c>
      <c r="R45" s="33">
        <f t="shared" si="25"/>
        <v>273</v>
      </c>
      <c r="S45" s="33">
        <f t="shared" si="26"/>
        <v>152.88000000000002</v>
      </c>
      <c r="T45" s="33">
        <f t="shared" si="2"/>
        <v>39.232349774697852</v>
      </c>
      <c r="U45" s="33">
        <f t="shared" si="20"/>
        <v>57.585367405214768</v>
      </c>
      <c r="V45" s="33">
        <f t="shared" si="3"/>
        <v>10</v>
      </c>
      <c r="W45" s="33">
        <v>0</v>
      </c>
      <c r="X45" s="33">
        <f t="shared" si="4"/>
        <v>582.40868967671952</v>
      </c>
      <c r="Y45" s="38">
        <f t="shared" si="5"/>
        <v>405.37278787164144</v>
      </c>
      <c r="AA45" s="71">
        <v>40</v>
      </c>
      <c r="AB45" s="33">
        <f t="shared" si="6"/>
        <v>0</v>
      </c>
      <c r="AC45" s="308">
        <f t="shared" si="7"/>
        <v>0</v>
      </c>
      <c r="AD45" s="101">
        <f t="shared" si="8"/>
        <v>0</v>
      </c>
      <c r="AE45" s="101">
        <f t="shared" si="9"/>
        <v>0</v>
      </c>
      <c r="AF45" s="197">
        <f t="shared" si="36"/>
        <v>1.2490629987489064</v>
      </c>
      <c r="AG45" s="197">
        <f t="shared" si="37"/>
        <v>0</v>
      </c>
      <c r="AH45" s="197">
        <f t="shared" si="38"/>
        <v>0</v>
      </c>
      <c r="AI45" s="202">
        <f t="shared" si="39"/>
        <v>1.2490629987489064</v>
      </c>
      <c r="AK45" s="71">
        <v>40</v>
      </c>
      <c r="AL45" s="33">
        <f t="shared" si="10"/>
        <v>0</v>
      </c>
      <c r="AM45" s="33">
        <f t="shared" si="11"/>
        <v>0</v>
      </c>
      <c r="AN45" s="33">
        <f t="shared" si="12"/>
        <v>0</v>
      </c>
      <c r="AO45" s="33">
        <f t="shared" si="13"/>
        <v>0</v>
      </c>
      <c r="AP45" s="33">
        <f t="shared" si="14"/>
        <v>0</v>
      </c>
      <c r="AQ45" s="197">
        <f t="shared" si="41"/>
        <v>0</v>
      </c>
      <c r="AR45" s="197">
        <f t="shared" si="42"/>
        <v>0</v>
      </c>
      <c r="AS45" s="197">
        <f t="shared" si="43"/>
        <v>0</v>
      </c>
      <c r="AT45" s="197">
        <f t="shared" si="44"/>
        <v>0</v>
      </c>
      <c r="AU45" s="33"/>
      <c r="AV45" s="33"/>
      <c r="AW45" s="33"/>
      <c r="AX45" s="33"/>
      <c r="AY45" s="76"/>
    </row>
    <row r="46" spans="2:51">
      <c r="B46" s="40">
        <f t="shared" si="34"/>
        <v>70</v>
      </c>
      <c r="C46" s="155">
        <f t="shared" si="40"/>
        <v>71</v>
      </c>
      <c r="D46" s="140">
        <v>274</v>
      </c>
      <c r="E46" s="144">
        <f t="shared" si="32"/>
        <v>1.56</v>
      </c>
      <c r="F46" s="42">
        <f t="shared" si="33"/>
        <v>427.44</v>
      </c>
      <c r="G46" s="51">
        <f t="shared" si="35"/>
        <v>-43.680000000000007</v>
      </c>
      <c r="I46" s="55">
        <v>41</v>
      </c>
      <c r="J46" s="33">
        <f t="shared" si="21"/>
        <v>5</v>
      </c>
      <c r="K46" s="33">
        <f t="shared" si="22"/>
        <v>1.910565629709926</v>
      </c>
      <c r="L46" s="33">
        <f t="shared" si="23"/>
        <v>45</v>
      </c>
      <c r="M46" s="33">
        <f t="shared" si="24"/>
        <v>0</v>
      </c>
      <c r="N46" s="33">
        <f t="shared" si="0"/>
        <v>0</v>
      </c>
      <c r="O46" s="34">
        <f t="shared" si="1"/>
        <v>177.03590180507811</v>
      </c>
      <c r="P46" s="55">
        <v>41</v>
      </c>
      <c r="Q46" s="33">
        <f t="shared" si="19"/>
        <v>-43.679999999999978</v>
      </c>
      <c r="R46" s="33">
        <f t="shared" si="25"/>
        <v>229.32000000000002</v>
      </c>
      <c r="S46" s="33">
        <f t="shared" si="26"/>
        <v>128.41920000000002</v>
      </c>
      <c r="T46" s="33">
        <f t="shared" si="2"/>
        <v>33.630823177860762</v>
      </c>
      <c r="U46" s="33">
        <f t="shared" si="20"/>
        <v>57.800733525773801</v>
      </c>
      <c r="V46" s="33">
        <f t="shared" si="3"/>
        <v>10</v>
      </c>
      <c r="W46" s="33">
        <v>0</v>
      </c>
      <c r="X46" s="33">
        <f t="shared" si="4"/>
        <v>530.83981329594474</v>
      </c>
      <c r="Y46" s="38">
        <f t="shared" si="5"/>
        <v>353.80391149086665</v>
      </c>
      <c r="AA46" s="71">
        <v>41</v>
      </c>
      <c r="AB46" s="33">
        <f t="shared" si="6"/>
        <v>28</v>
      </c>
      <c r="AC46" s="308">
        <f t="shared" si="7"/>
        <v>0.05</v>
      </c>
      <c r="AD46" s="101">
        <f t="shared" si="8"/>
        <v>0</v>
      </c>
      <c r="AE46" s="101">
        <f t="shared" si="9"/>
        <v>0</v>
      </c>
      <c r="AF46" s="197">
        <f t="shared" si="36"/>
        <v>2.5766041281806222</v>
      </c>
      <c r="AG46" s="197">
        <f t="shared" si="37"/>
        <v>0</v>
      </c>
      <c r="AH46" s="197">
        <f t="shared" si="38"/>
        <v>0</v>
      </c>
      <c r="AI46" s="202">
        <f t="shared" si="39"/>
        <v>2.5766041281806222</v>
      </c>
      <c r="AK46" s="71">
        <v>41</v>
      </c>
      <c r="AL46" s="33">
        <f t="shared" si="10"/>
        <v>28</v>
      </c>
      <c r="AM46" s="33">
        <f t="shared" si="11"/>
        <v>0.1</v>
      </c>
      <c r="AN46" s="33">
        <f t="shared" si="12"/>
        <v>0</v>
      </c>
      <c r="AO46" s="33">
        <f t="shared" si="13"/>
        <v>0</v>
      </c>
      <c r="AP46" s="33">
        <f t="shared" si="14"/>
        <v>0.9</v>
      </c>
      <c r="AQ46" s="197">
        <f t="shared" si="41"/>
        <v>2.8000000000000003</v>
      </c>
      <c r="AR46" s="197">
        <f t="shared" si="42"/>
        <v>0</v>
      </c>
      <c r="AS46" s="197">
        <f t="shared" si="43"/>
        <v>0</v>
      </c>
      <c r="AT46" s="197">
        <f t="shared" si="44"/>
        <v>25.2</v>
      </c>
      <c r="AU46" s="33"/>
      <c r="AV46" s="33"/>
      <c r="AW46" s="33"/>
      <c r="AX46" s="33"/>
      <c r="AY46" s="76"/>
    </row>
    <row r="47" spans="2:51">
      <c r="B47" s="40">
        <f t="shared" si="34"/>
        <v>71</v>
      </c>
      <c r="C47" s="155">
        <f t="shared" si="40"/>
        <v>75</v>
      </c>
      <c r="D47" s="140">
        <f>D48+28</f>
        <v>312</v>
      </c>
      <c r="E47" s="144">
        <f t="shared" si="32"/>
        <v>1.56</v>
      </c>
      <c r="F47" s="42">
        <f t="shared" si="33"/>
        <v>486.72</v>
      </c>
      <c r="G47" s="51">
        <f t="shared" si="35"/>
        <v>14.820000000000007</v>
      </c>
      <c r="I47" s="55">
        <v>42</v>
      </c>
      <c r="J47" s="33">
        <f t="shared" si="21"/>
        <v>5</v>
      </c>
      <c r="K47" s="33">
        <f t="shared" si="22"/>
        <v>1.910565629709926</v>
      </c>
      <c r="L47" s="33">
        <f t="shared" si="23"/>
        <v>45</v>
      </c>
      <c r="M47" s="33">
        <f t="shared" si="24"/>
        <v>0</v>
      </c>
      <c r="N47" s="33">
        <f t="shared" si="0"/>
        <v>0</v>
      </c>
      <c r="O47" s="34">
        <f t="shared" si="1"/>
        <v>177.03590180507811</v>
      </c>
      <c r="P47" s="55">
        <v>42</v>
      </c>
      <c r="Q47" s="33">
        <f t="shared" si="19"/>
        <v>22.229999999999997</v>
      </c>
      <c r="R47" s="33">
        <f t="shared" si="25"/>
        <v>251.55</v>
      </c>
      <c r="S47" s="33">
        <f t="shared" si="26"/>
        <v>140.86800000000002</v>
      </c>
      <c r="T47" s="33">
        <f t="shared" si="2"/>
        <v>36.495780519346958</v>
      </c>
      <c r="U47" s="33">
        <f t="shared" si="20"/>
        <v>58.012363525627649</v>
      </c>
      <c r="V47" s="33">
        <f t="shared" si="3"/>
        <v>10</v>
      </c>
      <c r="W47" s="33">
        <v>0</v>
      </c>
      <c r="X47" s="33">
        <f t="shared" si="4"/>
        <v>558.28725066516415</v>
      </c>
      <c r="Y47" s="38">
        <f t="shared" si="5"/>
        <v>381.25134886008607</v>
      </c>
      <c r="AA47" s="71">
        <v>42</v>
      </c>
      <c r="AB47" s="33">
        <f t="shared" si="6"/>
        <v>0</v>
      </c>
      <c r="AC47" s="308">
        <f t="shared" si="7"/>
        <v>0</v>
      </c>
      <c r="AD47" s="101">
        <f t="shared" si="8"/>
        <v>0</v>
      </c>
      <c r="AE47" s="101">
        <f t="shared" si="9"/>
        <v>0</v>
      </c>
      <c r="AF47" s="197">
        <f t="shared" si="36"/>
        <v>2.5260784928003384</v>
      </c>
      <c r="AG47" s="197">
        <f t="shared" si="37"/>
        <v>0</v>
      </c>
      <c r="AH47" s="197">
        <f t="shared" si="38"/>
        <v>0</v>
      </c>
      <c r="AI47" s="202">
        <f t="shared" si="39"/>
        <v>2.5260784928003384</v>
      </c>
      <c r="AK47" s="71">
        <v>42</v>
      </c>
      <c r="AL47" s="33">
        <f t="shared" si="10"/>
        <v>0</v>
      </c>
      <c r="AM47" s="33">
        <f t="shared" si="11"/>
        <v>0</v>
      </c>
      <c r="AN47" s="33">
        <f t="shared" si="12"/>
        <v>0</v>
      </c>
      <c r="AO47" s="33">
        <f t="shared" si="13"/>
        <v>0</v>
      </c>
      <c r="AP47" s="33">
        <f t="shared" si="14"/>
        <v>0</v>
      </c>
      <c r="AQ47" s="197">
        <f t="shared" si="41"/>
        <v>0</v>
      </c>
      <c r="AR47" s="197">
        <f t="shared" si="42"/>
        <v>0</v>
      </c>
      <c r="AS47" s="197">
        <f t="shared" si="43"/>
        <v>0</v>
      </c>
      <c r="AT47" s="197">
        <f t="shared" si="44"/>
        <v>0</v>
      </c>
      <c r="AU47" s="33"/>
      <c r="AV47" s="33"/>
      <c r="AW47" s="33"/>
      <c r="AX47" s="33"/>
      <c r="AY47" s="76"/>
    </row>
    <row r="48" spans="2:51">
      <c r="B48" s="40">
        <f t="shared" si="34"/>
        <v>75</v>
      </c>
      <c r="C48" s="155">
        <f t="shared" si="40"/>
        <v>76</v>
      </c>
      <c r="D48" s="140">
        <v>284</v>
      </c>
      <c r="E48" s="144">
        <f t="shared" si="32"/>
        <v>1.56</v>
      </c>
      <c r="F48" s="42">
        <f t="shared" ref="F48:F78" si="45">D48*E48</f>
        <v>443.04</v>
      </c>
      <c r="G48" s="51">
        <f t="shared" ref="G48:G78" si="46">(F48-F47)/(C48-B48)</f>
        <v>-43.680000000000007</v>
      </c>
      <c r="I48" s="55">
        <v>43</v>
      </c>
      <c r="J48" s="33">
        <f t="shared" si="21"/>
        <v>5</v>
      </c>
      <c r="K48" s="33">
        <f t="shared" si="22"/>
        <v>1.910565629709926</v>
      </c>
      <c r="L48" s="33">
        <f t="shared" si="23"/>
        <v>45</v>
      </c>
      <c r="M48" s="33">
        <f t="shared" si="24"/>
        <v>0</v>
      </c>
      <c r="N48" s="33">
        <f t="shared" si="0"/>
        <v>0</v>
      </c>
      <c r="O48" s="34">
        <f t="shared" si="1"/>
        <v>177.03590180507811</v>
      </c>
      <c r="P48" s="55">
        <v>43</v>
      </c>
      <c r="Q48" s="33">
        <f t="shared" si="19"/>
        <v>22.229999999999997</v>
      </c>
      <c r="R48" s="33">
        <f t="shared" si="25"/>
        <v>273.78000000000003</v>
      </c>
      <c r="S48" s="33">
        <f t="shared" si="26"/>
        <v>153.31680000000003</v>
      </c>
      <c r="T48" s="33">
        <f t="shared" si="2"/>
        <v>39.331378191752755</v>
      </c>
      <c r="U48" s="33">
        <f t="shared" si="20"/>
        <v>58.220322218117829</v>
      </c>
      <c r="V48" s="33">
        <f t="shared" si="3"/>
        <v>10</v>
      </c>
      <c r="W48" s="33">
        <v>0</v>
      </c>
      <c r="X48" s="33">
        <f t="shared" si="4"/>
        <v>585.67009181706806</v>
      </c>
      <c r="Y48" s="38">
        <f t="shared" si="5"/>
        <v>408.63419001198997</v>
      </c>
      <c r="AA48" s="71">
        <v>43</v>
      </c>
      <c r="AB48" s="33">
        <f t="shared" si="6"/>
        <v>0</v>
      </c>
      <c r="AC48" s="308">
        <f t="shared" si="7"/>
        <v>0</v>
      </c>
      <c r="AD48" s="101">
        <f t="shared" si="8"/>
        <v>0</v>
      </c>
      <c r="AE48" s="101">
        <f t="shared" si="9"/>
        <v>0</v>
      </c>
      <c r="AF48" s="197">
        <f t="shared" si="36"/>
        <v>2.4765436343122675</v>
      </c>
      <c r="AG48" s="197">
        <f t="shared" si="37"/>
        <v>0</v>
      </c>
      <c r="AH48" s="197">
        <f t="shared" si="38"/>
        <v>0</v>
      </c>
      <c r="AI48" s="202">
        <f t="shared" si="39"/>
        <v>2.4765436343122675</v>
      </c>
      <c r="AK48" s="71">
        <v>43</v>
      </c>
      <c r="AL48" s="33">
        <f t="shared" si="10"/>
        <v>0</v>
      </c>
      <c r="AM48" s="33">
        <f t="shared" si="11"/>
        <v>0</v>
      </c>
      <c r="AN48" s="33">
        <f t="shared" si="12"/>
        <v>0</v>
      </c>
      <c r="AO48" s="33">
        <f t="shared" si="13"/>
        <v>0</v>
      </c>
      <c r="AP48" s="33">
        <f t="shared" si="14"/>
        <v>0</v>
      </c>
      <c r="AQ48" s="197">
        <f t="shared" si="41"/>
        <v>0</v>
      </c>
      <c r="AR48" s="197">
        <f t="shared" si="42"/>
        <v>0</v>
      </c>
      <c r="AS48" s="197">
        <f t="shared" si="43"/>
        <v>0</v>
      </c>
      <c r="AT48" s="197">
        <f t="shared" si="44"/>
        <v>0</v>
      </c>
      <c r="AU48" s="33"/>
      <c r="AV48" s="33"/>
      <c r="AW48" s="33"/>
      <c r="AX48" s="33"/>
      <c r="AY48" s="76"/>
    </row>
    <row r="49" spans="2:51">
      <c r="B49" s="40">
        <f t="shared" si="34"/>
        <v>76</v>
      </c>
      <c r="C49" s="155">
        <f t="shared" si="40"/>
        <v>80</v>
      </c>
      <c r="D49" s="140">
        <f>D50+28</f>
        <v>320</v>
      </c>
      <c r="E49" s="144">
        <f t="shared" si="32"/>
        <v>1.56</v>
      </c>
      <c r="F49" s="42">
        <f t="shared" si="45"/>
        <v>499.20000000000005</v>
      </c>
      <c r="G49" s="51">
        <f t="shared" si="46"/>
        <v>14.040000000000006</v>
      </c>
      <c r="I49" s="55">
        <v>44</v>
      </c>
      <c r="J49" s="33">
        <f t="shared" si="21"/>
        <v>5</v>
      </c>
      <c r="K49" s="33">
        <f t="shared" si="22"/>
        <v>1.910565629709926</v>
      </c>
      <c r="L49" s="33">
        <f t="shared" si="23"/>
        <v>45</v>
      </c>
      <c r="M49" s="33">
        <f t="shared" si="24"/>
        <v>0</v>
      </c>
      <c r="N49" s="33">
        <f t="shared" si="0"/>
        <v>0</v>
      </c>
      <c r="O49" s="34">
        <f t="shared" si="1"/>
        <v>177.03590180507811</v>
      </c>
      <c r="P49" s="55">
        <v>44</v>
      </c>
      <c r="Q49" s="33">
        <f t="shared" si="19"/>
        <v>22.229999999999997</v>
      </c>
      <c r="R49" s="33">
        <f t="shared" si="25"/>
        <v>296.01000000000005</v>
      </c>
      <c r="S49" s="33">
        <f t="shared" si="26"/>
        <v>165.76560000000003</v>
      </c>
      <c r="T49" s="33">
        <f t="shared" si="2"/>
        <v>42.140271125684265</v>
      </c>
      <c r="U49" s="33">
        <f t="shared" si="20"/>
        <v>58.424673292219296</v>
      </c>
      <c r="V49" s="33">
        <f t="shared" si="3"/>
        <v>10</v>
      </c>
      <c r="W49" s="33">
        <v>0</v>
      </c>
      <c r="X49" s="33">
        <f t="shared" si="4"/>
        <v>612.99319428203751</v>
      </c>
      <c r="Y49" s="38">
        <f t="shared" si="5"/>
        <v>435.95729247695942</v>
      </c>
      <c r="AA49" s="71">
        <v>44</v>
      </c>
      <c r="AB49" s="33">
        <f t="shared" si="6"/>
        <v>0</v>
      </c>
      <c r="AC49" s="308">
        <f t="shared" si="7"/>
        <v>0</v>
      </c>
      <c r="AD49" s="101">
        <f t="shared" si="8"/>
        <v>0</v>
      </c>
      <c r="AE49" s="101">
        <f t="shared" si="9"/>
        <v>0</v>
      </c>
      <c r="AF49" s="197">
        <f t="shared" si="36"/>
        <v>2.4279801241858672</v>
      </c>
      <c r="AG49" s="197">
        <f t="shared" si="37"/>
        <v>0</v>
      </c>
      <c r="AH49" s="197">
        <f t="shared" si="38"/>
        <v>0</v>
      </c>
      <c r="AI49" s="202">
        <f t="shared" si="39"/>
        <v>2.4279801241858672</v>
      </c>
      <c r="AK49" s="71">
        <v>44</v>
      </c>
      <c r="AL49" s="33">
        <f t="shared" si="10"/>
        <v>0</v>
      </c>
      <c r="AM49" s="33">
        <f t="shared" si="11"/>
        <v>0</v>
      </c>
      <c r="AN49" s="33">
        <f t="shared" si="12"/>
        <v>0</v>
      </c>
      <c r="AO49" s="33">
        <f t="shared" si="13"/>
        <v>0</v>
      </c>
      <c r="AP49" s="33">
        <f t="shared" si="14"/>
        <v>0</v>
      </c>
      <c r="AQ49" s="197">
        <f t="shared" si="41"/>
        <v>0</v>
      </c>
      <c r="AR49" s="197">
        <f t="shared" si="42"/>
        <v>0</v>
      </c>
      <c r="AS49" s="197">
        <f t="shared" si="43"/>
        <v>0</v>
      </c>
      <c r="AT49" s="197">
        <f t="shared" si="44"/>
        <v>0</v>
      </c>
      <c r="AU49" s="33"/>
      <c r="AV49" s="33"/>
      <c r="AW49" s="33"/>
      <c r="AX49" s="33"/>
      <c r="AY49" s="76"/>
    </row>
    <row r="50" spans="2:51">
      <c r="B50" s="40">
        <f t="shared" si="34"/>
        <v>80</v>
      </c>
      <c r="C50" s="155">
        <f t="shared" si="40"/>
        <v>81</v>
      </c>
      <c r="D50" s="140">
        <v>292</v>
      </c>
      <c r="E50" s="144">
        <f t="shared" si="32"/>
        <v>1.56</v>
      </c>
      <c r="F50" s="42">
        <f t="shared" si="45"/>
        <v>455.52000000000004</v>
      </c>
      <c r="G50" s="51">
        <f t="shared" si="46"/>
        <v>-43.680000000000007</v>
      </c>
      <c r="I50" s="55">
        <v>45</v>
      </c>
      <c r="J50" s="33">
        <f t="shared" si="21"/>
        <v>5</v>
      </c>
      <c r="K50" s="33">
        <f t="shared" si="22"/>
        <v>1.910565629709926</v>
      </c>
      <c r="L50" s="33">
        <f t="shared" si="23"/>
        <v>45</v>
      </c>
      <c r="M50" s="33">
        <f t="shared" si="24"/>
        <v>0</v>
      </c>
      <c r="N50" s="33">
        <f t="shared" si="0"/>
        <v>0</v>
      </c>
      <c r="O50" s="34">
        <f t="shared" si="1"/>
        <v>177.03590180507811</v>
      </c>
      <c r="P50" s="55">
        <v>45</v>
      </c>
      <c r="Q50" s="33">
        <f t="shared" si="19"/>
        <v>22.229999999999997</v>
      </c>
      <c r="R50" s="33">
        <f t="shared" si="25"/>
        <v>318.24000000000007</v>
      </c>
      <c r="S50" s="33">
        <f t="shared" si="26"/>
        <v>178.21440000000004</v>
      </c>
      <c r="T50" s="33">
        <f t="shared" si="2"/>
        <v>44.924692855664368</v>
      </c>
      <c r="U50" s="33">
        <f t="shared" si="20"/>
        <v>58.625479332045664</v>
      </c>
      <c r="V50" s="33">
        <f t="shared" si="3"/>
        <v>10</v>
      </c>
      <c r="W50" s="33">
        <v>0</v>
      </c>
      <c r="X50" s="33">
        <f t="shared" si="4"/>
        <v>640.2606776077829</v>
      </c>
      <c r="Y50" s="38">
        <f t="shared" si="5"/>
        <v>463.22477580270481</v>
      </c>
      <c r="AA50" s="71">
        <v>45</v>
      </c>
      <c r="AB50" s="33">
        <f t="shared" si="6"/>
        <v>0</v>
      </c>
      <c r="AC50" s="308">
        <f t="shared" si="7"/>
        <v>0</v>
      </c>
      <c r="AD50" s="101">
        <f t="shared" si="8"/>
        <v>0</v>
      </c>
      <c r="AE50" s="101">
        <f t="shared" si="9"/>
        <v>0</v>
      </c>
      <c r="AF50" s="197">
        <f t="shared" si="36"/>
        <v>2.3803689148722293</v>
      </c>
      <c r="AG50" s="197">
        <f t="shared" si="37"/>
        <v>0</v>
      </c>
      <c r="AH50" s="197">
        <f t="shared" si="38"/>
        <v>0</v>
      </c>
      <c r="AI50" s="202">
        <f t="shared" si="39"/>
        <v>2.3803689148722293</v>
      </c>
      <c r="AK50" s="71">
        <v>45</v>
      </c>
      <c r="AL50" s="33">
        <f t="shared" si="10"/>
        <v>0</v>
      </c>
      <c r="AM50" s="33">
        <f t="shared" si="11"/>
        <v>0</v>
      </c>
      <c r="AN50" s="33">
        <f t="shared" si="12"/>
        <v>0</v>
      </c>
      <c r="AO50" s="33">
        <f t="shared" si="13"/>
        <v>0</v>
      </c>
      <c r="AP50" s="33">
        <f t="shared" si="14"/>
        <v>0</v>
      </c>
      <c r="AQ50" s="197">
        <f t="shared" si="41"/>
        <v>0</v>
      </c>
      <c r="AR50" s="197">
        <f t="shared" si="42"/>
        <v>0</v>
      </c>
      <c r="AS50" s="197">
        <f t="shared" si="43"/>
        <v>0</v>
      </c>
      <c r="AT50" s="197">
        <f t="shared" si="44"/>
        <v>0</v>
      </c>
      <c r="AU50" s="33"/>
      <c r="AV50" s="33"/>
      <c r="AW50" s="33"/>
      <c r="AX50" s="33"/>
      <c r="AY50" s="76"/>
    </row>
    <row r="51" spans="2:51">
      <c r="B51" s="40">
        <f t="shared" si="34"/>
        <v>81</v>
      </c>
      <c r="C51" s="155">
        <f t="shared" si="40"/>
        <v>85</v>
      </c>
      <c r="D51" s="140">
        <f>D52+28</f>
        <v>326</v>
      </c>
      <c r="E51" s="144">
        <f t="shared" si="32"/>
        <v>1.56</v>
      </c>
      <c r="F51" s="42">
        <f t="shared" si="45"/>
        <v>508.56</v>
      </c>
      <c r="G51" s="51">
        <f t="shared" si="46"/>
        <v>13.259999999999991</v>
      </c>
      <c r="I51" s="55">
        <v>46</v>
      </c>
      <c r="J51" s="33">
        <f t="shared" si="21"/>
        <v>5</v>
      </c>
      <c r="K51" s="33">
        <f t="shared" si="22"/>
        <v>1.910565629709926</v>
      </c>
      <c r="L51" s="33">
        <f t="shared" si="23"/>
        <v>45</v>
      </c>
      <c r="M51" s="33">
        <f t="shared" si="24"/>
        <v>0</v>
      </c>
      <c r="N51" s="33">
        <f t="shared" si="0"/>
        <v>0</v>
      </c>
      <c r="O51" s="34">
        <f t="shared" si="1"/>
        <v>177.03590180507811</v>
      </c>
      <c r="P51" s="55">
        <v>46</v>
      </c>
      <c r="Q51" s="33">
        <f t="shared" si="19"/>
        <v>-43.680000000000007</v>
      </c>
      <c r="R51" s="33">
        <f t="shared" si="25"/>
        <v>274.56000000000006</v>
      </c>
      <c r="S51" s="33">
        <f t="shared" si="26"/>
        <v>153.75360000000003</v>
      </c>
      <c r="T51" s="33">
        <f t="shared" si="2"/>
        <v>39.430373774012359</v>
      </c>
      <c r="U51" s="33">
        <f t="shared" si="20"/>
        <v>58.82280183601609</v>
      </c>
      <c r="V51" s="33">
        <f t="shared" si="3"/>
        <v>10</v>
      </c>
      <c r="W51" s="33">
        <v>0</v>
      </c>
      <c r="X51" s="33">
        <f t="shared" si="4"/>
        <v>588.81236105513051</v>
      </c>
      <c r="Y51" s="38">
        <f t="shared" si="5"/>
        <v>411.77645925005243</v>
      </c>
      <c r="AA51" s="71">
        <v>46</v>
      </c>
      <c r="AB51" s="33">
        <f t="shared" si="6"/>
        <v>28</v>
      </c>
      <c r="AC51" s="308">
        <f t="shared" si="7"/>
        <v>0.1</v>
      </c>
      <c r="AD51" s="101">
        <f t="shared" si="8"/>
        <v>0</v>
      </c>
      <c r="AE51" s="101">
        <f t="shared" si="9"/>
        <v>0</v>
      </c>
      <c r="AF51" s="197">
        <f t="shared" si="36"/>
        <v>5.0377603183012205</v>
      </c>
      <c r="AG51" s="197">
        <f t="shared" si="37"/>
        <v>0</v>
      </c>
      <c r="AH51" s="197">
        <f t="shared" si="38"/>
        <v>0</v>
      </c>
      <c r="AI51" s="202">
        <f t="shared" si="39"/>
        <v>5.0377603183012205</v>
      </c>
      <c r="AK51" s="71">
        <v>46</v>
      </c>
      <c r="AL51" s="33">
        <f t="shared" si="10"/>
        <v>28</v>
      </c>
      <c r="AM51" s="33">
        <f t="shared" si="11"/>
        <v>0.2</v>
      </c>
      <c r="AN51" s="33">
        <f t="shared" si="12"/>
        <v>0</v>
      </c>
      <c r="AO51" s="33">
        <f t="shared" si="13"/>
        <v>0</v>
      </c>
      <c r="AP51" s="33">
        <f t="shared" si="14"/>
        <v>0.8</v>
      </c>
      <c r="AQ51" s="197">
        <f t="shared" si="41"/>
        <v>5.6000000000000005</v>
      </c>
      <c r="AR51" s="197">
        <f t="shared" si="42"/>
        <v>0</v>
      </c>
      <c r="AS51" s="197">
        <f t="shared" si="43"/>
        <v>0</v>
      </c>
      <c r="AT51" s="197">
        <f t="shared" si="44"/>
        <v>22.400000000000002</v>
      </c>
      <c r="AU51" s="33"/>
      <c r="AV51" s="33"/>
      <c r="AW51" s="33"/>
      <c r="AX51" s="33"/>
      <c r="AY51" s="76"/>
    </row>
    <row r="52" spans="2:51">
      <c r="B52" s="40">
        <f t="shared" si="34"/>
        <v>85</v>
      </c>
      <c r="C52" s="155">
        <f t="shared" si="40"/>
        <v>86</v>
      </c>
      <c r="D52" s="140">
        <v>298</v>
      </c>
      <c r="E52" s="144">
        <f t="shared" si="32"/>
        <v>1.56</v>
      </c>
      <c r="F52" s="42">
        <f t="shared" si="45"/>
        <v>464.88</v>
      </c>
      <c r="G52" s="51">
        <f t="shared" si="46"/>
        <v>-43.680000000000007</v>
      </c>
      <c r="I52" s="55">
        <v>47</v>
      </c>
      <c r="J52" s="33">
        <f t="shared" si="21"/>
        <v>5</v>
      </c>
      <c r="K52" s="33">
        <f t="shared" si="22"/>
        <v>1.910565629709926</v>
      </c>
      <c r="L52" s="33">
        <f t="shared" si="23"/>
        <v>45</v>
      </c>
      <c r="M52" s="33">
        <f t="shared" si="24"/>
        <v>0</v>
      </c>
      <c r="N52" s="33">
        <f t="shared" si="0"/>
        <v>0</v>
      </c>
      <c r="O52" s="34">
        <f t="shared" si="1"/>
        <v>177.03590180507811</v>
      </c>
      <c r="P52" s="55">
        <v>47</v>
      </c>
      <c r="Q52" s="33">
        <f t="shared" si="19"/>
        <v>21.450000000000003</v>
      </c>
      <c r="R52" s="33">
        <f t="shared" si="25"/>
        <v>296.01000000000005</v>
      </c>
      <c r="S52" s="33">
        <f t="shared" si="26"/>
        <v>165.76560000000003</v>
      </c>
      <c r="T52" s="33">
        <f t="shared" si="2"/>
        <v>42.140271125684265</v>
      </c>
      <c r="U52" s="33">
        <f t="shared" si="20"/>
        <v>59.016701235689659</v>
      </c>
      <c r="V52" s="33">
        <f t="shared" si="3"/>
        <v>10</v>
      </c>
      <c r="W52" s="33">
        <v>0</v>
      </c>
      <c r="X52" s="33">
        <f t="shared" si="4"/>
        <v>615.16396340809558</v>
      </c>
      <c r="Y52" s="38">
        <f t="shared" si="5"/>
        <v>438.1280616030175</v>
      </c>
      <c r="AA52" s="71">
        <v>47</v>
      </c>
      <c r="AB52" s="33">
        <f t="shared" si="6"/>
        <v>0</v>
      </c>
      <c r="AC52" s="308">
        <f t="shared" si="7"/>
        <v>0</v>
      </c>
      <c r="AD52" s="101">
        <f t="shared" si="8"/>
        <v>0</v>
      </c>
      <c r="AE52" s="101">
        <f t="shared" si="9"/>
        <v>0</v>
      </c>
      <c r="AF52" s="197">
        <f t="shared" si="36"/>
        <v>4.9389729111897207</v>
      </c>
      <c r="AG52" s="197">
        <f t="shared" si="37"/>
        <v>0</v>
      </c>
      <c r="AH52" s="197">
        <f t="shared" si="38"/>
        <v>0</v>
      </c>
      <c r="AI52" s="202">
        <f t="shared" si="39"/>
        <v>4.9389729111897207</v>
      </c>
      <c r="AK52" s="71">
        <v>47</v>
      </c>
      <c r="AL52" s="33">
        <f t="shared" si="10"/>
        <v>0</v>
      </c>
      <c r="AM52" s="33">
        <f t="shared" si="11"/>
        <v>0</v>
      </c>
      <c r="AN52" s="33">
        <f t="shared" si="12"/>
        <v>0</v>
      </c>
      <c r="AO52" s="33">
        <f t="shared" si="13"/>
        <v>0</v>
      </c>
      <c r="AP52" s="33">
        <f t="shared" si="14"/>
        <v>0</v>
      </c>
      <c r="AQ52" s="197">
        <f t="shared" si="41"/>
        <v>0</v>
      </c>
      <c r="AR52" s="197">
        <f t="shared" si="42"/>
        <v>0</v>
      </c>
      <c r="AS52" s="197">
        <f t="shared" si="43"/>
        <v>0</v>
      </c>
      <c r="AT52" s="197">
        <f t="shared" si="44"/>
        <v>0</v>
      </c>
      <c r="AU52" s="33"/>
      <c r="AV52" s="33"/>
      <c r="AW52" s="33"/>
      <c r="AX52" s="33"/>
      <c r="AY52" s="76"/>
    </row>
    <row r="53" spans="2:51">
      <c r="B53" s="40">
        <f t="shared" si="34"/>
        <v>86</v>
      </c>
      <c r="C53" s="155">
        <f t="shared" si="40"/>
        <v>90</v>
      </c>
      <c r="D53" s="140">
        <f>D54+28</f>
        <v>330</v>
      </c>
      <c r="E53" s="144">
        <f t="shared" si="32"/>
        <v>1.56</v>
      </c>
      <c r="F53" s="42">
        <f t="shared" si="45"/>
        <v>514.80000000000007</v>
      </c>
      <c r="G53" s="51">
        <f t="shared" si="46"/>
        <v>12.480000000000018</v>
      </c>
      <c r="I53" s="55">
        <v>48</v>
      </c>
      <c r="J53" s="33">
        <f t="shared" si="21"/>
        <v>5</v>
      </c>
      <c r="K53" s="33">
        <f t="shared" si="22"/>
        <v>1.910565629709926</v>
      </c>
      <c r="L53" s="33">
        <f t="shared" si="23"/>
        <v>45</v>
      </c>
      <c r="M53" s="33">
        <f t="shared" si="24"/>
        <v>0</v>
      </c>
      <c r="N53" s="33">
        <f t="shared" si="0"/>
        <v>0</v>
      </c>
      <c r="O53" s="34">
        <f t="shared" si="1"/>
        <v>177.03590180507811</v>
      </c>
      <c r="P53" s="55">
        <v>48</v>
      </c>
      <c r="Q53" s="33">
        <f t="shared" si="19"/>
        <v>21.450000000000003</v>
      </c>
      <c r="R53" s="33">
        <f t="shared" si="25"/>
        <v>317.46000000000004</v>
      </c>
      <c r="S53" s="33">
        <f t="shared" si="26"/>
        <v>177.77760000000004</v>
      </c>
      <c r="T53" s="33">
        <f t="shared" si="2"/>
        <v>44.827386173754917</v>
      </c>
      <c r="U53" s="33">
        <f t="shared" si="20"/>
        <v>59.207236914273011</v>
      </c>
      <c r="V53" s="33">
        <f t="shared" si="3"/>
        <v>10</v>
      </c>
      <c r="W53" s="33">
        <v>0</v>
      </c>
      <c r="X53" s="33">
        <f t="shared" si="4"/>
        <v>641.46355293829095</v>
      </c>
      <c r="Y53" s="38">
        <f t="shared" si="5"/>
        <v>464.42765113321286</v>
      </c>
      <c r="AA53" s="71">
        <v>48</v>
      </c>
      <c r="AB53" s="33">
        <f t="shared" si="6"/>
        <v>0</v>
      </c>
      <c r="AC53" s="308">
        <f t="shared" si="7"/>
        <v>0</v>
      </c>
      <c r="AD53" s="101">
        <f t="shared" si="8"/>
        <v>0</v>
      </c>
      <c r="AE53" s="101">
        <f t="shared" si="9"/>
        <v>0</v>
      </c>
      <c r="AF53" s="197">
        <f t="shared" si="36"/>
        <v>4.8421226648773086</v>
      </c>
      <c r="AG53" s="197">
        <f t="shared" si="37"/>
        <v>0</v>
      </c>
      <c r="AH53" s="197">
        <f t="shared" si="38"/>
        <v>0</v>
      </c>
      <c r="AI53" s="202">
        <f t="shared" si="39"/>
        <v>4.8421226648773086</v>
      </c>
      <c r="AK53" s="71">
        <v>48</v>
      </c>
      <c r="AL53" s="33">
        <f t="shared" si="10"/>
        <v>0</v>
      </c>
      <c r="AM53" s="33">
        <f t="shared" si="11"/>
        <v>0</v>
      </c>
      <c r="AN53" s="33">
        <f t="shared" si="12"/>
        <v>0</v>
      </c>
      <c r="AO53" s="33">
        <f t="shared" si="13"/>
        <v>0</v>
      </c>
      <c r="AP53" s="33">
        <f t="shared" si="14"/>
        <v>0</v>
      </c>
      <c r="AQ53" s="197">
        <f t="shared" si="41"/>
        <v>0</v>
      </c>
      <c r="AR53" s="197">
        <f t="shared" si="42"/>
        <v>0</v>
      </c>
      <c r="AS53" s="197">
        <f t="shared" si="43"/>
        <v>0</v>
      </c>
      <c r="AT53" s="197">
        <f t="shared" si="44"/>
        <v>0</v>
      </c>
      <c r="AU53" s="33"/>
      <c r="AV53" s="33"/>
      <c r="AW53" s="33"/>
      <c r="AX53" s="33"/>
      <c r="AY53" s="76"/>
    </row>
    <row r="54" spans="2:51">
      <c r="B54" s="40">
        <f t="shared" si="34"/>
        <v>90</v>
      </c>
      <c r="C54" s="155">
        <f t="shared" si="40"/>
        <v>91</v>
      </c>
      <c r="D54" s="140">
        <v>302</v>
      </c>
      <c r="E54" s="144">
        <f t="shared" si="32"/>
        <v>1.56</v>
      </c>
      <c r="F54" s="42">
        <f t="shared" si="45"/>
        <v>471.12</v>
      </c>
      <c r="G54" s="51">
        <f t="shared" si="46"/>
        <v>-43.680000000000064</v>
      </c>
      <c r="I54" s="55">
        <v>49</v>
      </c>
      <c r="J54" s="33">
        <f t="shared" si="21"/>
        <v>5</v>
      </c>
      <c r="K54" s="33">
        <f t="shared" si="22"/>
        <v>1.910565629709926</v>
      </c>
      <c r="L54" s="33">
        <f t="shared" si="23"/>
        <v>45</v>
      </c>
      <c r="M54" s="33">
        <f t="shared" si="24"/>
        <v>0</v>
      </c>
      <c r="N54" s="33">
        <f t="shared" si="0"/>
        <v>0</v>
      </c>
      <c r="O54" s="34">
        <f t="shared" si="1"/>
        <v>177.03590180507811</v>
      </c>
      <c r="P54" s="55">
        <v>49</v>
      </c>
      <c r="Q54" s="33">
        <f t="shared" si="19"/>
        <v>21.450000000000003</v>
      </c>
      <c r="R54" s="33">
        <f t="shared" si="25"/>
        <v>338.91</v>
      </c>
      <c r="S54" s="33">
        <f t="shared" si="26"/>
        <v>189.78960000000004</v>
      </c>
      <c r="T54" s="33">
        <f t="shared" si="2"/>
        <v>47.493433399364605</v>
      </c>
      <c r="U54" s="33">
        <f t="shared" si="20"/>
        <v>59.394467224806895</v>
      </c>
      <c r="V54" s="33">
        <f t="shared" si="3"/>
        <v>10</v>
      </c>
      <c r="W54" s="33">
        <v>0</v>
      </c>
      <c r="X54" s="33">
        <f t="shared" si="4"/>
        <v>667.71432966151872</v>
      </c>
      <c r="Y54" s="38">
        <f t="shared" si="5"/>
        <v>490.67842785644063</v>
      </c>
      <c r="AA54" s="71">
        <v>49</v>
      </c>
      <c r="AB54" s="33">
        <f t="shared" si="6"/>
        <v>0</v>
      </c>
      <c r="AC54" s="308">
        <f t="shared" si="7"/>
        <v>0</v>
      </c>
      <c r="AD54" s="101">
        <f t="shared" si="8"/>
        <v>0</v>
      </c>
      <c r="AE54" s="101">
        <f t="shared" si="9"/>
        <v>0</v>
      </c>
      <c r="AF54" s="197">
        <f t="shared" si="36"/>
        <v>4.7471715928222658</v>
      </c>
      <c r="AG54" s="197">
        <f t="shared" si="37"/>
        <v>0</v>
      </c>
      <c r="AH54" s="197">
        <f t="shared" si="38"/>
        <v>0</v>
      </c>
      <c r="AI54" s="202">
        <f t="shared" si="39"/>
        <v>4.7471715928222658</v>
      </c>
      <c r="AK54" s="71">
        <v>49</v>
      </c>
      <c r="AL54" s="33">
        <f t="shared" si="10"/>
        <v>0</v>
      </c>
      <c r="AM54" s="33">
        <f t="shared" si="11"/>
        <v>0</v>
      </c>
      <c r="AN54" s="33">
        <f t="shared" si="12"/>
        <v>0</v>
      </c>
      <c r="AO54" s="33">
        <f t="shared" si="13"/>
        <v>0</v>
      </c>
      <c r="AP54" s="33">
        <f t="shared" si="14"/>
        <v>0</v>
      </c>
      <c r="AQ54" s="197">
        <f t="shared" si="41"/>
        <v>0</v>
      </c>
      <c r="AR54" s="197">
        <f t="shared" si="42"/>
        <v>0</v>
      </c>
      <c r="AS54" s="197">
        <f t="shared" si="43"/>
        <v>0</v>
      </c>
      <c r="AT54" s="197">
        <f t="shared" si="44"/>
        <v>0</v>
      </c>
      <c r="AU54" s="33"/>
      <c r="AV54" s="33"/>
      <c r="AW54" s="33"/>
      <c r="AX54" s="33"/>
      <c r="AY54" s="76"/>
    </row>
    <row r="55" spans="2:51">
      <c r="B55" s="40">
        <f t="shared" si="34"/>
        <v>91</v>
      </c>
      <c r="C55" s="155">
        <f t="shared" si="40"/>
        <v>95</v>
      </c>
      <c r="D55" s="140">
        <f>D56+28</f>
        <v>333</v>
      </c>
      <c r="E55" s="144">
        <f t="shared" si="32"/>
        <v>1.56</v>
      </c>
      <c r="F55" s="42">
        <f t="shared" si="45"/>
        <v>519.48</v>
      </c>
      <c r="G55" s="51">
        <f t="shared" si="46"/>
        <v>12.090000000000003</v>
      </c>
      <c r="I55" s="55">
        <v>50</v>
      </c>
      <c r="J55" s="33">
        <f t="shared" si="21"/>
        <v>5</v>
      </c>
      <c r="K55" s="33">
        <f t="shared" si="22"/>
        <v>1.910565629709926</v>
      </c>
      <c r="L55" s="33">
        <f t="shared" si="23"/>
        <v>45</v>
      </c>
      <c r="M55" s="33">
        <f t="shared" si="24"/>
        <v>0</v>
      </c>
      <c r="N55" s="33">
        <f t="shared" si="0"/>
        <v>0</v>
      </c>
      <c r="O55" s="34">
        <f t="shared" si="1"/>
        <v>177.03590180507811</v>
      </c>
      <c r="P55" s="55">
        <v>50</v>
      </c>
      <c r="Q55" s="33">
        <f t="shared" si="19"/>
        <v>21.450000000000003</v>
      </c>
      <c r="R55" s="33">
        <f t="shared" si="25"/>
        <v>360.36</v>
      </c>
      <c r="S55" s="33">
        <f t="shared" si="26"/>
        <v>201.80160000000004</v>
      </c>
      <c r="T55" s="33">
        <f t="shared" si="2"/>
        <v>50.139897992681668</v>
      </c>
      <c r="U55" s="33">
        <f t="shared" si="20"/>
        <v>59.578449508037295</v>
      </c>
      <c r="V55" s="33">
        <f t="shared" si="3"/>
        <v>10</v>
      </c>
      <c r="W55" s="33">
        <v>0</v>
      </c>
      <c r="X55" s="33">
        <f t="shared" si="4"/>
        <v>693.91909053339077</v>
      </c>
      <c r="Y55" s="38">
        <f t="shared" si="5"/>
        <v>516.88318872831269</v>
      </c>
      <c r="AA55" s="71">
        <v>50</v>
      </c>
      <c r="AB55" s="33">
        <f t="shared" si="6"/>
        <v>0</v>
      </c>
      <c r="AC55" s="308">
        <f t="shared" si="7"/>
        <v>0</v>
      </c>
      <c r="AD55" s="101">
        <f t="shared" si="8"/>
        <v>0</v>
      </c>
      <c r="AE55" s="101">
        <f t="shared" si="9"/>
        <v>0</v>
      </c>
      <c r="AF55" s="197">
        <f t="shared" si="36"/>
        <v>4.6540824533757874</v>
      </c>
      <c r="AG55" s="197">
        <f t="shared" si="37"/>
        <v>0</v>
      </c>
      <c r="AH55" s="197">
        <f t="shared" si="38"/>
        <v>0</v>
      </c>
      <c r="AI55" s="202">
        <f t="shared" si="39"/>
        <v>4.6540824533757874</v>
      </c>
      <c r="AK55" s="71">
        <v>50</v>
      </c>
      <c r="AL55" s="33">
        <f t="shared" si="10"/>
        <v>0</v>
      </c>
      <c r="AM55" s="33">
        <f t="shared" si="11"/>
        <v>0</v>
      </c>
      <c r="AN55" s="33">
        <f t="shared" si="12"/>
        <v>0</v>
      </c>
      <c r="AO55" s="33">
        <f t="shared" si="13"/>
        <v>0</v>
      </c>
      <c r="AP55" s="33">
        <f t="shared" si="14"/>
        <v>0</v>
      </c>
      <c r="AQ55" s="197">
        <f t="shared" si="41"/>
        <v>0</v>
      </c>
      <c r="AR55" s="197">
        <f t="shared" si="42"/>
        <v>0</v>
      </c>
      <c r="AS55" s="197">
        <f t="shared" si="43"/>
        <v>0</v>
      </c>
      <c r="AT55" s="197">
        <f t="shared" si="44"/>
        <v>0</v>
      </c>
      <c r="AU55" s="33"/>
      <c r="AV55" s="33"/>
      <c r="AW55" s="33"/>
      <c r="AX55" s="33"/>
      <c r="AY55" s="76"/>
    </row>
    <row r="56" spans="2:51">
      <c r="B56" s="40">
        <f t="shared" si="34"/>
        <v>95</v>
      </c>
      <c r="C56" s="155">
        <f t="shared" si="40"/>
        <v>96</v>
      </c>
      <c r="D56" s="140">
        <v>305</v>
      </c>
      <c r="E56" s="144">
        <f t="shared" si="32"/>
        <v>1.56</v>
      </c>
      <c r="F56" s="42">
        <f t="shared" si="45"/>
        <v>475.8</v>
      </c>
      <c r="G56" s="51">
        <f t="shared" si="46"/>
        <v>-43.680000000000007</v>
      </c>
      <c r="I56" s="55">
        <v>51</v>
      </c>
      <c r="J56" s="33">
        <f t="shared" si="21"/>
        <v>5</v>
      </c>
      <c r="K56" s="33">
        <f t="shared" si="22"/>
        <v>1.910565629709926</v>
      </c>
      <c r="L56" s="33">
        <f t="shared" si="23"/>
        <v>45</v>
      </c>
      <c r="M56" s="33">
        <f t="shared" si="24"/>
        <v>0</v>
      </c>
      <c r="N56" s="33">
        <f t="shared" si="0"/>
        <v>0</v>
      </c>
      <c r="O56" s="34">
        <f t="shared" si="1"/>
        <v>177.03590180507811</v>
      </c>
      <c r="P56" s="55">
        <v>51</v>
      </c>
      <c r="Q56" s="33">
        <f t="shared" si="19"/>
        <v>-43.680000000000007</v>
      </c>
      <c r="R56" s="33">
        <f t="shared" si="25"/>
        <v>316.68</v>
      </c>
      <c r="S56" s="33">
        <f t="shared" si="26"/>
        <v>177.34080000000003</v>
      </c>
      <c r="T56" s="33">
        <f t="shared" si="2"/>
        <v>44.730051658603102</v>
      </c>
      <c r="U56" s="33">
        <f t="shared" si="20"/>
        <v>59.759240109976403</v>
      </c>
      <c r="V56" s="33">
        <f t="shared" si="3"/>
        <v>10</v>
      </c>
      <c r="W56" s="33">
        <v>0</v>
      </c>
      <c r="X56" s="33">
        <f t="shared" si="4"/>
        <v>642.55728037531389</v>
      </c>
      <c r="Y56" s="38">
        <f t="shared" si="5"/>
        <v>465.52137857023581</v>
      </c>
      <c r="AA56" s="71">
        <v>51</v>
      </c>
      <c r="AB56" s="33">
        <f t="shared" si="6"/>
        <v>28</v>
      </c>
      <c r="AC56" s="308">
        <f t="shared" si="7"/>
        <v>0.1</v>
      </c>
      <c r="AD56" s="101">
        <f t="shared" si="8"/>
        <v>0</v>
      </c>
      <c r="AE56" s="101">
        <f t="shared" si="9"/>
        <v>0</v>
      </c>
      <c r="AF56" s="197">
        <f t="shared" si="36"/>
        <v>7.2668877211430445</v>
      </c>
      <c r="AG56" s="197">
        <f t="shared" si="37"/>
        <v>0</v>
      </c>
      <c r="AH56" s="197">
        <f t="shared" si="38"/>
        <v>0</v>
      </c>
      <c r="AI56" s="202">
        <f t="shared" si="39"/>
        <v>7.2668877211430445</v>
      </c>
      <c r="AK56" s="71">
        <v>51</v>
      </c>
      <c r="AL56" s="33">
        <f t="shared" si="10"/>
        <v>28</v>
      </c>
      <c r="AM56" s="33">
        <f t="shared" si="11"/>
        <v>0.2</v>
      </c>
      <c r="AN56" s="33">
        <f t="shared" si="12"/>
        <v>0</v>
      </c>
      <c r="AO56" s="33">
        <f t="shared" si="13"/>
        <v>0</v>
      </c>
      <c r="AP56" s="33">
        <f t="shared" si="14"/>
        <v>0.8</v>
      </c>
      <c r="AQ56" s="197">
        <f t="shared" si="41"/>
        <v>5.6000000000000005</v>
      </c>
      <c r="AR56" s="197">
        <f t="shared" si="42"/>
        <v>0</v>
      </c>
      <c r="AS56" s="197">
        <f t="shared" si="43"/>
        <v>0</v>
      </c>
      <c r="AT56" s="197">
        <f t="shared" si="44"/>
        <v>22.400000000000002</v>
      </c>
      <c r="AU56" s="33"/>
      <c r="AV56" s="33"/>
      <c r="AW56" s="33"/>
      <c r="AX56" s="33"/>
      <c r="AY56" s="76"/>
    </row>
    <row r="57" spans="2:51">
      <c r="B57" s="40">
        <f t="shared" si="34"/>
        <v>96</v>
      </c>
      <c r="C57" s="155">
        <f t="shared" si="40"/>
        <v>100</v>
      </c>
      <c r="D57" s="140">
        <f>D58+27</f>
        <v>333</v>
      </c>
      <c r="E57" s="144">
        <f t="shared" si="32"/>
        <v>1.56</v>
      </c>
      <c r="F57" s="42">
        <f t="shared" si="45"/>
        <v>519.48</v>
      </c>
      <c r="G57" s="51">
        <f t="shared" si="46"/>
        <v>10.920000000000002</v>
      </c>
      <c r="I57" s="55">
        <v>52</v>
      </c>
      <c r="J57" s="33">
        <f t="shared" si="21"/>
        <v>5</v>
      </c>
      <c r="K57" s="33">
        <f t="shared" si="22"/>
        <v>1.910565629709926</v>
      </c>
      <c r="L57" s="33">
        <f t="shared" si="23"/>
        <v>45</v>
      </c>
      <c r="M57" s="33">
        <f t="shared" si="24"/>
        <v>0</v>
      </c>
      <c r="N57" s="33">
        <f t="shared" si="0"/>
        <v>0</v>
      </c>
      <c r="O57" s="34">
        <f t="shared" si="1"/>
        <v>177.03590180507811</v>
      </c>
      <c r="P57" s="55">
        <v>52</v>
      </c>
      <c r="Q57" s="33">
        <f t="shared" si="19"/>
        <v>19.89</v>
      </c>
      <c r="R57" s="33">
        <f t="shared" si="25"/>
        <v>336.57</v>
      </c>
      <c r="S57" s="33">
        <f t="shared" si="26"/>
        <v>188.47920000000002</v>
      </c>
      <c r="T57" s="33">
        <f t="shared" si="2"/>
        <v>47.203568465524917</v>
      </c>
      <c r="U57" s="33">
        <f t="shared" si="20"/>
        <v>59.936894399159101</v>
      </c>
      <c r="V57" s="33">
        <f t="shared" si="3"/>
        <v>10</v>
      </c>
      <c r="W57" s="33">
        <v>0</v>
      </c>
      <c r="X57" s="33">
        <f t="shared" si="4"/>
        <v>666.91610120770588</v>
      </c>
      <c r="Y57" s="38">
        <f t="shared" si="5"/>
        <v>489.8801994026278</v>
      </c>
      <c r="AA57" s="71">
        <v>52</v>
      </c>
      <c r="AB57" s="33">
        <f t="shared" si="6"/>
        <v>0</v>
      </c>
      <c r="AC57" s="308">
        <f t="shared" si="7"/>
        <v>0</v>
      </c>
      <c r="AD57" s="101">
        <f t="shared" si="8"/>
        <v>0</v>
      </c>
      <c r="AE57" s="101">
        <f t="shared" si="9"/>
        <v>0</v>
      </c>
      <c r="AF57" s="197">
        <f t="shared" si="36"/>
        <v>7.1243884852952801</v>
      </c>
      <c r="AG57" s="197">
        <f t="shared" si="37"/>
        <v>0</v>
      </c>
      <c r="AH57" s="197">
        <f t="shared" si="38"/>
        <v>0</v>
      </c>
      <c r="AI57" s="202">
        <f t="shared" si="39"/>
        <v>7.1243884852952801</v>
      </c>
      <c r="AK57" s="71">
        <v>52</v>
      </c>
      <c r="AL57" s="33">
        <f t="shared" si="10"/>
        <v>0</v>
      </c>
      <c r="AM57" s="33">
        <f t="shared" si="11"/>
        <v>0</v>
      </c>
      <c r="AN57" s="33">
        <f t="shared" si="12"/>
        <v>0</v>
      </c>
      <c r="AO57" s="33">
        <f t="shared" si="13"/>
        <v>0</v>
      </c>
      <c r="AP57" s="33">
        <f t="shared" si="14"/>
        <v>0</v>
      </c>
      <c r="AQ57" s="197">
        <f t="shared" si="41"/>
        <v>0</v>
      </c>
      <c r="AR57" s="197">
        <f t="shared" si="42"/>
        <v>0</v>
      </c>
      <c r="AS57" s="197">
        <f t="shared" si="43"/>
        <v>0</v>
      </c>
      <c r="AT57" s="197">
        <f t="shared" si="44"/>
        <v>0</v>
      </c>
      <c r="AU57" s="33"/>
      <c r="AV57" s="33"/>
      <c r="AW57" s="33"/>
      <c r="AX57" s="33"/>
      <c r="AY57" s="76"/>
    </row>
    <row r="58" spans="2:51">
      <c r="B58" s="40">
        <f t="shared" si="34"/>
        <v>100</v>
      </c>
      <c r="C58" s="155">
        <f t="shared" si="40"/>
        <v>101</v>
      </c>
      <c r="D58" s="140">
        <v>306</v>
      </c>
      <c r="E58" s="144">
        <f t="shared" si="32"/>
        <v>1.56</v>
      </c>
      <c r="F58" s="42">
        <f t="shared" si="45"/>
        <v>477.36</v>
      </c>
      <c r="G58" s="51">
        <f t="shared" si="46"/>
        <v>-42.120000000000005</v>
      </c>
      <c r="I58" s="55">
        <v>53</v>
      </c>
      <c r="J58" s="33">
        <f t="shared" si="21"/>
        <v>5</v>
      </c>
      <c r="K58" s="33">
        <f t="shared" si="22"/>
        <v>1.910565629709926</v>
      </c>
      <c r="L58" s="33">
        <f t="shared" si="23"/>
        <v>45</v>
      </c>
      <c r="M58" s="33">
        <f t="shared" si="24"/>
        <v>0</v>
      </c>
      <c r="N58" s="33">
        <f t="shared" si="0"/>
        <v>0</v>
      </c>
      <c r="O58" s="34">
        <f t="shared" si="1"/>
        <v>177.03590180507811</v>
      </c>
      <c r="P58" s="55">
        <v>53</v>
      </c>
      <c r="Q58" s="33">
        <f t="shared" si="19"/>
        <v>19.89</v>
      </c>
      <c r="R58" s="33">
        <f t="shared" si="25"/>
        <v>356.46</v>
      </c>
      <c r="S58" s="33">
        <f t="shared" si="26"/>
        <v>199.61760000000001</v>
      </c>
      <c r="T58" s="33">
        <f t="shared" si="2"/>
        <v>49.66011842098839</v>
      </c>
      <c r="U58" s="33">
        <f t="shared" si="20"/>
        <v>60.111466783599973</v>
      </c>
      <c r="V58" s="33">
        <f t="shared" si="3"/>
        <v>10</v>
      </c>
      <c r="W58" s="33">
        <v>0</v>
      </c>
      <c r="X58" s="33">
        <f t="shared" si="4"/>
        <v>691.23407112308803</v>
      </c>
      <c r="Y58" s="38">
        <f t="shared" si="5"/>
        <v>514.19816931800995</v>
      </c>
      <c r="AA58" s="71">
        <v>53</v>
      </c>
      <c r="AB58" s="33">
        <f t="shared" si="6"/>
        <v>0</v>
      </c>
      <c r="AC58" s="308">
        <f t="shared" si="7"/>
        <v>0</v>
      </c>
      <c r="AD58" s="101">
        <f t="shared" si="8"/>
        <v>0</v>
      </c>
      <c r="AE58" s="101">
        <f t="shared" si="9"/>
        <v>0</v>
      </c>
      <c r="AF58" s="197">
        <f t="shared" si="36"/>
        <v>6.9846835725465386</v>
      </c>
      <c r="AG58" s="197">
        <f t="shared" si="37"/>
        <v>0</v>
      </c>
      <c r="AH58" s="197">
        <f t="shared" si="38"/>
        <v>0</v>
      </c>
      <c r="AI58" s="202">
        <f t="shared" si="39"/>
        <v>6.9846835725465386</v>
      </c>
      <c r="AK58" s="71">
        <v>53</v>
      </c>
      <c r="AL58" s="33">
        <f t="shared" si="10"/>
        <v>0</v>
      </c>
      <c r="AM58" s="33">
        <f t="shared" si="11"/>
        <v>0</v>
      </c>
      <c r="AN58" s="33">
        <f t="shared" si="12"/>
        <v>0</v>
      </c>
      <c r="AO58" s="33">
        <f t="shared" si="13"/>
        <v>0</v>
      </c>
      <c r="AP58" s="33">
        <f t="shared" si="14"/>
        <v>0</v>
      </c>
      <c r="AQ58" s="197">
        <f t="shared" si="41"/>
        <v>0</v>
      </c>
      <c r="AR58" s="197">
        <f t="shared" si="42"/>
        <v>0</v>
      </c>
      <c r="AS58" s="197">
        <f t="shared" si="43"/>
        <v>0</v>
      </c>
      <c r="AT58" s="197">
        <f t="shared" si="44"/>
        <v>0</v>
      </c>
      <c r="AU58" s="33"/>
      <c r="AV58" s="33"/>
      <c r="AW58" s="33"/>
      <c r="AX58" s="33"/>
      <c r="AY58" s="76"/>
    </row>
    <row r="59" spans="2:51">
      <c r="B59" s="40">
        <f t="shared" si="34"/>
        <v>101</v>
      </c>
      <c r="C59" s="155">
        <f t="shared" si="40"/>
        <v>105</v>
      </c>
      <c r="D59" s="140">
        <f>D60+26</f>
        <v>333</v>
      </c>
      <c r="E59" s="144">
        <f t="shared" si="32"/>
        <v>1.56</v>
      </c>
      <c r="F59" s="42">
        <f t="shared" si="45"/>
        <v>519.48</v>
      </c>
      <c r="G59" s="51">
        <f t="shared" si="46"/>
        <v>10.530000000000001</v>
      </c>
      <c r="I59" s="55">
        <v>54</v>
      </c>
      <c r="J59" s="33">
        <f t="shared" si="21"/>
        <v>5</v>
      </c>
      <c r="K59" s="33">
        <f t="shared" si="22"/>
        <v>1.910565629709926</v>
      </c>
      <c r="L59" s="33">
        <f t="shared" si="23"/>
        <v>45</v>
      </c>
      <c r="M59" s="33">
        <f t="shared" si="24"/>
        <v>0</v>
      </c>
      <c r="N59" s="33">
        <f t="shared" si="0"/>
        <v>0</v>
      </c>
      <c r="O59" s="34">
        <f t="shared" si="1"/>
        <v>177.03590180507811</v>
      </c>
      <c r="P59" s="55">
        <v>54</v>
      </c>
      <c r="Q59" s="33">
        <f t="shared" si="19"/>
        <v>19.89</v>
      </c>
      <c r="R59" s="33">
        <f t="shared" si="25"/>
        <v>376.34999999999997</v>
      </c>
      <c r="S59" s="33">
        <f t="shared" si="26"/>
        <v>210.756</v>
      </c>
      <c r="T59" s="33">
        <f t="shared" si="2"/>
        <v>52.100756151511106</v>
      </c>
      <c r="U59" s="33">
        <f t="shared" si="20"/>
        <v>60.283010727456173</v>
      </c>
      <c r="V59" s="33">
        <f t="shared" si="3"/>
        <v>10</v>
      </c>
      <c r="W59" s="33">
        <v>0</v>
      </c>
      <c r="X59" s="33">
        <f t="shared" si="4"/>
        <v>715.51322296455453</v>
      </c>
      <c r="Y59" s="38">
        <f t="shared" si="5"/>
        <v>538.47732115947645</v>
      </c>
      <c r="AA59" s="71">
        <v>54</v>
      </c>
      <c r="AB59" s="33">
        <f t="shared" si="6"/>
        <v>0</v>
      </c>
      <c r="AC59" s="308">
        <f t="shared" si="7"/>
        <v>0</v>
      </c>
      <c r="AD59" s="101">
        <f t="shared" si="8"/>
        <v>0</v>
      </c>
      <c r="AE59" s="101">
        <f t="shared" si="9"/>
        <v>0</v>
      </c>
      <c r="AF59" s="197">
        <f t="shared" si="36"/>
        <v>6.8477181879252171</v>
      </c>
      <c r="AG59" s="197">
        <f t="shared" si="37"/>
        <v>0</v>
      </c>
      <c r="AH59" s="197">
        <f t="shared" si="38"/>
        <v>0</v>
      </c>
      <c r="AI59" s="202">
        <f t="shared" si="39"/>
        <v>6.8477181879252171</v>
      </c>
      <c r="AK59" s="71">
        <v>54</v>
      </c>
      <c r="AL59" s="33">
        <f t="shared" si="10"/>
        <v>0</v>
      </c>
      <c r="AM59" s="33">
        <f t="shared" si="11"/>
        <v>0</v>
      </c>
      <c r="AN59" s="33">
        <f t="shared" si="12"/>
        <v>0</v>
      </c>
      <c r="AO59" s="33">
        <f t="shared" si="13"/>
        <v>0</v>
      </c>
      <c r="AP59" s="33">
        <f t="shared" si="14"/>
        <v>0</v>
      </c>
      <c r="AQ59" s="197">
        <f t="shared" si="41"/>
        <v>0</v>
      </c>
      <c r="AR59" s="197">
        <f t="shared" si="42"/>
        <v>0</v>
      </c>
      <c r="AS59" s="197">
        <f t="shared" si="43"/>
        <v>0</v>
      </c>
      <c r="AT59" s="197">
        <f t="shared" si="44"/>
        <v>0</v>
      </c>
      <c r="AU59" s="33"/>
      <c r="AV59" s="33"/>
      <c r="AW59" s="33"/>
      <c r="AX59" s="33"/>
      <c r="AY59" s="76"/>
    </row>
    <row r="60" spans="2:51">
      <c r="B60" s="40">
        <f t="shared" si="34"/>
        <v>105</v>
      </c>
      <c r="C60" s="155">
        <f t="shared" si="40"/>
        <v>106</v>
      </c>
      <c r="D60" s="140">
        <v>307</v>
      </c>
      <c r="E60" s="144">
        <f t="shared" si="32"/>
        <v>1.56</v>
      </c>
      <c r="F60" s="42">
        <f t="shared" si="45"/>
        <v>478.92</v>
      </c>
      <c r="G60" s="51">
        <f t="shared" si="46"/>
        <v>-40.56</v>
      </c>
      <c r="I60" s="55">
        <v>55</v>
      </c>
      <c r="J60" s="33">
        <f t="shared" si="21"/>
        <v>5</v>
      </c>
      <c r="K60" s="33">
        <f t="shared" si="22"/>
        <v>1.910565629709926</v>
      </c>
      <c r="L60" s="33">
        <f t="shared" si="23"/>
        <v>45</v>
      </c>
      <c r="M60" s="33">
        <f t="shared" si="24"/>
        <v>0</v>
      </c>
      <c r="N60" s="33">
        <f t="shared" si="0"/>
        <v>0</v>
      </c>
      <c r="O60" s="34">
        <f t="shared" si="1"/>
        <v>177.03590180507811</v>
      </c>
      <c r="P60" s="55">
        <v>55</v>
      </c>
      <c r="Q60" s="33">
        <f t="shared" si="19"/>
        <v>19.89</v>
      </c>
      <c r="R60" s="33">
        <f t="shared" si="25"/>
        <v>396.23999999999995</v>
      </c>
      <c r="S60" s="33">
        <f t="shared" si="26"/>
        <v>221.89439999999999</v>
      </c>
      <c r="T60" s="33">
        <f t="shared" si="2"/>
        <v>54.526418514188855</v>
      </c>
      <c r="U60" s="33">
        <f t="shared" si="20"/>
        <v>60.45157876740128</v>
      </c>
      <c r="V60" s="33">
        <f t="shared" si="3"/>
        <v>10</v>
      </c>
      <c r="W60" s="33">
        <v>0</v>
      </c>
      <c r="X60" s="33">
        <f t="shared" si="4"/>
        <v>739.75538105935027</v>
      </c>
      <c r="Y60" s="38">
        <f t="shared" si="5"/>
        <v>562.71947925427219</v>
      </c>
      <c r="AA60" s="71">
        <v>55</v>
      </c>
      <c r="AB60" s="33">
        <f t="shared" si="6"/>
        <v>0</v>
      </c>
      <c r="AC60" s="308">
        <f t="shared" si="7"/>
        <v>0</v>
      </c>
      <c r="AD60" s="101">
        <f t="shared" si="8"/>
        <v>0</v>
      </c>
      <c r="AE60" s="101">
        <f t="shared" si="9"/>
        <v>0</v>
      </c>
      <c r="AF60" s="197">
        <f t="shared" si="36"/>
        <v>6.7134386109556834</v>
      </c>
      <c r="AG60" s="197">
        <f t="shared" si="37"/>
        <v>0</v>
      </c>
      <c r="AH60" s="197">
        <f t="shared" si="38"/>
        <v>0</v>
      </c>
      <c r="AI60" s="202">
        <f t="shared" si="39"/>
        <v>6.7134386109556834</v>
      </c>
      <c r="AK60" s="71">
        <v>55</v>
      </c>
      <c r="AL60" s="33">
        <f t="shared" si="10"/>
        <v>0</v>
      </c>
      <c r="AM60" s="33">
        <f t="shared" si="11"/>
        <v>0</v>
      </c>
      <c r="AN60" s="33">
        <f t="shared" si="12"/>
        <v>0</v>
      </c>
      <c r="AO60" s="33">
        <f t="shared" si="13"/>
        <v>0</v>
      </c>
      <c r="AP60" s="33">
        <f t="shared" si="14"/>
        <v>0</v>
      </c>
      <c r="AQ60" s="197">
        <f t="shared" si="41"/>
        <v>0</v>
      </c>
      <c r="AR60" s="197">
        <f t="shared" si="42"/>
        <v>0</v>
      </c>
      <c r="AS60" s="197">
        <f t="shared" si="43"/>
        <v>0</v>
      </c>
      <c r="AT60" s="197">
        <f t="shared" si="44"/>
        <v>0</v>
      </c>
      <c r="AU60" s="33"/>
      <c r="AV60" s="33"/>
      <c r="AW60" s="33"/>
      <c r="AX60" s="33"/>
      <c r="AY60" s="76"/>
    </row>
    <row r="61" spans="2:51">
      <c r="B61" s="40">
        <f t="shared" si="34"/>
        <v>106</v>
      </c>
      <c r="C61" s="155">
        <f t="shared" si="40"/>
        <v>110</v>
      </c>
      <c r="D61" s="140">
        <f>D62+25</f>
        <v>332</v>
      </c>
      <c r="E61" s="144">
        <f t="shared" si="32"/>
        <v>1.56</v>
      </c>
      <c r="F61" s="42">
        <f t="shared" si="45"/>
        <v>517.92000000000007</v>
      </c>
      <c r="G61" s="51">
        <f t="shared" si="46"/>
        <v>9.7500000000000142</v>
      </c>
      <c r="I61" s="55">
        <v>56</v>
      </c>
      <c r="J61" s="33">
        <f t="shared" si="21"/>
        <v>5</v>
      </c>
      <c r="K61" s="33">
        <f t="shared" si="22"/>
        <v>1.910565629709926</v>
      </c>
      <c r="L61" s="33">
        <f t="shared" si="23"/>
        <v>45</v>
      </c>
      <c r="M61" s="33">
        <f t="shared" si="24"/>
        <v>0</v>
      </c>
      <c r="N61" s="33">
        <f t="shared" si="0"/>
        <v>0</v>
      </c>
      <c r="O61" s="34">
        <f t="shared" si="1"/>
        <v>177.03590180507811</v>
      </c>
      <c r="P61" s="55">
        <v>56</v>
      </c>
      <c r="Q61" s="33">
        <f t="shared" si="19"/>
        <v>-43.680000000000007</v>
      </c>
      <c r="R61" s="33">
        <f t="shared" si="25"/>
        <v>352.55999999999995</v>
      </c>
      <c r="S61" s="33">
        <f t="shared" si="26"/>
        <v>197.43359999999998</v>
      </c>
      <c r="T61" s="33">
        <f t="shared" si="2"/>
        <v>49.179727436837609</v>
      </c>
      <c r="U61" s="33">
        <f t="shared" si="20"/>
        <v>60.617222528715011</v>
      </c>
      <c r="V61" s="33">
        <f t="shared" si="3"/>
        <v>10</v>
      </c>
      <c r="W61" s="33">
        <v>0</v>
      </c>
      <c r="X61" s="33">
        <f t="shared" si="4"/>
        <v>688.44802789111384</v>
      </c>
      <c r="Y61" s="38">
        <f t="shared" si="5"/>
        <v>511.41212608603576</v>
      </c>
      <c r="AA61" s="71">
        <v>56</v>
      </c>
      <c r="AB61" s="33">
        <f t="shared" si="6"/>
        <v>28</v>
      </c>
      <c r="AC61" s="308">
        <f t="shared" si="7"/>
        <v>0.15</v>
      </c>
      <c r="AD61" s="101">
        <f t="shared" si="8"/>
        <v>0</v>
      </c>
      <c r="AE61" s="101">
        <f t="shared" si="9"/>
        <v>0</v>
      </c>
      <c r="AF61" s="197">
        <f t="shared" si="36"/>
        <v>10.637895653540006</v>
      </c>
      <c r="AG61" s="197">
        <f t="shared" si="37"/>
        <v>0</v>
      </c>
      <c r="AH61" s="197">
        <f t="shared" si="38"/>
        <v>0</v>
      </c>
      <c r="AI61" s="202">
        <f t="shared" si="39"/>
        <v>10.637895653540006</v>
      </c>
      <c r="AK61" s="71">
        <v>56</v>
      </c>
      <c r="AL61" s="33">
        <f t="shared" si="10"/>
        <v>28</v>
      </c>
      <c r="AM61" s="33">
        <f t="shared" si="11"/>
        <v>0.3</v>
      </c>
      <c r="AN61" s="33">
        <f t="shared" si="12"/>
        <v>0</v>
      </c>
      <c r="AO61" s="33">
        <f t="shared" si="13"/>
        <v>0</v>
      </c>
      <c r="AP61" s="33">
        <f t="shared" si="14"/>
        <v>0.7</v>
      </c>
      <c r="AQ61" s="197">
        <f t="shared" si="41"/>
        <v>8.4</v>
      </c>
      <c r="AR61" s="197">
        <f t="shared" si="42"/>
        <v>0</v>
      </c>
      <c r="AS61" s="197">
        <f t="shared" si="43"/>
        <v>0</v>
      </c>
      <c r="AT61" s="197">
        <f t="shared" si="44"/>
        <v>19.599999999999998</v>
      </c>
      <c r="AU61" s="33"/>
      <c r="AV61" s="33"/>
      <c r="AW61" s="33"/>
      <c r="AX61" s="33"/>
      <c r="AY61" s="76"/>
    </row>
    <row r="62" spans="2:51">
      <c r="B62" s="40">
        <f t="shared" si="34"/>
        <v>110</v>
      </c>
      <c r="C62" s="155">
        <f t="shared" si="40"/>
        <v>111</v>
      </c>
      <c r="D62" s="140">
        <v>307</v>
      </c>
      <c r="E62" s="144">
        <f t="shared" si="32"/>
        <v>1.56</v>
      </c>
      <c r="F62" s="42">
        <f t="shared" si="45"/>
        <v>478.92</v>
      </c>
      <c r="G62" s="51">
        <f t="shared" si="46"/>
        <v>-39.000000000000057</v>
      </c>
      <c r="I62" s="55">
        <v>57</v>
      </c>
      <c r="J62" s="33">
        <f t="shared" si="21"/>
        <v>5</v>
      </c>
      <c r="K62" s="33">
        <f t="shared" si="22"/>
        <v>1.910565629709926</v>
      </c>
      <c r="L62" s="33">
        <f t="shared" si="23"/>
        <v>45</v>
      </c>
      <c r="M62" s="33">
        <f t="shared" si="24"/>
        <v>0</v>
      </c>
      <c r="N62" s="33">
        <f t="shared" si="0"/>
        <v>0</v>
      </c>
      <c r="O62" s="34">
        <f t="shared" si="1"/>
        <v>177.03590180507811</v>
      </c>
      <c r="P62" s="55">
        <v>57</v>
      </c>
      <c r="Q62" s="33">
        <f t="shared" si="19"/>
        <v>18.329999999999998</v>
      </c>
      <c r="R62" s="33">
        <f t="shared" si="25"/>
        <v>370.88999999999993</v>
      </c>
      <c r="S62" s="33">
        <f t="shared" si="26"/>
        <v>207.69839999999999</v>
      </c>
      <c r="T62" s="33">
        <f t="shared" si="2"/>
        <v>51.432306052236648</v>
      </c>
      <c r="U62" s="33">
        <f t="shared" si="20"/>
        <v>60.77999274109392</v>
      </c>
      <c r="V62" s="33">
        <f t="shared" si="3"/>
        <v>10</v>
      </c>
      <c r="W62" s="33">
        <v>0</v>
      </c>
      <c r="X62" s="33">
        <f t="shared" si="4"/>
        <v>710.8459530916565</v>
      </c>
      <c r="Y62" s="38">
        <f t="shared" si="5"/>
        <v>533.81005128657841</v>
      </c>
      <c r="AA62" s="71">
        <v>57</v>
      </c>
      <c r="AB62" s="33">
        <f t="shared" si="6"/>
        <v>0</v>
      </c>
      <c r="AC62" s="308">
        <f t="shared" si="7"/>
        <v>0</v>
      </c>
      <c r="AD62" s="101">
        <f t="shared" si="8"/>
        <v>0</v>
      </c>
      <c r="AE62" s="101">
        <f t="shared" si="9"/>
        <v>0</v>
      </c>
      <c r="AF62" s="197">
        <f t="shared" si="36"/>
        <v>10.429293008249752</v>
      </c>
      <c r="AG62" s="197">
        <f t="shared" si="37"/>
        <v>0</v>
      </c>
      <c r="AH62" s="197">
        <f t="shared" si="38"/>
        <v>0</v>
      </c>
      <c r="AI62" s="202">
        <f t="shared" si="39"/>
        <v>10.429293008249752</v>
      </c>
      <c r="AK62" s="71">
        <v>57</v>
      </c>
      <c r="AL62" s="33">
        <f t="shared" si="10"/>
        <v>0</v>
      </c>
      <c r="AM62" s="33">
        <f t="shared" si="11"/>
        <v>0</v>
      </c>
      <c r="AN62" s="33">
        <f t="shared" si="12"/>
        <v>0</v>
      </c>
      <c r="AO62" s="33">
        <f t="shared" si="13"/>
        <v>0</v>
      </c>
      <c r="AP62" s="33">
        <f t="shared" si="14"/>
        <v>0</v>
      </c>
      <c r="AQ62" s="197">
        <f t="shared" si="41"/>
        <v>0</v>
      </c>
      <c r="AR62" s="197">
        <f t="shared" si="42"/>
        <v>0</v>
      </c>
      <c r="AS62" s="197">
        <f t="shared" si="43"/>
        <v>0</v>
      </c>
      <c r="AT62" s="197">
        <f t="shared" si="44"/>
        <v>0</v>
      </c>
      <c r="AU62" s="33"/>
      <c r="AV62" s="33"/>
      <c r="AW62" s="33"/>
      <c r="AX62" s="33"/>
      <c r="AY62" s="76"/>
    </row>
    <row r="63" spans="2:51">
      <c r="B63" s="40">
        <f t="shared" si="34"/>
        <v>111</v>
      </c>
      <c r="C63" s="155">
        <f t="shared" si="40"/>
        <v>115</v>
      </c>
      <c r="D63" s="140">
        <f>D64+24</f>
        <v>331</v>
      </c>
      <c r="E63" s="144">
        <f t="shared" si="32"/>
        <v>1.56</v>
      </c>
      <c r="F63" s="42">
        <f t="shared" si="45"/>
        <v>516.36</v>
      </c>
      <c r="G63" s="51">
        <f t="shared" si="46"/>
        <v>9.36</v>
      </c>
      <c r="I63" s="55">
        <v>58</v>
      </c>
      <c r="J63" s="33">
        <f t="shared" si="21"/>
        <v>5</v>
      </c>
      <c r="K63" s="33">
        <f t="shared" si="22"/>
        <v>1.910565629709926</v>
      </c>
      <c r="L63" s="33">
        <f t="shared" si="23"/>
        <v>45</v>
      </c>
      <c r="M63" s="33">
        <f t="shared" si="24"/>
        <v>0</v>
      </c>
      <c r="N63" s="33">
        <f t="shared" si="0"/>
        <v>0</v>
      </c>
      <c r="O63" s="34">
        <f t="shared" si="1"/>
        <v>177.03590180507811</v>
      </c>
      <c r="P63" s="55">
        <v>58</v>
      </c>
      <c r="Q63" s="33">
        <f t="shared" si="19"/>
        <v>18.329999999999998</v>
      </c>
      <c r="R63" s="33">
        <f t="shared" si="25"/>
        <v>389.21999999999991</v>
      </c>
      <c r="S63" s="33">
        <f t="shared" si="26"/>
        <v>217.96319999999997</v>
      </c>
      <c r="T63" s="33">
        <f t="shared" si="2"/>
        <v>53.671957946061603</v>
      </c>
      <c r="U63" s="33">
        <f t="shared" si="20"/>
        <v>60.939939254187742</v>
      </c>
      <c r="V63" s="33">
        <f t="shared" si="3"/>
        <v>10</v>
      </c>
      <c r="W63" s="33">
        <v>0</v>
      </c>
      <c r="X63" s="33">
        <f t="shared" si="4"/>
        <v>733.211010688079</v>
      </c>
      <c r="Y63" s="38">
        <f t="shared" si="5"/>
        <v>556.17510888300092</v>
      </c>
      <c r="AA63" s="71">
        <v>58</v>
      </c>
      <c r="AB63" s="33">
        <f t="shared" si="6"/>
        <v>0</v>
      </c>
      <c r="AC63" s="308">
        <f t="shared" si="7"/>
        <v>0</v>
      </c>
      <c r="AD63" s="101">
        <f t="shared" si="8"/>
        <v>0</v>
      </c>
      <c r="AE63" s="101">
        <f t="shared" si="9"/>
        <v>0</v>
      </c>
      <c r="AF63" s="197">
        <f t="shared" si="36"/>
        <v>10.22478093359859</v>
      </c>
      <c r="AG63" s="197">
        <f t="shared" si="37"/>
        <v>0</v>
      </c>
      <c r="AH63" s="197">
        <f t="shared" si="38"/>
        <v>0</v>
      </c>
      <c r="AI63" s="202">
        <f t="shared" si="39"/>
        <v>10.22478093359859</v>
      </c>
      <c r="AK63" s="71">
        <v>58</v>
      </c>
      <c r="AL63" s="33">
        <f t="shared" si="10"/>
        <v>0</v>
      </c>
      <c r="AM63" s="33">
        <f t="shared" si="11"/>
        <v>0</v>
      </c>
      <c r="AN63" s="33">
        <f t="shared" si="12"/>
        <v>0</v>
      </c>
      <c r="AO63" s="33">
        <f t="shared" si="13"/>
        <v>0</v>
      </c>
      <c r="AP63" s="33">
        <f t="shared" si="14"/>
        <v>0</v>
      </c>
      <c r="AQ63" s="197">
        <f t="shared" si="41"/>
        <v>0</v>
      </c>
      <c r="AR63" s="197">
        <f t="shared" si="42"/>
        <v>0</v>
      </c>
      <c r="AS63" s="197">
        <f t="shared" si="43"/>
        <v>0</v>
      </c>
      <c r="AT63" s="197">
        <f t="shared" si="44"/>
        <v>0</v>
      </c>
      <c r="AU63" s="33"/>
      <c r="AV63" s="33"/>
      <c r="AW63" s="33"/>
      <c r="AX63" s="33"/>
      <c r="AY63" s="76"/>
    </row>
    <row r="64" spans="2:51">
      <c r="B64" s="40">
        <f t="shared" si="34"/>
        <v>115</v>
      </c>
      <c r="C64" s="155">
        <f t="shared" si="40"/>
        <v>116</v>
      </c>
      <c r="D64" s="140">
        <v>307</v>
      </c>
      <c r="E64" s="144">
        <f t="shared" si="32"/>
        <v>1.56</v>
      </c>
      <c r="F64" s="42">
        <f t="shared" si="45"/>
        <v>478.92</v>
      </c>
      <c r="G64" s="51">
        <f t="shared" si="46"/>
        <v>-37.44</v>
      </c>
      <c r="I64" s="55">
        <v>59</v>
      </c>
      <c r="J64" s="33">
        <f t="shared" si="21"/>
        <v>5</v>
      </c>
      <c r="K64" s="33">
        <f t="shared" si="22"/>
        <v>1.910565629709926</v>
      </c>
      <c r="L64" s="33">
        <f t="shared" si="23"/>
        <v>45</v>
      </c>
      <c r="M64" s="33">
        <f t="shared" si="24"/>
        <v>0</v>
      </c>
      <c r="N64" s="33">
        <f t="shared" si="0"/>
        <v>0</v>
      </c>
      <c r="O64" s="34">
        <f t="shared" si="1"/>
        <v>177.03590180507811</v>
      </c>
      <c r="P64" s="55">
        <v>59</v>
      </c>
      <c r="Q64" s="33">
        <f t="shared" si="19"/>
        <v>18.329999999999998</v>
      </c>
      <c r="R64" s="33">
        <f t="shared" si="25"/>
        <v>407.5499999999999</v>
      </c>
      <c r="S64" s="33">
        <f t="shared" si="26"/>
        <v>228.22799999999995</v>
      </c>
      <c r="T64" s="33">
        <f t="shared" si="2"/>
        <v>55.899361406374432</v>
      </c>
      <c r="U64" s="33">
        <f t="shared" si="20"/>
        <v>61.097111052866211</v>
      </c>
      <c r="V64" s="33">
        <f t="shared" si="3"/>
        <v>10</v>
      </c>
      <c r="W64" s="33">
        <v>0</v>
      </c>
      <c r="X64" s="33">
        <f t="shared" si="4"/>
        <v>755.54456164327814</v>
      </c>
      <c r="Y64" s="38">
        <f t="shared" si="5"/>
        <v>578.50865983820006</v>
      </c>
      <c r="AA64" s="71">
        <v>59</v>
      </c>
      <c r="AB64" s="33">
        <f t="shared" si="6"/>
        <v>0</v>
      </c>
      <c r="AC64" s="308">
        <f t="shared" si="7"/>
        <v>0</v>
      </c>
      <c r="AD64" s="101">
        <f t="shared" si="8"/>
        <v>0</v>
      </c>
      <c r="AE64" s="101">
        <f t="shared" si="9"/>
        <v>0</v>
      </c>
      <c r="AF64" s="197">
        <f t="shared" si="36"/>
        <v>10.024279215991287</v>
      </c>
      <c r="AG64" s="197">
        <f t="shared" si="37"/>
        <v>0</v>
      </c>
      <c r="AH64" s="197">
        <f t="shared" si="38"/>
        <v>0</v>
      </c>
      <c r="AI64" s="202">
        <f t="shared" si="39"/>
        <v>10.024279215991287</v>
      </c>
      <c r="AK64" s="71">
        <v>59</v>
      </c>
      <c r="AL64" s="33">
        <f t="shared" si="10"/>
        <v>0</v>
      </c>
      <c r="AM64" s="33">
        <f t="shared" si="11"/>
        <v>0</v>
      </c>
      <c r="AN64" s="33">
        <f t="shared" si="12"/>
        <v>0</v>
      </c>
      <c r="AO64" s="33">
        <f t="shared" si="13"/>
        <v>0</v>
      </c>
      <c r="AP64" s="33">
        <f t="shared" si="14"/>
        <v>0</v>
      </c>
      <c r="AQ64" s="197">
        <f t="shared" si="41"/>
        <v>0</v>
      </c>
      <c r="AR64" s="197">
        <f t="shared" si="42"/>
        <v>0</v>
      </c>
      <c r="AS64" s="197">
        <f t="shared" si="43"/>
        <v>0</v>
      </c>
      <c r="AT64" s="197">
        <f t="shared" si="44"/>
        <v>0</v>
      </c>
      <c r="AU64" s="33"/>
      <c r="AV64" s="33"/>
      <c r="AW64" s="33"/>
      <c r="AX64" s="33"/>
      <c r="AY64" s="76"/>
    </row>
    <row r="65" spans="2:51">
      <c r="B65" s="40">
        <f t="shared" si="34"/>
        <v>116</v>
      </c>
      <c r="C65" s="155">
        <f t="shared" si="40"/>
        <v>120</v>
      </c>
      <c r="D65" s="140">
        <f>D66+23</f>
        <v>328</v>
      </c>
      <c r="E65" s="144">
        <f t="shared" si="32"/>
        <v>1.56</v>
      </c>
      <c r="F65" s="42">
        <f t="shared" si="45"/>
        <v>511.68</v>
      </c>
      <c r="G65" s="51">
        <f t="shared" si="46"/>
        <v>8.1899999999999977</v>
      </c>
      <c r="I65" s="55">
        <v>60</v>
      </c>
      <c r="J65" s="33">
        <f t="shared" si="21"/>
        <v>5</v>
      </c>
      <c r="K65" s="33">
        <f t="shared" si="22"/>
        <v>1.910565629709926</v>
      </c>
      <c r="L65" s="33">
        <f t="shared" si="23"/>
        <v>45</v>
      </c>
      <c r="M65" s="33">
        <f t="shared" si="24"/>
        <v>0</v>
      </c>
      <c r="N65" s="33">
        <f t="shared" si="0"/>
        <v>0</v>
      </c>
      <c r="O65" s="34">
        <f t="shared" si="1"/>
        <v>177.03590180507811</v>
      </c>
      <c r="P65" s="55">
        <v>60</v>
      </c>
      <c r="Q65" s="33">
        <f t="shared" si="19"/>
        <v>18.329999999999998</v>
      </c>
      <c r="R65" s="33">
        <f t="shared" si="25"/>
        <v>425.87999999999988</v>
      </c>
      <c r="S65" s="33">
        <f t="shared" si="26"/>
        <v>238.49279999999996</v>
      </c>
      <c r="T65" s="33">
        <f t="shared" si="2"/>
        <v>58.115130258576542</v>
      </c>
      <c r="U65" s="33">
        <f t="shared" si="20"/>
        <v>61.251556272221123</v>
      </c>
      <c r="V65" s="33">
        <f t="shared" si="3"/>
        <v>10</v>
      </c>
      <c r="W65" s="33">
        <v>0</v>
      </c>
      <c r="X65" s="33">
        <f t="shared" si="4"/>
        <v>777.84785153183157</v>
      </c>
      <c r="Y65" s="38">
        <f t="shared" si="5"/>
        <v>600.81194972675348</v>
      </c>
      <c r="AA65" s="71">
        <v>60</v>
      </c>
      <c r="AB65" s="33">
        <f t="shared" si="6"/>
        <v>0</v>
      </c>
      <c r="AC65" s="308">
        <f t="shared" si="7"/>
        <v>0</v>
      </c>
      <c r="AD65" s="101">
        <f t="shared" si="8"/>
        <v>0</v>
      </c>
      <c r="AE65" s="101">
        <f t="shared" si="9"/>
        <v>0</v>
      </c>
      <c r="AF65" s="197">
        <f t="shared" si="36"/>
        <v>9.8277092147722911</v>
      </c>
      <c r="AG65" s="197">
        <f t="shared" si="37"/>
        <v>0</v>
      </c>
      <c r="AH65" s="197">
        <f t="shared" si="38"/>
        <v>0</v>
      </c>
      <c r="AI65" s="202">
        <f t="shared" si="39"/>
        <v>9.8277092147722911</v>
      </c>
      <c r="AK65" s="71">
        <v>60</v>
      </c>
      <c r="AL65" s="33">
        <f t="shared" si="10"/>
        <v>0</v>
      </c>
      <c r="AM65" s="33">
        <f t="shared" si="11"/>
        <v>0</v>
      </c>
      <c r="AN65" s="33">
        <f t="shared" si="12"/>
        <v>0</v>
      </c>
      <c r="AO65" s="33">
        <f t="shared" si="13"/>
        <v>0</v>
      </c>
      <c r="AP65" s="33">
        <f t="shared" si="14"/>
        <v>0</v>
      </c>
      <c r="AQ65" s="197">
        <f t="shared" si="41"/>
        <v>0</v>
      </c>
      <c r="AR65" s="197">
        <f t="shared" si="42"/>
        <v>0</v>
      </c>
      <c r="AS65" s="197">
        <f t="shared" si="43"/>
        <v>0</v>
      </c>
      <c r="AT65" s="197">
        <f t="shared" si="44"/>
        <v>0</v>
      </c>
      <c r="AU65" s="33"/>
      <c r="AV65" s="33"/>
      <c r="AW65" s="33"/>
      <c r="AX65" s="33"/>
      <c r="AY65" s="76"/>
    </row>
    <row r="66" spans="2:51">
      <c r="B66" s="40">
        <f t="shared" si="34"/>
        <v>120</v>
      </c>
      <c r="C66" s="155">
        <f t="shared" si="40"/>
        <v>121</v>
      </c>
      <c r="D66" s="140">
        <v>305</v>
      </c>
      <c r="E66" s="144">
        <f t="shared" si="32"/>
        <v>1.56</v>
      </c>
      <c r="F66" s="42">
        <f t="shared" si="45"/>
        <v>475.8</v>
      </c>
      <c r="G66" s="51">
        <f t="shared" si="46"/>
        <v>-35.879999999999995</v>
      </c>
      <c r="I66" s="55">
        <v>61</v>
      </c>
      <c r="J66" s="33">
        <f t="shared" si="21"/>
        <v>5</v>
      </c>
      <c r="K66" s="33">
        <f t="shared" si="22"/>
        <v>1.910565629709926</v>
      </c>
      <c r="L66" s="33">
        <f t="shared" si="23"/>
        <v>45</v>
      </c>
      <c r="M66" s="33">
        <f t="shared" si="24"/>
        <v>0</v>
      </c>
      <c r="N66" s="33">
        <f t="shared" si="0"/>
        <v>0</v>
      </c>
      <c r="O66" s="34">
        <f t="shared" si="1"/>
        <v>177.03590180507811</v>
      </c>
      <c r="P66" s="55">
        <v>61</v>
      </c>
      <c r="Q66" s="33">
        <f t="shared" si="19"/>
        <v>-43.680000000000007</v>
      </c>
      <c r="R66" s="33">
        <f t="shared" si="25"/>
        <v>382.19999999999987</v>
      </c>
      <c r="S66" s="33">
        <f t="shared" si="26"/>
        <v>214.03199999999995</v>
      </c>
      <c r="T66" s="33">
        <f t="shared" si="2"/>
        <v>52.815701536972242</v>
      </c>
      <c r="U66" s="33">
        <f t="shared" si="20"/>
        <v>61.403322212307998</v>
      </c>
      <c r="V66" s="33">
        <f t="shared" si="3"/>
        <v>10</v>
      </c>
      <c r="W66" s="33">
        <v>0</v>
      </c>
      <c r="X66" s="33">
        <f t="shared" si="4"/>
        <v>726.57192828868926</v>
      </c>
      <c r="Y66" s="38">
        <f t="shared" si="5"/>
        <v>549.53602648361118</v>
      </c>
      <c r="AA66" s="71">
        <v>61</v>
      </c>
      <c r="AB66" s="33">
        <f t="shared" si="6"/>
        <v>28</v>
      </c>
      <c r="AC66" s="308">
        <f t="shared" si="7"/>
        <v>0.15</v>
      </c>
      <c r="AD66" s="101">
        <f t="shared" si="8"/>
        <v>0</v>
      </c>
      <c r="AE66" s="101">
        <f t="shared" si="9"/>
        <v>0</v>
      </c>
      <c r="AF66" s="197">
        <f t="shared" si="36"/>
        <v>13.691097310333276</v>
      </c>
      <c r="AG66" s="197">
        <f t="shared" si="37"/>
        <v>0</v>
      </c>
      <c r="AH66" s="197">
        <f t="shared" si="38"/>
        <v>0</v>
      </c>
      <c r="AI66" s="202">
        <f t="shared" si="39"/>
        <v>13.691097310333276</v>
      </c>
      <c r="AK66" s="71">
        <v>61</v>
      </c>
      <c r="AL66" s="33">
        <f t="shared" si="10"/>
        <v>28</v>
      </c>
      <c r="AM66" s="33">
        <f t="shared" si="11"/>
        <v>0.3</v>
      </c>
      <c r="AN66" s="33">
        <f t="shared" si="12"/>
        <v>0</v>
      </c>
      <c r="AO66" s="33">
        <f t="shared" si="13"/>
        <v>0</v>
      </c>
      <c r="AP66" s="33">
        <f t="shared" si="14"/>
        <v>0.7</v>
      </c>
      <c r="AQ66" s="197">
        <f t="shared" si="41"/>
        <v>8.4</v>
      </c>
      <c r="AR66" s="197">
        <f t="shared" si="42"/>
        <v>0</v>
      </c>
      <c r="AS66" s="197">
        <f t="shared" si="43"/>
        <v>0</v>
      </c>
      <c r="AT66" s="197">
        <f t="shared" si="44"/>
        <v>19.599999999999998</v>
      </c>
      <c r="AU66" s="33"/>
      <c r="AV66" s="33"/>
      <c r="AW66" s="33"/>
      <c r="AX66" s="33"/>
      <c r="AY66" s="76"/>
    </row>
    <row r="67" spans="2:51">
      <c r="B67" s="40">
        <f t="shared" si="34"/>
        <v>121</v>
      </c>
      <c r="C67" s="155">
        <f t="shared" si="40"/>
        <v>125</v>
      </c>
      <c r="D67" s="140">
        <f>D68+22</f>
        <v>326</v>
      </c>
      <c r="E67" s="144">
        <f t="shared" si="32"/>
        <v>1.56</v>
      </c>
      <c r="F67" s="42">
        <f t="shared" si="45"/>
        <v>508.56</v>
      </c>
      <c r="G67" s="51">
        <f t="shared" si="46"/>
        <v>8.1899999999999977</v>
      </c>
      <c r="I67" s="55">
        <v>62</v>
      </c>
      <c r="J67" s="33">
        <f t="shared" si="21"/>
        <v>5</v>
      </c>
      <c r="K67" s="33">
        <f t="shared" si="22"/>
        <v>1.910565629709926</v>
      </c>
      <c r="L67" s="33">
        <f t="shared" si="23"/>
        <v>45</v>
      </c>
      <c r="M67" s="33">
        <f t="shared" si="24"/>
        <v>0</v>
      </c>
      <c r="N67" s="33">
        <f t="shared" si="0"/>
        <v>0</v>
      </c>
      <c r="O67" s="34">
        <f t="shared" si="1"/>
        <v>177.03590180507811</v>
      </c>
      <c r="P67" s="55">
        <v>62</v>
      </c>
      <c r="Q67" s="33">
        <f t="shared" si="19"/>
        <v>17.160000000000011</v>
      </c>
      <c r="R67" s="33">
        <f t="shared" si="25"/>
        <v>399.3599999999999</v>
      </c>
      <c r="S67" s="33">
        <f t="shared" si="26"/>
        <v>223.64159999999995</v>
      </c>
      <c r="T67" s="33">
        <f t="shared" si="2"/>
        <v>54.905611653539175</v>
      </c>
      <c r="U67" s="33">
        <f t="shared" si="20"/>
        <v>61.55245535263218</v>
      </c>
      <c r="V67" s="33">
        <f t="shared" si="3"/>
        <v>10</v>
      </c>
      <c r="W67" s="33">
        <v>0</v>
      </c>
      <c r="X67" s="33">
        <f t="shared" si="4"/>
        <v>747.4953965895653</v>
      </c>
      <c r="Y67" s="38">
        <f t="shared" si="5"/>
        <v>570.45949478448722</v>
      </c>
      <c r="AA67" s="71">
        <v>62</v>
      </c>
      <c r="AB67" s="33">
        <f t="shared" si="6"/>
        <v>0</v>
      </c>
      <c r="AC67" s="308">
        <f t="shared" si="7"/>
        <v>0</v>
      </c>
      <c r="AD67" s="101">
        <f t="shared" si="8"/>
        <v>0</v>
      </c>
      <c r="AE67" s="101">
        <f t="shared" si="9"/>
        <v>0</v>
      </c>
      <c r="AF67" s="197">
        <f t="shared" si="36"/>
        <v>13.422623242822432</v>
      </c>
      <c r="AG67" s="197">
        <f t="shared" si="37"/>
        <v>0</v>
      </c>
      <c r="AH67" s="197">
        <f t="shared" si="38"/>
        <v>0</v>
      </c>
      <c r="AI67" s="202">
        <f t="shared" si="39"/>
        <v>13.422623242822432</v>
      </c>
      <c r="AK67" s="71">
        <v>62</v>
      </c>
      <c r="AL67" s="33">
        <f t="shared" si="10"/>
        <v>0</v>
      </c>
      <c r="AM67" s="33">
        <f t="shared" si="11"/>
        <v>0</v>
      </c>
      <c r="AN67" s="33">
        <f t="shared" si="12"/>
        <v>0</v>
      </c>
      <c r="AO67" s="33">
        <f t="shared" si="13"/>
        <v>0</v>
      </c>
      <c r="AP67" s="33">
        <f t="shared" si="14"/>
        <v>0</v>
      </c>
      <c r="AQ67" s="197">
        <f t="shared" si="41"/>
        <v>0</v>
      </c>
      <c r="AR67" s="197">
        <f t="shared" si="42"/>
        <v>0</v>
      </c>
      <c r="AS67" s="197">
        <f t="shared" si="43"/>
        <v>0</v>
      </c>
      <c r="AT67" s="197">
        <f t="shared" si="44"/>
        <v>0</v>
      </c>
      <c r="AU67" s="33"/>
      <c r="AV67" s="33"/>
      <c r="AW67" s="33"/>
      <c r="AX67" s="33"/>
      <c r="AY67" s="76"/>
    </row>
    <row r="68" spans="2:51">
      <c r="B68" s="40">
        <f t="shared" si="34"/>
        <v>125</v>
      </c>
      <c r="C68" s="155">
        <f t="shared" si="40"/>
        <v>126</v>
      </c>
      <c r="D68" s="140">
        <v>304</v>
      </c>
      <c r="E68" s="144">
        <f t="shared" si="32"/>
        <v>1.56</v>
      </c>
      <c r="F68" s="42">
        <f t="shared" si="45"/>
        <v>474.24</v>
      </c>
      <c r="G68" s="51">
        <f t="shared" si="46"/>
        <v>-34.319999999999993</v>
      </c>
      <c r="I68" s="55">
        <v>63</v>
      </c>
      <c r="J68" s="33">
        <f t="shared" si="21"/>
        <v>5</v>
      </c>
      <c r="K68" s="33">
        <f t="shared" si="22"/>
        <v>1.910565629709926</v>
      </c>
      <c r="L68" s="33">
        <f t="shared" si="23"/>
        <v>45</v>
      </c>
      <c r="M68" s="33">
        <f t="shared" si="24"/>
        <v>0</v>
      </c>
      <c r="N68" s="33">
        <f t="shared" si="0"/>
        <v>0</v>
      </c>
      <c r="O68" s="34">
        <f t="shared" si="1"/>
        <v>177.03590180507811</v>
      </c>
      <c r="P68" s="55">
        <v>63</v>
      </c>
      <c r="Q68" s="33">
        <f t="shared" si="19"/>
        <v>17.160000000000011</v>
      </c>
      <c r="R68" s="33">
        <f t="shared" si="25"/>
        <v>416.51999999999992</v>
      </c>
      <c r="S68" s="33">
        <f t="shared" si="26"/>
        <v>233.25119999999998</v>
      </c>
      <c r="T68" s="33">
        <f t="shared" si="2"/>
        <v>56.985091661350864</v>
      </c>
      <c r="U68" s="33">
        <f t="shared" si="20"/>
        <v>61.699001366383484</v>
      </c>
      <c r="V68" s="33">
        <f t="shared" si="3"/>
        <v>10</v>
      </c>
      <c r="W68" s="33">
        <v>0</v>
      </c>
      <c r="X68" s="33">
        <f t="shared" si="4"/>
        <v>768.39121298692532</v>
      </c>
      <c r="Y68" s="38">
        <f t="shared" si="5"/>
        <v>591.35531118184724</v>
      </c>
      <c r="AA68" s="71">
        <v>63</v>
      </c>
      <c r="AB68" s="33">
        <f t="shared" si="6"/>
        <v>0</v>
      </c>
      <c r="AC68" s="308">
        <f t="shared" si="7"/>
        <v>0</v>
      </c>
      <c r="AD68" s="101">
        <f t="shared" si="8"/>
        <v>0</v>
      </c>
      <c r="AE68" s="101">
        <f t="shared" si="9"/>
        <v>0</v>
      </c>
      <c r="AF68" s="197">
        <f t="shared" si="36"/>
        <v>13.159413788022464</v>
      </c>
      <c r="AG68" s="197">
        <f t="shared" si="37"/>
        <v>0</v>
      </c>
      <c r="AH68" s="197">
        <f t="shared" si="38"/>
        <v>0</v>
      </c>
      <c r="AI68" s="202">
        <f t="shared" si="39"/>
        <v>13.159413788022464</v>
      </c>
      <c r="AK68" s="71">
        <v>63</v>
      </c>
      <c r="AL68" s="33">
        <f t="shared" si="10"/>
        <v>0</v>
      </c>
      <c r="AM68" s="33">
        <f t="shared" si="11"/>
        <v>0</v>
      </c>
      <c r="AN68" s="33">
        <f t="shared" si="12"/>
        <v>0</v>
      </c>
      <c r="AO68" s="33">
        <f t="shared" si="13"/>
        <v>0</v>
      </c>
      <c r="AP68" s="33">
        <f t="shared" si="14"/>
        <v>0</v>
      </c>
      <c r="AQ68" s="197">
        <f t="shared" si="41"/>
        <v>0</v>
      </c>
      <c r="AR68" s="197">
        <f t="shared" si="42"/>
        <v>0</v>
      </c>
      <c r="AS68" s="197">
        <f t="shared" si="43"/>
        <v>0</v>
      </c>
      <c r="AT68" s="197">
        <f t="shared" si="44"/>
        <v>0</v>
      </c>
      <c r="AU68" s="33"/>
      <c r="AV68" s="33"/>
      <c r="AW68" s="33"/>
      <c r="AX68" s="33"/>
      <c r="AY68" s="76"/>
    </row>
    <row r="69" spans="2:51">
      <c r="B69" s="40">
        <f t="shared" si="34"/>
        <v>126</v>
      </c>
      <c r="C69" s="155">
        <f t="shared" si="40"/>
        <v>130</v>
      </c>
      <c r="D69" s="140">
        <f>D70+22</f>
        <v>324</v>
      </c>
      <c r="E69" s="144">
        <f t="shared" si="32"/>
        <v>1.56</v>
      </c>
      <c r="F69" s="42">
        <f t="shared" si="45"/>
        <v>505.44</v>
      </c>
      <c r="G69" s="51">
        <f t="shared" si="46"/>
        <v>7.7999999999999972</v>
      </c>
      <c r="I69" s="55">
        <v>64</v>
      </c>
      <c r="J69" s="33">
        <f t="shared" si="21"/>
        <v>5</v>
      </c>
      <c r="K69" s="33">
        <f t="shared" si="22"/>
        <v>1.910565629709926</v>
      </c>
      <c r="L69" s="33">
        <f t="shared" si="23"/>
        <v>45</v>
      </c>
      <c r="M69" s="33">
        <f t="shared" si="24"/>
        <v>0</v>
      </c>
      <c r="N69" s="33">
        <f t="shared" ref="N69:N132" si="47">IF(P70&lt;=$F$18,0,)</f>
        <v>0</v>
      </c>
      <c r="O69" s="34">
        <f t="shared" ref="O69:O132" si="48">((J69+K69)*0.475+L69+M69+N69)*44/12</f>
        <v>177.03590180507811</v>
      </c>
      <c r="P69" s="55">
        <v>64</v>
      </c>
      <c r="Q69" s="33">
        <f t="shared" si="19"/>
        <v>17.160000000000011</v>
      </c>
      <c r="R69" s="33">
        <f t="shared" si="25"/>
        <v>433.67999999999995</v>
      </c>
      <c r="S69" s="33">
        <f t="shared" si="26"/>
        <v>242.86079999999998</v>
      </c>
      <c r="T69" s="33">
        <f t="shared" ref="T69:T132" si="49">IF(S69=0,0,EXP(-1.0587+0.8836*LN(S69)+0.284))</f>
        <v>59.054620410700608</v>
      </c>
      <c r="U69" s="33">
        <f t="shared" si="20"/>
        <v>61.843005134424018</v>
      </c>
      <c r="V69" s="33">
        <f t="shared" ref="V69:V132" si="50">IF(P69&lt;=$F$18,IF(P69&lt;=30,P69*($F$16-$F$6)/30,$F$16-$F$6),)</f>
        <v>10</v>
      </c>
      <c r="W69" s="33">
        <v>0</v>
      </c>
      <c r="X69" s="33">
        <f t="shared" ref="X69:X132" si="51">((S69+T69)*0.475+U69+V69+W69)*44/12</f>
        <v>789.26037604152486</v>
      </c>
      <c r="Y69" s="38">
        <f t="shared" ref="Y69:Y132" si="52">IF(P69&lt;=$F$18,X69-O69,)</f>
        <v>612.22447423644678</v>
      </c>
      <c r="AA69" s="71">
        <v>64</v>
      </c>
      <c r="AB69" s="33">
        <f t="shared" ref="AB69:AB132" si="53">IF(AA69&lt;=$F$18,IFERROR(VLOOKUP($AA69,$B$82:$G$95,2,FALSE),0),)</f>
        <v>0</v>
      </c>
      <c r="AC69" s="308">
        <f t="shared" ref="AC69:AC132" si="54">IF(AA69&lt;=$F$18,IFERROR(VLOOKUP($AA69,$B$82:$G$95,3,FALSE),0),)*50%</f>
        <v>0</v>
      </c>
      <c r="AD69" s="101">
        <f t="shared" ref="AD69:AD132" si="55">IF(AA69&lt;=$F$18,IFERROR(VLOOKUP($AA69,$B$82:$G$95,4,FALSE),0),)</f>
        <v>0</v>
      </c>
      <c r="AE69" s="101">
        <f t="shared" ref="AE69:AE132" si="56">IF(AA69&lt;=$F$18,IFERROR(VLOOKUP($AA69,$B$82:$G$95,5,FALSE),0),)</f>
        <v>0</v>
      </c>
      <c r="AF69" s="197">
        <f t="shared" si="36"/>
        <v>12.901365710089207</v>
      </c>
      <c r="AG69" s="197">
        <f t="shared" si="37"/>
        <v>0</v>
      </c>
      <c r="AH69" s="197">
        <f t="shared" si="38"/>
        <v>0</v>
      </c>
      <c r="AI69" s="202">
        <f t="shared" si="39"/>
        <v>12.901365710089207</v>
      </c>
      <c r="AK69" s="71">
        <v>64</v>
      </c>
      <c r="AL69" s="33">
        <f t="shared" ref="AL69:AL132" si="57">IF(AK69&lt;=$F$18,IFERROR(VLOOKUP($AA69,$B$82:$G$95,2,FALSE),0),)</f>
        <v>0</v>
      </c>
      <c r="AM69" s="33">
        <f t="shared" ref="AM69:AM132" si="58">IF(AK69&lt;=$F$18,IFERROR(VLOOKUP($AA69,$B$82:$G$95,3,FALSE),0),)</f>
        <v>0</v>
      </c>
      <c r="AN69" s="33">
        <f t="shared" ref="AN69:AN132" si="59">IF(AK69&lt;=$F$18,IFERROR(VLOOKUP($AA69,$B$82:$G$95,4,FALSE),0),)</f>
        <v>0</v>
      </c>
      <c r="AO69" s="33">
        <f t="shared" ref="AO69:AO132" si="60">IF(AK69&lt;=$F$18,IFERROR(VLOOKUP($AA69,$B$82:$G$95,5,FALSE),0),)</f>
        <v>0</v>
      </c>
      <c r="AP69" s="33">
        <f t="shared" ref="AP69:AP132" si="61">IF(AK69&lt;=$F$18,IFERROR(VLOOKUP($AA69,$B$82:$G$95,6,FALSE),0),)</f>
        <v>0</v>
      </c>
      <c r="AQ69" s="197">
        <f t="shared" si="41"/>
        <v>0</v>
      </c>
      <c r="AR69" s="197">
        <f t="shared" si="42"/>
        <v>0</v>
      </c>
      <c r="AS69" s="197">
        <f t="shared" si="43"/>
        <v>0</v>
      </c>
      <c r="AT69" s="197">
        <f t="shared" si="44"/>
        <v>0</v>
      </c>
      <c r="AU69" s="33"/>
      <c r="AV69" s="33"/>
      <c r="AW69" s="33"/>
      <c r="AX69" s="33"/>
      <c r="AY69" s="76"/>
    </row>
    <row r="70" spans="2:51">
      <c r="B70" s="40">
        <f t="shared" si="34"/>
        <v>130</v>
      </c>
      <c r="C70" s="155">
        <f t="shared" si="40"/>
        <v>131</v>
      </c>
      <c r="D70" s="140">
        <v>302</v>
      </c>
      <c r="E70" s="144">
        <f t="shared" si="32"/>
        <v>1.56</v>
      </c>
      <c r="F70" s="42">
        <f t="shared" si="45"/>
        <v>471.12</v>
      </c>
      <c r="G70" s="51">
        <f t="shared" si="46"/>
        <v>-34.319999999999993</v>
      </c>
      <c r="I70" s="55">
        <v>65</v>
      </c>
      <c r="J70" s="33">
        <f t="shared" si="21"/>
        <v>5</v>
      </c>
      <c r="K70" s="33">
        <f t="shared" si="22"/>
        <v>1.910565629709926</v>
      </c>
      <c r="L70" s="33">
        <f t="shared" si="23"/>
        <v>45</v>
      </c>
      <c r="M70" s="33">
        <f t="shared" si="24"/>
        <v>0</v>
      </c>
      <c r="N70" s="33">
        <f t="shared" si="47"/>
        <v>0</v>
      </c>
      <c r="O70" s="34">
        <f t="shared" si="48"/>
        <v>177.03590180507811</v>
      </c>
      <c r="P70" s="55">
        <v>65</v>
      </c>
      <c r="Q70" s="33">
        <f t="shared" ref="Q70:Q133" si="62">IF(P70&lt;=$F$18,LOOKUP(P70-1,$B$25:$B$78,$G$25:$G$78),)</f>
        <v>17.160000000000011</v>
      </c>
      <c r="R70" s="33">
        <f t="shared" si="25"/>
        <v>450.84</v>
      </c>
      <c r="S70" s="33">
        <f t="shared" si="26"/>
        <v>252.47040000000001</v>
      </c>
      <c r="T70" s="33">
        <f t="shared" si="49"/>
        <v>61.114636712009279</v>
      </c>
      <c r="U70" s="33">
        <f t="shared" ref="U70:U133" si="63">IF(P70&lt;=$F$18,$F$5+($F$15-$F$5)*(1-EXP(-0.0175*P70)),)</f>
        <v>61.984510759033235</v>
      </c>
      <c r="V70" s="33">
        <f t="shared" si="50"/>
        <v>10</v>
      </c>
      <c r="W70" s="33">
        <v>0</v>
      </c>
      <c r="X70" s="33">
        <f t="shared" si="51"/>
        <v>810.10381172320467</v>
      </c>
      <c r="Y70" s="38">
        <f t="shared" si="52"/>
        <v>633.06790991812659</v>
      </c>
      <c r="AA70" s="71">
        <v>65</v>
      </c>
      <c r="AB70" s="33">
        <f t="shared" si="53"/>
        <v>0</v>
      </c>
      <c r="AC70" s="308">
        <f t="shared" si="54"/>
        <v>0</v>
      </c>
      <c r="AD70" s="101">
        <f t="shared" si="55"/>
        <v>0</v>
      </c>
      <c r="AE70" s="101">
        <f t="shared" si="56"/>
        <v>0</v>
      </c>
      <c r="AF70" s="197">
        <f t="shared" si="36"/>
        <v>12.648377797570436</v>
      </c>
      <c r="AG70" s="197">
        <f t="shared" si="37"/>
        <v>0</v>
      </c>
      <c r="AH70" s="197">
        <f t="shared" si="38"/>
        <v>0</v>
      </c>
      <c r="AI70" s="202">
        <f t="shared" si="39"/>
        <v>12.648377797570436</v>
      </c>
      <c r="AK70" s="71">
        <v>65</v>
      </c>
      <c r="AL70" s="33">
        <f t="shared" si="57"/>
        <v>0</v>
      </c>
      <c r="AM70" s="33">
        <f t="shared" si="58"/>
        <v>0</v>
      </c>
      <c r="AN70" s="33">
        <f t="shared" si="59"/>
        <v>0</v>
      </c>
      <c r="AO70" s="33">
        <f t="shared" si="60"/>
        <v>0</v>
      </c>
      <c r="AP70" s="33">
        <f t="shared" si="61"/>
        <v>0</v>
      </c>
      <c r="AQ70" s="197">
        <f t="shared" si="41"/>
        <v>0</v>
      </c>
      <c r="AR70" s="197">
        <f t="shared" si="42"/>
        <v>0</v>
      </c>
      <c r="AS70" s="197">
        <f t="shared" si="43"/>
        <v>0</v>
      </c>
      <c r="AT70" s="197">
        <f t="shared" si="44"/>
        <v>0</v>
      </c>
      <c r="AU70" s="33"/>
      <c r="AV70" s="33"/>
      <c r="AW70" s="33"/>
      <c r="AX70" s="33"/>
      <c r="AY70" s="76"/>
    </row>
    <row r="71" spans="2:51">
      <c r="B71" s="40">
        <f t="shared" si="34"/>
        <v>131</v>
      </c>
      <c r="C71" s="155">
        <f t="shared" si="40"/>
        <v>135</v>
      </c>
      <c r="D71" s="140">
        <f>D72+21</f>
        <v>322</v>
      </c>
      <c r="E71" s="144">
        <f t="shared" si="32"/>
        <v>1.56</v>
      </c>
      <c r="F71" s="42">
        <f t="shared" si="45"/>
        <v>502.32</v>
      </c>
      <c r="G71" s="51">
        <f t="shared" si="46"/>
        <v>7.7999999999999972</v>
      </c>
      <c r="I71" s="55">
        <v>66</v>
      </c>
      <c r="J71" s="33">
        <f t="shared" ref="J71:J134" si="64">IF($I71&lt;=$F$10,$F$11*$F$13+J70,)</f>
        <v>5</v>
      </c>
      <c r="K71" s="33">
        <f t="shared" ref="K71:K134" si="65">IF(J71=0,0,EXP(-1.0587+0.8836*LN(J71)+0.284))</f>
        <v>1.910565629709926</v>
      </c>
      <c r="L71" s="33">
        <f t="shared" ref="L71:L134" si="66">IF(I71&lt;=$F$10,$F$5+($F$8-$F$5)*(1-EXP(-0.0175*I71)),)</f>
        <v>45</v>
      </c>
      <c r="M71" s="33">
        <f t="shared" ref="M71:M134" si="67">IF(I71&lt;=$F$10,IF(I71&lt;=30,I71*($F$9-$F$6)/30,$F$9-$F$6),)</f>
        <v>0</v>
      </c>
      <c r="N71" s="33">
        <f t="shared" si="47"/>
        <v>0</v>
      </c>
      <c r="O71" s="34">
        <f t="shared" si="48"/>
        <v>177.03590180507811</v>
      </c>
      <c r="P71" s="55">
        <v>66</v>
      </c>
      <c r="Q71" s="33">
        <f t="shared" si="62"/>
        <v>-43.680000000000007</v>
      </c>
      <c r="R71" s="33">
        <f t="shared" ref="R71:R134" si="68">IF(P71&lt;=$F$18,Q71+R70,)</f>
        <v>407.15999999999997</v>
      </c>
      <c r="S71" s="33">
        <f t="shared" ref="S71:S134" si="69">$F$19*R71</f>
        <v>228.00960000000001</v>
      </c>
      <c r="T71" s="33">
        <f t="shared" si="49"/>
        <v>55.852093054619829</v>
      </c>
      <c r="U71" s="33">
        <f t="shared" si="63"/>
        <v>62.123561577414662</v>
      </c>
      <c r="V71" s="33">
        <f t="shared" si="50"/>
        <v>10</v>
      </c>
      <c r="W71" s="33">
        <v>0</v>
      </c>
      <c r="X71" s="33">
        <f t="shared" si="51"/>
        <v>758.84550785398324</v>
      </c>
      <c r="Y71" s="38">
        <f t="shared" si="52"/>
        <v>581.80960604890515</v>
      </c>
      <c r="AA71" s="71">
        <v>66</v>
      </c>
      <c r="AB71" s="33">
        <f t="shared" si="53"/>
        <v>28</v>
      </c>
      <c r="AC71" s="308">
        <f t="shared" si="54"/>
        <v>0.2</v>
      </c>
      <c r="AD71" s="101">
        <f t="shared" si="55"/>
        <v>0</v>
      </c>
      <c r="AE71" s="101">
        <f t="shared" si="56"/>
        <v>0</v>
      </c>
      <c r="AF71" s="197">
        <f t="shared" si="36"/>
        <v>17.808488795644685</v>
      </c>
      <c r="AG71" s="197">
        <f t="shared" si="37"/>
        <v>0</v>
      </c>
      <c r="AH71" s="197">
        <f t="shared" si="38"/>
        <v>0</v>
      </c>
      <c r="AI71" s="202">
        <f t="shared" si="39"/>
        <v>17.808488795644685</v>
      </c>
      <c r="AK71" s="71">
        <v>66</v>
      </c>
      <c r="AL71" s="33">
        <f t="shared" si="57"/>
        <v>28</v>
      </c>
      <c r="AM71" s="33">
        <f t="shared" si="58"/>
        <v>0.4</v>
      </c>
      <c r="AN71" s="33">
        <f t="shared" si="59"/>
        <v>0</v>
      </c>
      <c r="AO71" s="33">
        <f t="shared" si="60"/>
        <v>0</v>
      </c>
      <c r="AP71" s="33">
        <f t="shared" si="61"/>
        <v>0.6</v>
      </c>
      <c r="AQ71" s="197">
        <f t="shared" si="41"/>
        <v>11.200000000000001</v>
      </c>
      <c r="AR71" s="197">
        <f t="shared" si="42"/>
        <v>0</v>
      </c>
      <c r="AS71" s="197">
        <f t="shared" si="43"/>
        <v>0</v>
      </c>
      <c r="AT71" s="197">
        <f t="shared" si="44"/>
        <v>16.8</v>
      </c>
      <c r="AU71" s="33"/>
      <c r="AV71" s="33"/>
      <c r="AW71" s="33"/>
      <c r="AX71" s="33"/>
      <c r="AY71" s="76"/>
    </row>
    <row r="72" spans="2:51">
      <c r="B72" s="40">
        <f t="shared" si="34"/>
        <v>135</v>
      </c>
      <c r="C72" s="155">
        <f t="shared" si="40"/>
        <v>136</v>
      </c>
      <c r="D72" s="140">
        <v>301</v>
      </c>
      <c r="E72" s="144">
        <f t="shared" si="32"/>
        <v>1.56</v>
      </c>
      <c r="F72" s="42">
        <f t="shared" si="45"/>
        <v>469.56</v>
      </c>
      <c r="G72" s="51">
        <f t="shared" si="46"/>
        <v>-32.759999999999991</v>
      </c>
      <c r="I72" s="55">
        <v>67</v>
      </c>
      <c r="J72" s="33">
        <f t="shared" si="64"/>
        <v>5</v>
      </c>
      <c r="K72" s="33">
        <f t="shared" si="65"/>
        <v>1.910565629709926</v>
      </c>
      <c r="L72" s="33">
        <f t="shared" si="66"/>
        <v>45</v>
      </c>
      <c r="M72" s="33">
        <f t="shared" si="67"/>
        <v>0</v>
      </c>
      <c r="N72" s="33">
        <f t="shared" si="47"/>
        <v>0</v>
      </c>
      <c r="O72" s="34">
        <f t="shared" si="48"/>
        <v>177.03590180507811</v>
      </c>
      <c r="P72" s="55">
        <v>67</v>
      </c>
      <c r="Q72" s="33">
        <f t="shared" si="62"/>
        <v>15.989999999999995</v>
      </c>
      <c r="R72" s="33">
        <f t="shared" si="68"/>
        <v>423.15</v>
      </c>
      <c r="S72" s="33">
        <f t="shared" si="69"/>
        <v>236.964</v>
      </c>
      <c r="T72" s="33">
        <f t="shared" si="49"/>
        <v>57.785837100566241</v>
      </c>
      <c r="U72" s="33">
        <f t="shared" si="63"/>
        <v>62.26020017496824</v>
      </c>
      <c r="V72" s="33">
        <f t="shared" si="50"/>
        <v>10</v>
      </c>
      <c r="W72" s="33">
        <v>0</v>
      </c>
      <c r="X72" s="33">
        <f t="shared" si="51"/>
        <v>778.31003359170302</v>
      </c>
      <c r="Y72" s="38">
        <f t="shared" si="52"/>
        <v>601.27413178662493</v>
      </c>
      <c r="AA72" s="71">
        <v>67</v>
      </c>
      <c r="AB72" s="33">
        <f t="shared" si="53"/>
        <v>0</v>
      </c>
      <c r="AC72" s="308">
        <f t="shared" si="54"/>
        <v>0</v>
      </c>
      <c r="AD72" s="101">
        <f t="shared" si="55"/>
        <v>0</v>
      </c>
      <c r="AE72" s="101">
        <f t="shared" si="56"/>
        <v>0</v>
      </c>
      <c r="AF72" s="197">
        <f t="shared" si="36"/>
        <v>17.459275192467715</v>
      </c>
      <c r="AG72" s="197">
        <f t="shared" si="37"/>
        <v>0</v>
      </c>
      <c r="AH72" s="197">
        <f t="shared" si="38"/>
        <v>0</v>
      </c>
      <c r="AI72" s="202">
        <f t="shared" si="39"/>
        <v>17.459275192467715</v>
      </c>
      <c r="AK72" s="71">
        <v>67</v>
      </c>
      <c r="AL72" s="33">
        <f t="shared" si="57"/>
        <v>0</v>
      </c>
      <c r="AM72" s="33">
        <f t="shared" si="58"/>
        <v>0</v>
      </c>
      <c r="AN72" s="33">
        <f t="shared" si="59"/>
        <v>0</v>
      </c>
      <c r="AO72" s="33">
        <f t="shared" si="60"/>
        <v>0</v>
      </c>
      <c r="AP72" s="33">
        <f t="shared" si="61"/>
        <v>0</v>
      </c>
      <c r="AQ72" s="197">
        <f t="shared" si="41"/>
        <v>0</v>
      </c>
      <c r="AR72" s="197">
        <f t="shared" si="42"/>
        <v>0</v>
      </c>
      <c r="AS72" s="197">
        <f t="shared" si="43"/>
        <v>0</v>
      </c>
      <c r="AT72" s="197">
        <f t="shared" si="44"/>
        <v>0</v>
      </c>
      <c r="AU72" s="33"/>
      <c r="AV72" s="33"/>
      <c r="AW72" s="33"/>
      <c r="AX72" s="33"/>
      <c r="AY72" s="76"/>
    </row>
    <row r="73" spans="2:51">
      <c r="B73" s="40">
        <f t="shared" si="34"/>
        <v>136</v>
      </c>
      <c r="C73" s="155">
        <f t="shared" si="40"/>
        <v>140</v>
      </c>
      <c r="D73" s="140">
        <f>D74+20</f>
        <v>320</v>
      </c>
      <c r="E73" s="144">
        <f t="shared" si="32"/>
        <v>1.56</v>
      </c>
      <c r="F73" s="42">
        <f t="shared" si="45"/>
        <v>499.20000000000005</v>
      </c>
      <c r="G73" s="51">
        <f t="shared" si="46"/>
        <v>7.4100000000000108</v>
      </c>
      <c r="I73" s="55">
        <v>68</v>
      </c>
      <c r="J73" s="33">
        <f t="shared" si="64"/>
        <v>5</v>
      </c>
      <c r="K73" s="33">
        <f t="shared" si="65"/>
        <v>1.910565629709926</v>
      </c>
      <c r="L73" s="33">
        <f t="shared" si="66"/>
        <v>45</v>
      </c>
      <c r="M73" s="33">
        <f t="shared" si="67"/>
        <v>0</v>
      </c>
      <c r="N73" s="33">
        <f t="shared" si="47"/>
        <v>0</v>
      </c>
      <c r="O73" s="34">
        <f t="shared" si="48"/>
        <v>177.03590180507811</v>
      </c>
      <c r="P73" s="55">
        <v>68</v>
      </c>
      <c r="Q73" s="33">
        <f t="shared" si="62"/>
        <v>15.989999999999995</v>
      </c>
      <c r="R73" s="33">
        <f t="shared" si="68"/>
        <v>439.14</v>
      </c>
      <c r="S73" s="33">
        <f t="shared" si="69"/>
        <v>245.91840000000002</v>
      </c>
      <c r="T73" s="33">
        <f t="shared" si="49"/>
        <v>59.711092069085836</v>
      </c>
      <c r="U73" s="33">
        <f t="shared" si="63"/>
        <v>62.3944683983324</v>
      </c>
      <c r="V73" s="33">
        <f t="shared" si="50"/>
        <v>10</v>
      </c>
      <c r="W73" s="33">
        <v>0</v>
      </c>
      <c r="X73" s="33">
        <f t="shared" si="51"/>
        <v>797.75108281421001</v>
      </c>
      <c r="Y73" s="38">
        <f t="shared" si="52"/>
        <v>620.71518100913192</v>
      </c>
      <c r="AA73" s="71">
        <v>68</v>
      </c>
      <c r="AB73" s="33">
        <f t="shared" si="53"/>
        <v>0</v>
      </c>
      <c r="AC73" s="308">
        <f t="shared" si="54"/>
        <v>0</v>
      </c>
      <c r="AD73" s="101">
        <f t="shared" si="55"/>
        <v>0</v>
      </c>
      <c r="AE73" s="101">
        <f t="shared" si="56"/>
        <v>0</v>
      </c>
      <c r="AF73" s="197">
        <f t="shared" si="36"/>
        <v>17.116909455049779</v>
      </c>
      <c r="AG73" s="197">
        <f t="shared" si="37"/>
        <v>0</v>
      </c>
      <c r="AH73" s="197">
        <f t="shared" si="38"/>
        <v>0</v>
      </c>
      <c r="AI73" s="202">
        <f t="shared" si="39"/>
        <v>17.116909455049779</v>
      </c>
      <c r="AK73" s="71">
        <v>68</v>
      </c>
      <c r="AL73" s="33">
        <f t="shared" si="57"/>
        <v>0</v>
      </c>
      <c r="AM73" s="33">
        <f t="shared" si="58"/>
        <v>0</v>
      </c>
      <c r="AN73" s="33">
        <f t="shared" si="59"/>
        <v>0</v>
      </c>
      <c r="AO73" s="33">
        <f t="shared" si="60"/>
        <v>0</v>
      </c>
      <c r="AP73" s="33">
        <f t="shared" si="61"/>
        <v>0</v>
      </c>
      <c r="AQ73" s="197">
        <f t="shared" si="41"/>
        <v>0</v>
      </c>
      <c r="AR73" s="197">
        <f t="shared" si="42"/>
        <v>0</v>
      </c>
      <c r="AS73" s="197">
        <f t="shared" si="43"/>
        <v>0</v>
      </c>
      <c r="AT73" s="197">
        <f t="shared" si="44"/>
        <v>0</v>
      </c>
      <c r="AU73" s="33"/>
      <c r="AV73" s="33"/>
      <c r="AW73" s="33"/>
      <c r="AX73" s="33"/>
      <c r="AY73" s="76"/>
    </row>
    <row r="74" spans="2:51">
      <c r="B74" s="40">
        <f t="shared" si="34"/>
        <v>140</v>
      </c>
      <c r="C74" s="155">
        <f t="shared" si="40"/>
        <v>141</v>
      </c>
      <c r="D74" s="140">
        <v>300</v>
      </c>
      <c r="E74" s="144">
        <f t="shared" si="32"/>
        <v>1.56</v>
      </c>
      <c r="F74" s="42">
        <f t="shared" si="45"/>
        <v>468</v>
      </c>
      <c r="G74" s="51">
        <f t="shared" si="46"/>
        <v>-31.200000000000045</v>
      </c>
      <c r="I74" s="55">
        <v>69</v>
      </c>
      <c r="J74" s="33">
        <f t="shared" si="64"/>
        <v>5</v>
      </c>
      <c r="K74" s="33">
        <f t="shared" si="65"/>
        <v>1.910565629709926</v>
      </c>
      <c r="L74" s="33">
        <f t="shared" si="66"/>
        <v>45</v>
      </c>
      <c r="M74" s="33">
        <f t="shared" si="67"/>
        <v>0</v>
      </c>
      <c r="N74" s="33">
        <f t="shared" si="47"/>
        <v>0</v>
      </c>
      <c r="O74" s="34">
        <f t="shared" si="48"/>
        <v>177.03590180507811</v>
      </c>
      <c r="P74" s="55">
        <v>69</v>
      </c>
      <c r="Q74" s="33">
        <f t="shared" si="62"/>
        <v>15.989999999999995</v>
      </c>
      <c r="R74" s="33">
        <f t="shared" si="68"/>
        <v>455.13</v>
      </c>
      <c r="S74" s="33">
        <f t="shared" si="69"/>
        <v>254.87280000000001</v>
      </c>
      <c r="T74" s="33">
        <f t="shared" si="49"/>
        <v>61.62820246954044</v>
      </c>
      <c r="U74" s="33">
        <f t="shared" si="63"/>
        <v>62.526407368199969</v>
      </c>
      <c r="V74" s="33">
        <f t="shared" si="50"/>
        <v>10</v>
      </c>
      <c r="W74" s="33">
        <v>0</v>
      </c>
      <c r="X74" s="33">
        <f t="shared" si="51"/>
        <v>817.16940631784962</v>
      </c>
      <c r="Y74" s="38">
        <f t="shared" si="52"/>
        <v>640.13350451277154</v>
      </c>
      <c r="AA74" s="71">
        <v>69</v>
      </c>
      <c r="AB74" s="33">
        <f t="shared" si="53"/>
        <v>0</v>
      </c>
      <c r="AC74" s="308">
        <f t="shared" si="54"/>
        <v>0</v>
      </c>
      <c r="AD74" s="101">
        <f t="shared" si="55"/>
        <v>0</v>
      </c>
      <c r="AE74" s="101">
        <f t="shared" si="56"/>
        <v>0</v>
      </c>
      <c r="AF74" s="197">
        <f t="shared" si="36"/>
        <v>16.781257300920128</v>
      </c>
      <c r="AG74" s="197">
        <f t="shared" si="37"/>
        <v>0</v>
      </c>
      <c r="AH74" s="197">
        <f t="shared" si="38"/>
        <v>0</v>
      </c>
      <c r="AI74" s="202">
        <f t="shared" si="39"/>
        <v>16.781257300920128</v>
      </c>
      <c r="AK74" s="71">
        <v>69</v>
      </c>
      <c r="AL74" s="33">
        <f t="shared" si="57"/>
        <v>0</v>
      </c>
      <c r="AM74" s="33">
        <f t="shared" si="58"/>
        <v>0</v>
      </c>
      <c r="AN74" s="33">
        <f t="shared" si="59"/>
        <v>0</v>
      </c>
      <c r="AO74" s="33">
        <f t="shared" si="60"/>
        <v>0</v>
      </c>
      <c r="AP74" s="33">
        <f t="shared" si="61"/>
        <v>0</v>
      </c>
      <c r="AQ74" s="197">
        <f t="shared" si="41"/>
        <v>0</v>
      </c>
      <c r="AR74" s="197">
        <f t="shared" si="42"/>
        <v>0</v>
      </c>
      <c r="AS74" s="197">
        <f t="shared" si="43"/>
        <v>0</v>
      </c>
      <c r="AT74" s="197">
        <f t="shared" si="44"/>
        <v>0</v>
      </c>
      <c r="AU74" s="33"/>
      <c r="AV74" s="33"/>
      <c r="AW74" s="33"/>
      <c r="AX74" s="33"/>
      <c r="AY74" s="76"/>
    </row>
    <row r="75" spans="2:51">
      <c r="B75" s="40">
        <f t="shared" si="34"/>
        <v>141</v>
      </c>
      <c r="C75" s="155">
        <f t="shared" si="40"/>
        <v>145</v>
      </c>
      <c r="D75" s="140">
        <f>D76+19</f>
        <v>318</v>
      </c>
      <c r="E75" s="144">
        <f t="shared" si="32"/>
        <v>1.56</v>
      </c>
      <c r="F75" s="42">
        <f t="shared" si="45"/>
        <v>496.08000000000004</v>
      </c>
      <c r="G75" s="51">
        <f t="shared" si="46"/>
        <v>7.0200000000000102</v>
      </c>
      <c r="I75" s="55">
        <v>70</v>
      </c>
      <c r="J75" s="33">
        <f t="shared" si="64"/>
        <v>5</v>
      </c>
      <c r="K75" s="33">
        <f t="shared" si="65"/>
        <v>1.910565629709926</v>
      </c>
      <c r="L75" s="33">
        <f t="shared" si="66"/>
        <v>45</v>
      </c>
      <c r="M75" s="33">
        <f t="shared" si="67"/>
        <v>0</v>
      </c>
      <c r="N75" s="33">
        <f t="shared" si="47"/>
        <v>0</v>
      </c>
      <c r="O75" s="34">
        <f t="shared" si="48"/>
        <v>177.03590180507811</v>
      </c>
      <c r="P75" s="55">
        <v>70</v>
      </c>
      <c r="Q75" s="33">
        <f t="shared" si="62"/>
        <v>15.989999999999995</v>
      </c>
      <c r="R75" s="33">
        <f t="shared" si="68"/>
        <v>471.12</v>
      </c>
      <c r="S75" s="33">
        <f t="shared" si="69"/>
        <v>263.8272</v>
      </c>
      <c r="T75" s="33">
        <f t="shared" si="49"/>
        <v>63.537487231538819</v>
      </c>
      <c r="U75" s="33">
        <f t="shared" si="63"/>
        <v>62.656057491911682</v>
      </c>
      <c r="V75" s="33">
        <f t="shared" si="50"/>
        <v>10</v>
      </c>
      <c r="W75" s="33">
        <v>0</v>
      </c>
      <c r="X75" s="33">
        <f t="shared" si="51"/>
        <v>836.5657077319396</v>
      </c>
      <c r="Y75" s="38">
        <f t="shared" si="52"/>
        <v>659.52980592686151</v>
      </c>
      <c r="AA75" s="71">
        <v>70</v>
      </c>
      <c r="AB75" s="33">
        <f t="shared" si="53"/>
        <v>0</v>
      </c>
      <c r="AC75" s="308">
        <f t="shared" si="54"/>
        <v>0</v>
      </c>
      <c r="AD75" s="101">
        <f t="shared" si="55"/>
        <v>0</v>
      </c>
      <c r="AE75" s="101">
        <f t="shared" si="56"/>
        <v>0</v>
      </c>
      <c r="AF75" s="197">
        <f t="shared" si="36"/>
        <v>16.452187080805359</v>
      </c>
      <c r="AG75" s="197">
        <f t="shared" si="37"/>
        <v>0</v>
      </c>
      <c r="AH75" s="197">
        <f t="shared" si="38"/>
        <v>0</v>
      </c>
      <c r="AI75" s="202">
        <f t="shared" si="39"/>
        <v>16.452187080805359</v>
      </c>
      <c r="AK75" s="71">
        <v>70</v>
      </c>
      <c r="AL75" s="33">
        <f t="shared" si="57"/>
        <v>0</v>
      </c>
      <c r="AM75" s="33">
        <f t="shared" si="58"/>
        <v>0</v>
      </c>
      <c r="AN75" s="33">
        <f t="shared" si="59"/>
        <v>0</v>
      </c>
      <c r="AO75" s="33">
        <f t="shared" si="60"/>
        <v>0</v>
      </c>
      <c r="AP75" s="33">
        <f t="shared" si="61"/>
        <v>0</v>
      </c>
      <c r="AQ75" s="197">
        <f t="shared" si="41"/>
        <v>0</v>
      </c>
      <c r="AR75" s="197">
        <f t="shared" si="42"/>
        <v>0</v>
      </c>
      <c r="AS75" s="197">
        <f t="shared" si="43"/>
        <v>0</v>
      </c>
      <c r="AT75" s="197">
        <f t="shared" si="44"/>
        <v>0</v>
      </c>
      <c r="AU75" s="33"/>
      <c r="AV75" s="33"/>
      <c r="AW75" s="33"/>
      <c r="AX75" s="33"/>
      <c r="AY75" s="76"/>
    </row>
    <row r="76" spans="2:51">
      <c r="B76" s="40">
        <f t="shared" si="34"/>
        <v>145</v>
      </c>
      <c r="C76" s="155">
        <f t="shared" si="40"/>
        <v>146</v>
      </c>
      <c r="D76" s="140">
        <v>299</v>
      </c>
      <c r="E76" s="144">
        <f t="shared" si="32"/>
        <v>1.56</v>
      </c>
      <c r="F76" s="42">
        <f t="shared" si="45"/>
        <v>466.44</v>
      </c>
      <c r="G76" s="51">
        <f t="shared" si="46"/>
        <v>-29.640000000000043</v>
      </c>
      <c r="I76" s="55">
        <v>71</v>
      </c>
      <c r="J76" s="33">
        <f t="shared" si="64"/>
        <v>5</v>
      </c>
      <c r="K76" s="33">
        <f t="shared" si="65"/>
        <v>1.910565629709926</v>
      </c>
      <c r="L76" s="33">
        <f t="shared" si="66"/>
        <v>45</v>
      </c>
      <c r="M76" s="33">
        <f t="shared" si="67"/>
        <v>0</v>
      </c>
      <c r="N76" s="33">
        <f t="shared" si="47"/>
        <v>0</v>
      </c>
      <c r="O76" s="34">
        <f t="shared" si="48"/>
        <v>177.03590180507811</v>
      </c>
      <c r="P76" s="55">
        <v>71</v>
      </c>
      <c r="Q76" s="33">
        <f t="shared" si="62"/>
        <v>-43.680000000000007</v>
      </c>
      <c r="R76" s="33">
        <f t="shared" si="68"/>
        <v>427.44</v>
      </c>
      <c r="S76" s="33">
        <f t="shared" si="69"/>
        <v>239.36640000000003</v>
      </c>
      <c r="T76" s="33">
        <f t="shared" si="49"/>
        <v>58.303187389471979</v>
      </c>
      <c r="U76" s="33">
        <f t="shared" si="63"/>
        <v>62.783458475831253</v>
      </c>
      <c r="V76" s="33">
        <f t="shared" si="50"/>
        <v>10</v>
      </c>
      <c r="W76" s="33">
        <v>0</v>
      </c>
      <c r="X76" s="33">
        <f t="shared" si="51"/>
        <v>785.31387911471165</v>
      </c>
      <c r="Y76" s="38">
        <f t="shared" si="52"/>
        <v>608.27797730963357</v>
      </c>
      <c r="AA76" s="71">
        <v>71</v>
      </c>
      <c r="AB76" s="33">
        <f t="shared" si="53"/>
        <v>28</v>
      </c>
      <c r="AC76" s="308">
        <f t="shared" si="54"/>
        <v>0.2</v>
      </c>
      <c r="AD76" s="101">
        <f t="shared" si="55"/>
        <v>0</v>
      </c>
      <c r="AE76" s="101">
        <f t="shared" si="56"/>
        <v>0</v>
      </c>
      <c r="AF76" s="197">
        <f t="shared" si="36"/>
        <v>21.537707698929946</v>
      </c>
      <c r="AG76" s="197">
        <f t="shared" si="37"/>
        <v>0</v>
      </c>
      <c r="AH76" s="197">
        <f t="shared" si="38"/>
        <v>0</v>
      </c>
      <c r="AI76" s="202">
        <f t="shared" si="39"/>
        <v>21.537707698929946</v>
      </c>
      <c r="AK76" s="71">
        <v>71</v>
      </c>
      <c r="AL76" s="33">
        <f t="shared" si="57"/>
        <v>28</v>
      </c>
      <c r="AM76" s="33">
        <f t="shared" si="58"/>
        <v>0.4</v>
      </c>
      <c r="AN76" s="33">
        <f t="shared" si="59"/>
        <v>0</v>
      </c>
      <c r="AO76" s="33">
        <f t="shared" si="60"/>
        <v>0</v>
      </c>
      <c r="AP76" s="33">
        <f t="shared" si="61"/>
        <v>0.6</v>
      </c>
      <c r="AQ76" s="197">
        <f t="shared" si="41"/>
        <v>11.200000000000001</v>
      </c>
      <c r="AR76" s="197">
        <f t="shared" si="42"/>
        <v>0</v>
      </c>
      <c r="AS76" s="197">
        <f t="shared" si="43"/>
        <v>0</v>
      </c>
      <c r="AT76" s="197">
        <f t="shared" si="44"/>
        <v>16.8</v>
      </c>
      <c r="AU76" s="33"/>
      <c r="AV76" s="33"/>
      <c r="AW76" s="33"/>
      <c r="AX76" s="33"/>
      <c r="AY76" s="76"/>
    </row>
    <row r="77" spans="2:51">
      <c r="B77" s="40">
        <f t="shared" si="34"/>
        <v>146</v>
      </c>
      <c r="C77" s="155">
        <f t="shared" si="40"/>
        <v>150</v>
      </c>
      <c r="D77" s="140">
        <f>D78+18</f>
        <v>316</v>
      </c>
      <c r="E77" s="144">
        <f t="shared" si="32"/>
        <v>1.56</v>
      </c>
      <c r="F77" s="42">
        <f t="shared" si="45"/>
        <v>492.96000000000004</v>
      </c>
      <c r="G77" s="51">
        <f t="shared" si="46"/>
        <v>6.6300000000000097</v>
      </c>
      <c r="I77" s="55">
        <v>72</v>
      </c>
      <c r="J77" s="33">
        <f t="shared" si="64"/>
        <v>5</v>
      </c>
      <c r="K77" s="33">
        <f t="shared" si="65"/>
        <v>1.910565629709926</v>
      </c>
      <c r="L77" s="33">
        <f t="shared" si="66"/>
        <v>45</v>
      </c>
      <c r="M77" s="33">
        <f t="shared" si="67"/>
        <v>0</v>
      </c>
      <c r="N77" s="33">
        <f t="shared" si="47"/>
        <v>0</v>
      </c>
      <c r="O77" s="34">
        <f t="shared" si="48"/>
        <v>177.03590180507811</v>
      </c>
      <c r="P77" s="55">
        <v>72</v>
      </c>
      <c r="Q77" s="33">
        <f t="shared" si="62"/>
        <v>14.820000000000007</v>
      </c>
      <c r="R77" s="33">
        <f t="shared" si="68"/>
        <v>442.26</v>
      </c>
      <c r="S77" s="33">
        <f t="shared" si="69"/>
        <v>247.66560000000001</v>
      </c>
      <c r="T77" s="33">
        <f t="shared" si="49"/>
        <v>60.085791620819229</v>
      </c>
      <c r="U77" s="33">
        <f t="shared" si="63"/>
        <v>62.908649337505743</v>
      </c>
      <c r="V77" s="33">
        <f t="shared" si="50"/>
        <v>10</v>
      </c>
      <c r="W77" s="33">
        <v>0</v>
      </c>
      <c r="X77" s="33">
        <f t="shared" si="51"/>
        <v>803.33205464378125</v>
      </c>
      <c r="Y77" s="38">
        <f t="shared" si="52"/>
        <v>626.29615283870316</v>
      </c>
      <c r="AA77" s="71">
        <v>72</v>
      </c>
      <c r="AB77" s="33">
        <f t="shared" si="53"/>
        <v>0</v>
      </c>
      <c r="AC77" s="308">
        <f t="shared" si="54"/>
        <v>0</v>
      </c>
      <c r="AD77" s="101">
        <f t="shared" si="55"/>
        <v>0</v>
      </c>
      <c r="AE77" s="101">
        <f t="shared" si="56"/>
        <v>0</v>
      </c>
      <c r="AF77" s="197">
        <f t="shared" si="36"/>
        <v>21.115366387658483</v>
      </c>
      <c r="AG77" s="197">
        <f t="shared" si="37"/>
        <v>0</v>
      </c>
      <c r="AH77" s="197">
        <f t="shared" si="38"/>
        <v>0</v>
      </c>
      <c r="AI77" s="202">
        <f t="shared" si="39"/>
        <v>21.115366387658483</v>
      </c>
      <c r="AK77" s="71">
        <v>72</v>
      </c>
      <c r="AL77" s="33">
        <f t="shared" si="57"/>
        <v>0</v>
      </c>
      <c r="AM77" s="33">
        <f t="shared" si="58"/>
        <v>0</v>
      </c>
      <c r="AN77" s="33">
        <f t="shared" si="59"/>
        <v>0</v>
      </c>
      <c r="AO77" s="33">
        <f t="shared" si="60"/>
        <v>0</v>
      </c>
      <c r="AP77" s="33">
        <f t="shared" si="61"/>
        <v>0</v>
      </c>
      <c r="AQ77" s="197">
        <f t="shared" si="41"/>
        <v>0</v>
      </c>
      <c r="AR77" s="197">
        <f t="shared" si="42"/>
        <v>0</v>
      </c>
      <c r="AS77" s="197">
        <f t="shared" si="43"/>
        <v>0</v>
      </c>
      <c r="AT77" s="197">
        <f t="shared" si="44"/>
        <v>0</v>
      </c>
      <c r="AU77" s="33"/>
      <c r="AV77" s="33"/>
      <c r="AW77" s="33"/>
      <c r="AX77" s="33"/>
      <c r="AY77" s="76"/>
    </row>
    <row r="78" spans="2:51">
      <c r="B78" s="43">
        <f t="shared" si="34"/>
        <v>150</v>
      </c>
      <c r="C78" s="156">
        <f t="shared" si="40"/>
        <v>151</v>
      </c>
      <c r="D78" s="157">
        <v>298</v>
      </c>
      <c r="E78" s="144">
        <f t="shared" si="32"/>
        <v>1.56</v>
      </c>
      <c r="F78" s="42">
        <f t="shared" si="45"/>
        <v>464.88</v>
      </c>
      <c r="G78" s="51">
        <f t="shared" si="46"/>
        <v>-28.080000000000041</v>
      </c>
      <c r="I78" s="55">
        <v>73</v>
      </c>
      <c r="J78" s="33">
        <f t="shared" si="64"/>
        <v>5</v>
      </c>
      <c r="K78" s="33">
        <f t="shared" si="65"/>
        <v>1.910565629709926</v>
      </c>
      <c r="L78" s="33">
        <f t="shared" si="66"/>
        <v>45</v>
      </c>
      <c r="M78" s="33">
        <f t="shared" si="67"/>
        <v>0</v>
      </c>
      <c r="N78" s="33">
        <f t="shared" si="47"/>
        <v>0</v>
      </c>
      <c r="O78" s="34">
        <f t="shared" si="48"/>
        <v>177.03590180507811</v>
      </c>
      <c r="P78" s="55">
        <v>73</v>
      </c>
      <c r="Q78" s="33">
        <f t="shared" si="62"/>
        <v>14.820000000000007</v>
      </c>
      <c r="R78" s="33">
        <f t="shared" si="68"/>
        <v>457.08</v>
      </c>
      <c r="S78" s="33">
        <f t="shared" si="69"/>
        <v>255.96480000000003</v>
      </c>
      <c r="T78" s="33">
        <f t="shared" si="49"/>
        <v>61.861454922966502</v>
      </c>
      <c r="U78" s="33">
        <f t="shared" si="63"/>
        <v>63.031668417615023</v>
      </c>
      <c r="V78" s="33">
        <f t="shared" si="50"/>
        <v>10</v>
      </c>
      <c r="W78" s="33">
        <v>0</v>
      </c>
      <c r="X78" s="33">
        <f t="shared" si="51"/>
        <v>821.33017818875499</v>
      </c>
      <c r="Y78" s="38">
        <f t="shared" si="52"/>
        <v>644.2942763836769</v>
      </c>
      <c r="AA78" s="71">
        <v>73</v>
      </c>
      <c r="AB78" s="33">
        <f t="shared" si="53"/>
        <v>0</v>
      </c>
      <c r="AC78" s="308">
        <f t="shared" si="54"/>
        <v>0</v>
      </c>
      <c r="AD78" s="101">
        <f t="shared" si="55"/>
        <v>0</v>
      </c>
      <c r="AE78" s="101">
        <f t="shared" si="56"/>
        <v>0</v>
      </c>
      <c r="AF78" s="197">
        <f t="shared" si="36"/>
        <v>20.701306931898291</v>
      </c>
      <c r="AG78" s="197">
        <f t="shared" si="37"/>
        <v>0</v>
      </c>
      <c r="AH78" s="197">
        <f t="shared" si="38"/>
        <v>0</v>
      </c>
      <c r="AI78" s="202">
        <f t="shared" si="39"/>
        <v>20.701306931898291</v>
      </c>
      <c r="AK78" s="71">
        <v>73</v>
      </c>
      <c r="AL78" s="33">
        <f t="shared" si="57"/>
        <v>0</v>
      </c>
      <c r="AM78" s="33">
        <f t="shared" si="58"/>
        <v>0</v>
      </c>
      <c r="AN78" s="33">
        <f t="shared" si="59"/>
        <v>0</v>
      </c>
      <c r="AO78" s="33">
        <f t="shared" si="60"/>
        <v>0</v>
      </c>
      <c r="AP78" s="33">
        <f t="shared" si="61"/>
        <v>0</v>
      </c>
      <c r="AQ78" s="197">
        <f t="shared" si="41"/>
        <v>0</v>
      </c>
      <c r="AR78" s="197">
        <f t="shared" si="42"/>
        <v>0</v>
      </c>
      <c r="AS78" s="197">
        <f t="shared" si="43"/>
        <v>0</v>
      </c>
      <c r="AT78" s="197">
        <f t="shared" si="44"/>
        <v>0</v>
      </c>
      <c r="AU78" s="33"/>
      <c r="AV78" s="33"/>
      <c r="AW78" s="33"/>
      <c r="AX78" s="33"/>
      <c r="AY78" s="76"/>
    </row>
    <row r="79" spans="2:51">
      <c r="I79" s="55">
        <v>74</v>
      </c>
      <c r="J79" s="33">
        <f t="shared" si="64"/>
        <v>5</v>
      </c>
      <c r="K79" s="33">
        <f t="shared" si="65"/>
        <v>1.910565629709926</v>
      </c>
      <c r="L79" s="33">
        <f t="shared" si="66"/>
        <v>45</v>
      </c>
      <c r="M79" s="33">
        <f t="shared" si="67"/>
        <v>0</v>
      </c>
      <c r="N79" s="33">
        <f t="shared" si="47"/>
        <v>0</v>
      </c>
      <c r="O79" s="34">
        <f t="shared" si="48"/>
        <v>177.03590180507811</v>
      </c>
      <c r="P79" s="55">
        <v>74</v>
      </c>
      <c r="Q79" s="33">
        <f t="shared" si="62"/>
        <v>14.820000000000007</v>
      </c>
      <c r="R79" s="33">
        <f t="shared" si="68"/>
        <v>471.9</v>
      </c>
      <c r="S79" s="33">
        <f t="shared" si="69"/>
        <v>264.26400000000001</v>
      </c>
      <c r="T79" s="33">
        <f t="shared" si="49"/>
        <v>63.630428154328875</v>
      </c>
      <c r="U79" s="33">
        <f t="shared" si="63"/>
        <v>63.152553391713859</v>
      </c>
      <c r="V79" s="33">
        <f t="shared" si="50"/>
        <v>10</v>
      </c>
      <c r="W79" s="33">
        <v>0</v>
      </c>
      <c r="X79" s="33">
        <f t="shared" si="51"/>
        <v>839.30882480507353</v>
      </c>
      <c r="Y79" s="38">
        <f t="shared" si="52"/>
        <v>662.27292299999544</v>
      </c>
      <c r="AA79" s="71">
        <v>74</v>
      </c>
      <c r="AB79" s="33">
        <f t="shared" si="53"/>
        <v>0</v>
      </c>
      <c r="AC79" s="308">
        <f t="shared" si="54"/>
        <v>0</v>
      </c>
      <c r="AD79" s="101">
        <f t="shared" si="55"/>
        <v>0</v>
      </c>
      <c r="AE79" s="101">
        <f t="shared" si="56"/>
        <v>0</v>
      </c>
      <c r="AF79" s="197">
        <f t="shared" si="36"/>
        <v>20.295366929514227</v>
      </c>
      <c r="AG79" s="197">
        <f t="shared" si="37"/>
        <v>0</v>
      </c>
      <c r="AH79" s="197">
        <f t="shared" si="38"/>
        <v>0</v>
      </c>
      <c r="AI79" s="202">
        <f t="shared" si="39"/>
        <v>20.295366929514227</v>
      </c>
      <c r="AK79" s="71">
        <v>74</v>
      </c>
      <c r="AL79" s="33">
        <f t="shared" si="57"/>
        <v>0</v>
      </c>
      <c r="AM79" s="33">
        <f t="shared" si="58"/>
        <v>0</v>
      </c>
      <c r="AN79" s="33">
        <f t="shared" si="59"/>
        <v>0</v>
      </c>
      <c r="AO79" s="33">
        <f t="shared" si="60"/>
        <v>0</v>
      </c>
      <c r="AP79" s="33">
        <f t="shared" si="61"/>
        <v>0</v>
      </c>
      <c r="AQ79" s="197">
        <f t="shared" si="41"/>
        <v>0</v>
      </c>
      <c r="AR79" s="197">
        <f t="shared" si="42"/>
        <v>0</v>
      </c>
      <c r="AS79" s="197">
        <f t="shared" si="43"/>
        <v>0</v>
      </c>
      <c r="AT79" s="197">
        <f t="shared" si="44"/>
        <v>0</v>
      </c>
      <c r="AU79" s="33"/>
      <c r="AV79" s="33"/>
      <c r="AW79" s="33"/>
      <c r="AX79" s="33"/>
      <c r="AY79" s="76"/>
    </row>
    <row r="80" spans="2:51">
      <c r="B80" s="358" t="s">
        <v>259</v>
      </c>
      <c r="C80" s="359"/>
      <c r="D80" s="359"/>
      <c r="E80" s="359"/>
      <c r="F80" s="359"/>
      <c r="G80" s="360"/>
      <c r="H80" s="23"/>
      <c r="I80" s="55">
        <v>75</v>
      </c>
      <c r="J80" s="33">
        <f t="shared" si="64"/>
        <v>5</v>
      </c>
      <c r="K80" s="33">
        <f t="shared" si="65"/>
        <v>1.910565629709926</v>
      </c>
      <c r="L80" s="33">
        <f t="shared" si="66"/>
        <v>45</v>
      </c>
      <c r="M80" s="33">
        <f t="shared" si="67"/>
        <v>0</v>
      </c>
      <c r="N80" s="33">
        <f t="shared" si="47"/>
        <v>0</v>
      </c>
      <c r="O80" s="34">
        <f t="shared" si="48"/>
        <v>177.03590180507811</v>
      </c>
      <c r="P80" s="55">
        <v>75</v>
      </c>
      <c r="Q80" s="33">
        <f t="shared" si="62"/>
        <v>14.820000000000007</v>
      </c>
      <c r="R80" s="33">
        <f t="shared" si="68"/>
        <v>486.71999999999997</v>
      </c>
      <c r="S80" s="33">
        <f t="shared" si="69"/>
        <v>272.56319999999999</v>
      </c>
      <c r="T80" s="33">
        <f t="shared" si="49"/>
        <v>65.392945522034609</v>
      </c>
      <c r="U80" s="33">
        <f t="shared" si="63"/>
        <v>63.271341281770404</v>
      </c>
      <c r="V80" s="33">
        <f t="shared" si="50"/>
        <v>10</v>
      </c>
      <c r="W80" s="33">
        <v>0</v>
      </c>
      <c r="X80" s="33">
        <f t="shared" si="51"/>
        <v>857.26853815070172</v>
      </c>
      <c r="Y80" s="38">
        <f t="shared" si="52"/>
        <v>680.23263634562363</v>
      </c>
      <c r="AA80" s="71">
        <v>75</v>
      </c>
      <c r="AB80" s="33">
        <f t="shared" si="53"/>
        <v>0</v>
      </c>
      <c r="AC80" s="308">
        <f t="shared" si="54"/>
        <v>0</v>
      </c>
      <c r="AD80" s="101">
        <f t="shared" si="55"/>
        <v>0</v>
      </c>
      <c r="AE80" s="101">
        <f t="shared" si="56"/>
        <v>0</v>
      </c>
      <c r="AF80" s="197">
        <f t="shared" si="36"/>
        <v>19.89738716297796</v>
      </c>
      <c r="AG80" s="197">
        <f t="shared" si="37"/>
        <v>0</v>
      </c>
      <c r="AH80" s="197">
        <f t="shared" si="38"/>
        <v>0</v>
      </c>
      <c r="AI80" s="202">
        <f t="shared" si="39"/>
        <v>19.89738716297796</v>
      </c>
      <c r="AK80" s="71">
        <v>75</v>
      </c>
      <c r="AL80" s="33">
        <f t="shared" si="57"/>
        <v>0</v>
      </c>
      <c r="AM80" s="33">
        <f t="shared" si="58"/>
        <v>0</v>
      </c>
      <c r="AN80" s="33">
        <f t="shared" si="59"/>
        <v>0</v>
      </c>
      <c r="AO80" s="33">
        <f t="shared" si="60"/>
        <v>0</v>
      </c>
      <c r="AP80" s="33">
        <f t="shared" si="61"/>
        <v>0</v>
      </c>
      <c r="AQ80" s="197">
        <f t="shared" si="41"/>
        <v>0</v>
      </c>
      <c r="AR80" s="197">
        <f t="shared" si="42"/>
        <v>0</v>
      </c>
      <c r="AS80" s="197">
        <f t="shared" si="43"/>
        <v>0</v>
      </c>
      <c r="AT80" s="197">
        <f t="shared" si="44"/>
        <v>0</v>
      </c>
      <c r="AU80" s="33"/>
      <c r="AV80" s="33"/>
      <c r="AW80" s="33"/>
      <c r="AX80" s="33"/>
      <c r="AY80" s="76"/>
    </row>
    <row r="81" spans="2:51">
      <c r="B81" s="159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7"/>
      <c r="I81" s="55">
        <v>76</v>
      </c>
      <c r="J81" s="33">
        <f t="shared" si="64"/>
        <v>5</v>
      </c>
      <c r="K81" s="33">
        <f t="shared" si="65"/>
        <v>1.910565629709926</v>
      </c>
      <c r="L81" s="33">
        <f t="shared" si="66"/>
        <v>45</v>
      </c>
      <c r="M81" s="33">
        <f t="shared" si="67"/>
        <v>0</v>
      </c>
      <c r="N81" s="33">
        <f t="shared" si="47"/>
        <v>0</v>
      </c>
      <c r="O81" s="34">
        <f t="shared" si="48"/>
        <v>177.03590180507811</v>
      </c>
      <c r="P81" s="55">
        <v>76</v>
      </c>
      <c r="Q81" s="33">
        <f t="shared" si="62"/>
        <v>-43.680000000000007</v>
      </c>
      <c r="R81" s="33">
        <f t="shared" si="68"/>
        <v>443.03999999999996</v>
      </c>
      <c r="S81" s="33">
        <f t="shared" si="69"/>
        <v>248.10240000000002</v>
      </c>
      <c r="T81" s="33">
        <f t="shared" si="49"/>
        <v>60.179418356999925</v>
      </c>
      <c r="U81" s="33">
        <f t="shared" si="63"/>
        <v>63.388068467504397</v>
      </c>
      <c r="V81" s="33">
        <f t="shared" si="50"/>
        <v>10</v>
      </c>
      <c r="W81" s="33">
        <v>0</v>
      </c>
      <c r="X81" s="33">
        <f t="shared" si="51"/>
        <v>806.01375135262435</v>
      </c>
      <c r="Y81" s="38">
        <f t="shared" si="52"/>
        <v>628.97784954754627</v>
      </c>
      <c r="AA81" s="71">
        <v>76</v>
      </c>
      <c r="AB81" s="33">
        <f t="shared" si="53"/>
        <v>28</v>
      </c>
      <c r="AC81" s="308">
        <f t="shared" si="54"/>
        <v>0.25</v>
      </c>
      <c r="AD81" s="101">
        <f t="shared" si="55"/>
        <v>0</v>
      </c>
      <c r="AE81" s="101">
        <f t="shared" si="56"/>
        <v>0</v>
      </c>
      <c r="AF81" s="197">
        <f t="shared" si="36"/>
        <v>26.267384001839677</v>
      </c>
      <c r="AG81" s="197">
        <f t="shared" si="37"/>
        <v>0</v>
      </c>
      <c r="AH81" s="197">
        <f t="shared" si="38"/>
        <v>0</v>
      </c>
      <c r="AI81" s="202">
        <f t="shared" si="39"/>
        <v>26.267384001839677</v>
      </c>
      <c r="AK81" s="71">
        <v>76</v>
      </c>
      <c r="AL81" s="33">
        <f t="shared" si="57"/>
        <v>28</v>
      </c>
      <c r="AM81" s="33">
        <f t="shared" si="58"/>
        <v>0.5</v>
      </c>
      <c r="AN81" s="33">
        <f t="shared" si="59"/>
        <v>0</v>
      </c>
      <c r="AO81" s="33">
        <f t="shared" si="60"/>
        <v>0</v>
      </c>
      <c r="AP81" s="33">
        <f t="shared" si="61"/>
        <v>0.5</v>
      </c>
      <c r="AQ81" s="197">
        <f t="shared" si="41"/>
        <v>14</v>
      </c>
      <c r="AR81" s="197">
        <f t="shared" si="42"/>
        <v>0</v>
      </c>
      <c r="AS81" s="197">
        <f t="shared" si="43"/>
        <v>0</v>
      </c>
      <c r="AT81" s="197">
        <f t="shared" si="44"/>
        <v>14</v>
      </c>
      <c r="AU81" s="33"/>
      <c r="AV81" s="33"/>
      <c r="AW81" s="33"/>
      <c r="AX81" s="33"/>
      <c r="AY81" s="76"/>
    </row>
    <row r="82" spans="2:51">
      <c r="B82" s="173">
        <f>IF(C25&lt;=$F$18,C25+1,"-")</f>
        <v>21</v>
      </c>
      <c r="C82" s="148">
        <f>D25-D26</f>
        <v>6</v>
      </c>
      <c r="D82" s="149">
        <v>0</v>
      </c>
      <c r="E82" s="174">
        <f>IF(G82+D82&lt;&gt;1,(1-(G82+D82))*56%,0)</f>
        <v>0</v>
      </c>
      <c r="F82" s="174">
        <f>IF(G82+D82&lt;&gt;1,(1-(G82+D82))*44%,0)</f>
        <v>0</v>
      </c>
      <c r="G82" s="153">
        <f>1-D82</f>
        <v>1</v>
      </c>
      <c r="H82" s="58">
        <f t="shared" ref="H82:H93" si="70">IF(C82=0,0,IF(SUM(D82:G82)&lt;&gt;1,"erreur",))</f>
        <v>0</v>
      </c>
      <c r="I82" s="55">
        <v>77</v>
      </c>
      <c r="J82" s="33">
        <f t="shared" si="64"/>
        <v>5</v>
      </c>
      <c r="K82" s="33">
        <f t="shared" si="65"/>
        <v>1.910565629709926</v>
      </c>
      <c r="L82" s="33">
        <f t="shared" si="66"/>
        <v>45</v>
      </c>
      <c r="M82" s="33">
        <f t="shared" si="67"/>
        <v>0</v>
      </c>
      <c r="N82" s="33">
        <f t="shared" si="47"/>
        <v>0</v>
      </c>
      <c r="O82" s="34">
        <f t="shared" si="48"/>
        <v>177.03590180507811</v>
      </c>
      <c r="P82" s="55">
        <v>77</v>
      </c>
      <c r="Q82" s="33">
        <f t="shared" si="62"/>
        <v>14.040000000000006</v>
      </c>
      <c r="R82" s="33">
        <f t="shared" si="68"/>
        <v>457.08</v>
      </c>
      <c r="S82" s="33">
        <f t="shared" si="69"/>
        <v>255.96480000000003</v>
      </c>
      <c r="T82" s="33">
        <f t="shared" si="49"/>
        <v>61.861454922966502</v>
      </c>
      <c r="U82" s="33">
        <f t="shared" si="63"/>
        <v>63.50277069752881</v>
      </c>
      <c r="V82" s="33">
        <f t="shared" si="50"/>
        <v>10</v>
      </c>
      <c r="W82" s="33">
        <v>0</v>
      </c>
      <c r="X82" s="33">
        <f t="shared" si="51"/>
        <v>823.0575532151056</v>
      </c>
      <c r="Y82" s="38">
        <f t="shared" si="52"/>
        <v>646.02165141002752</v>
      </c>
      <c r="AA82" s="71">
        <v>77</v>
      </c>
      <c r="AB82" s="33">
        <f t="shared" si="53"/>
        <v>0</v>
      </c>
      <c r="AC82" s="308">
        <f t="shared" si="54"/>
        <v>0</v>
      </c>
      <c r="AD82" s="101">
        <f t="shared" si="55"/>
        <v>0</v>
      </c>
      <c r="AE82" s="101">
        <f t="shared" si="56"/>
        <v>0</v>
      </c>
      <c r="AF82" s="197">
        <f t="shared" si="36"/>
        <v>25.752296623085847</v>
      </c>
      <c r="AG82" s="197">
        <f t="shared" si="37"/>
        <v>0</v>
      </c>
      <c r="AH82" s="197">
        <f t="shared" si="38"/>
        <v>0</v>
      </c>
      <c r="AI82" s="202">
        <f t="shared" si="39"/>
        <v>25.752296623085847</v>
      </c>
      <c r="AK82" s="71">
        <v>77</v>
      </c>
      <c r="AL82" s="33">
        <f t="shared" si="57"/>
        <v>0</v>
      </c>
      <c r="AM82" s="33">
        <f t="shared" si="58"/>
        <v>0</v>
      </c>
      <c r="AN82" s="33">
        <f t="shared" si="59"/>
        <v>0</v>
      </c>
      <c r="AO82" s="33">
        <f t="shared" si="60"/>
        <v>0</v>
      </c>
      <c r="AP82" s="33">
        <f t="shared" si="61"/>
        <v>0</v>
      </c>
      <c r="AQ82" s="197">
        <f t="shared" si="41"/>
        <v>0</v>
      </c>
      <c r="AR82" s="197">
        <f t="shared" si="42"/>
        <v>0</v>
      </c>
      <c r="AS82" s="197">
        <f t="shared" si="43"/>
        <v>0</v>
      </c>
      <c r="AT82" s="197">
        <f t="shared" si="44"/>
        <v>0</v>
      </c>
      <c r="AU82" s="33"/>
      <c r="AV82" s="33"/>
      <c r="AW82" s="33"/>
      <c r="AX82" s="33"/>
      <c r="AY82" s="76"/>
    </row>
    <row r="83" spans="2:51">
      <c r="B83" s="175">
        <f>IF(C27&lt;=$F$18,C27+1,"-")</f>
        <v>26</v>
      </c>
      <c r="C83" s="151">
        <f>D27-D28</f>
        <v>28</v>
      </c>
      <c r="D83" s="152">
        <v>0</v>
      </c>
      <c r="E83" s="130">
        <f t="shared" ref="E83:E93" si="71">IF(G83+D83&lt;&gt;1,(1-(G83+D83))*56%,0)</f>
        <v>0</v>
      </c>
      <c r="F83" s="130">
        <f t="shared" ref="F83:F93" si="72">IF(G83+D83&lt;&gt;1,(1-(G83+D83))*44%,0)</f>
        <v>0</v>
      </c>
      <c r="G83" s="153">
        <f>1-D83</f>
        <v>1</v>
      </c>
      <c r="H83" s="58">
        <f t="shared" si="70"/>
        <v>0</v>
      </c>
      <c r="I83" s="55">
        <v>78</v>
      </c>
      <c r="J83" s="33">
        <f t="shared" si="64"/>
        <v>5</v>
      </c>
      <c r="K83" s="33">
        <f t="shared" si="65"/>
        <v>1.910565629709926</v>
      </c>
      <c r="L83" s="33">
        <f t="shared" si="66"/>
        <v>45</v>
      </c>
      <c r="M83" s="33">
        <f t="shared" si="67"/>
        <v>0</v>
      </c>
      <c r="N83" s="33">
        <f t="shared" si="47"/>
        <v>0</v>
      </c>
      <c r="O83" s="34">
        <f t="shared" si="48"/>
        <v>177.03590180507811</v>
      </c>
      <c r="P83" s="55">
        <v>78</v>
      </c>
      <c r="Q83" s="33">
        <f t="shared" si="62"/>
        <v>14.040000000000006</v>
      </c>
      <c r="R83" s="33">
        <f t="shared" si="68"/>
        <v>471.12</v>
      </c>
      <c r="S83" s="33">
        <f t="shared" si="69"/>
        <v>263.8272</v>
      </c>
      <c r="T83" s="33">
        <f t="shared" si="49"/>
        <v>63.537487231538819</v>
      </c>
      <c r="U83" s="33">
        <f t="shared" si="63"/>
        <v>63.615483100298057</v>
      </c>
      <c r="V83" s="33">
        <f t="shared" si="50"/>
        <v>10</v>
      </c>
      <c r="W83" s="33">
        <v>0</v>
      </c>
      <c r="X83" s="33">
        <f t="shared" si="51"/>
        <v>840.08360162935639</v>
      </c>
      <c r="Y83" s="38">
        <f t="shared" si="52"/>
        <v>663.04769982427831</v>
      </c>
      <c r="AA83" s="71">
        <v>78</v>
      </c>
      <c r="AB83" s="33">
        <f t="shared" si="53"/>
        <v>0</v>
      </c>
      <c r="AC83" s="308">
        <f t="shared" si="54"/>
        <v>0</v>
      </c>
      <c r="AD83" s="101">
        <f t="shared" si="55"/>
        <v>0</v>
      </c>
      <c r="AE83" s="101">
        <f t="shared" si="56"/>
        <v>0</v>
      </c>
      <c r="AF83" s="197">
        <f t="shared" si="36"/>
        <v>25.247309793657102</v>
      </c>
      <c r="AG83" s="197">
        <f t="shared" si="37"/>
        <v>0</v>
      </c>
      <c r="AH83" s="197">
        <f t="shared" si="38"/>
        <v>0</v>
      </c>
      <c r="AI83" s="202">
        <f t="shared" si="39"/>
        <v>25.247309793657102</v>
      </c>
      <c r="AK83" s="71">
        <v>78</v>
      </c>
      <c r="AL83" s="33">
        <f t="shared" si="57"/>
        <v>0</v>
      </c>
      <c r="AM83" s="33">
        <f t="shared" si="58"/>
        <v>0</v>
      </c>
      <c r="AN83" s="33">
        <f t="shared" si="59"/>
        <v>0</v>
      </c>
      <c r="AO83" s="33">
        <f t="shared" si="60"/>
        <v>0</v>
      </c>
      <c r="AP83" s="33">
        <f t="shared" si="61"/>
        <v>0</v>
      </c>
      <c r="AQ83" s="197">
        <f t="shared" si="41"/>
        <v>0</v>
      </c>
      <c r="AR83" s="197">
        <f t="shared" si="42"/>
        <v>0</v>
      </c>
      <c r="AS83" s="197">
        <f t="shared" si="43"/>
        <v>0</v>
      </c>
      <c r="AT83" s="197">
        <f t="shared" si="44"/>
        <v>0</v>
      </c>
      <c r="AU83" s="33"/>
      <c r="AV83" s="33"/>
      <c r="AW83" s="33"/>
      <c r="AX83" s="33"/>
      <c r="AY83" s="76"/>
    </row>
    <row r="84" spans="2:51">
      <c r="B84" s="190">
        <f>IF(C29&lt;=$F$18,C29+1,"-")</f>
        <v>31</v>
      </c>
      <c r="C84" s="151">
        <f>D29-D30</f>
        <v>28</v>
      </c>
      <c r="D84" s="152">
        <v>0</v>
      </c>
      <c r="E84" s="130">
        <f t="shared" si="71"/>
        <v>0</v>
      </c>
      <c r="F84" s="130">
        <f t="shared" si="72"/>
        <v>0</v>
      </c>
      <c r="G84" s="153">
        <f t="shared" ref="G84:G95" si="73">1-D84</f>
        <v>1</v>
      </c>
      <c r="H84" s="58">
        <f t="shared" si="70"/>
        <v>0</v>
      </c>
      <c r="I84" s="55">
        <v>79</v>
      </c>
      <c r="J84" s="33">
        <f t="shared" si="64"/>
        <v>5</v>
      </c>
      <c r="K84" s="33">
        <f t="shared" si="65"/>
        <v>1.910565629709926</v>
      </c>
      <c r="L84" s="33">
        <f t="shared" si="66"/>
        <v>45</v>
      </c>
      <c r="M84" s="33">
        <f t="shared" si="67"/>
        <v>0</v>
      </c>
      <c r="N84" s="33">
        <f t="shared" si="47"/>
        <v>0</v>
      </c>
      <c r="O84" s="34">
        <f t="shared" si="48"/>
        <v>177.03590180507811</v>
      </c>
      <c r="P84" s="55">
        <v>79</v>
      </c>
      <c r="Q84" s="33">
        <f t="shared" si="62"/>
        <v>14.040000000000006</v>
      </c>
      <c r="R84" s="33">
        <f t="shared" si="68"/>
        <v>485.16</v>
      </c>
      <c r="S84" s="33">
        <f t="shared" si="69"/>
        <v>271.68960000000004</v>
      </c>
      <c r="T84" s="33">
        <f t="shared" si="49"/>
        <v>65.207714759347738</v>
      </c>
      <c r="U84" s="33">
        <f t="shared" si="63"/>
        <v>63.726240194866449</v>
      </c>
      <c r="V84" s="33">
        <f t="shared" si="50"/>
        <v>10</v>
      </c>
      <c r="W84" s="33">
        <v>0</v>
      </c>
      <c r="X84" s="33">
        <f t="shared" si="51"/>
        <v>857.09237058704093</v>
      </c>
      <c r="Y84" s="38">
        <f t="shared" si="52"/>
        <v>680.05646878196285</v>
      </c>
      <c r="AA84" s="71">
        <v>79</v>
      </c>
      <c r="AB84" s="33">
        <f t="shared" si="53"/>
        <v>0</v>
      </c>
      <c r="AC84" s="308">
        <f t="shared" si="54"/>
        <v>0</v>
      </c>
      <c r="AD84" s="101">
        <f t="shared" si="55"/>
        <v>0</v>
      </c>
      <c r="AE84" s="101">
        <f t="shared" si="56"/>
        <v>0</v>
      </c>
      <c r="AF84" s="197">
        <f t="shared" si="36"/>
        <v>24.752225447941903</v>
      </c>
      <c r="AG84" s="197">
        <f t="shared" si="37"/>
        <v>0</v>
      </c>
      <c r="AH84" s="197">
        <f t="shared" si="38"/>
        <v>0</v>
      </c>
      <c r="AI84" s="202">
        <f t="shared" si="39"/>
        <v>24.752225447941903</v>
      </c>
      <c r="AK84" s="71">
        <v>79</v>
      </c>
      <c r="AL84" s="33">
        <f t="shared" si="57"/>
        <v>0</v>
      </c>
      <c r="AM84" s="33">
        <f t="shared" si="58"/>
        <v>0</v>
      </c>
      <c r="AN84" s="33">
        <f t="shared" si="59"/>
        <v>0</v>
      </c>
      <c r="AO84" s="33">
        <f t="shared" si="60"/>
        <v>0</v>
      </c>
      <c r="AP84" s="33">
        <f t="shared" si="61"/>
        <v>0</v>
      </c>
      <c r="AQ84" s="197">
        <f t="shared" si="41"/>
        <v>0</v>
      </c>
      <c r="AR84" s="197">
        <f t="shared" si="42"/>
        <v>0</v>
      </c>
      <c r="AS84" s="197">
        <f t="shared" si="43"/>
        <v>0</v>
      </c>
      <c r="AT84" s="197">
        <f t="shared" si="44"/>
        <v>0</v>
      </c>
      <c r="AU84" s="33"/>
      <c r="AV84" s="33"/>
      <c r="AW84" s="33"/>
      <c r="AX84" s="33"/>
      <c r="AY84" s="76"/>
    </row>
    <row r="85" spans="2:51">
      <c r="B85" s="175">
        <f>IF(C31&lt;=$F$18,C31+1,"-")</f>
        <v>36</v>
      </c>
      <c r="C85" s="151">
        <f>D31-D32</f>
        <v>28</v>
      </c>
      <c r="D85" s="152">
        <v>0.1</v>
      </c>
      <c r="E85" s="130">
        <f t="shared" si="71"/>
        <v>0</v>
      </c>
      <c r="F85" s="130">
        <f t="shared" si="72"/>
        <v>0</v>
      </c>
      <c r="G85" s="153">
        <f t="shared" si="73"/>
        <v>0.9</v>
      </c>
      <c r="H85" s="58">
        <f t="shared" si="70"/>
        <v>0</v>
      </c>
      <c r="I85" s="55">
        <v>80</v>
      </c>
      <c r="J85" s="33">
        <f t="shared" si="64"/>
        <v>5</v>
      </c>
      <c r="K85" s="33">
        <f t="shared" si="65"/>
        <v>1.910565629709926</v>
      </c>
      <c r="L85" s="33">
        <f t="shared" si="66"/>
        <v>45</v>
      </c>
      <c r="M85" s="33">
        <f t="shared" si="67"/>
        <v>0</v>
      </c>
      <c r="N85" s="33">
        <f t="shared" si="47"/>
        <v>0</v>
      </c>
      <c r="O85" s="34">
        <f t="shared" si="48"/>
        <v>177.03590180507811</v>
      </c>
      <c r="P85" s="55">
        <v>80</v>
      </c>
      <c r="Q85" s="33">
        <f t="shared" si="62"/>
        <v>14.040000000000006</v>
      </c>
      <c r="R85" s="33">
        <f t="shared" si="68"/>
        <v>499.20000000000005</v>
      </c>
      <c r="S85" s="33">
        <f t="shared" si="69"/>
        <v>279.55200000000008</v>
      </c>
      <c r="T85" s="33">
        <f t="shared" si="49"/>
        <v>66.872324781216591</v>
      </c>
      <c r="U85" s="33">
        <f t="shared" si="63"/>
        <v>63.835075901459838</v>
      </c>
      <c r="V85" s="33">
        <f t="shared" si="50"/>
        <v>10</v>
      </c>
      <c r="W85" s="33">
        <v>0</v>
      </c>
      <c r="X85" s="33">
        <f t="shared" si="51"/>
        <v>874.08431063263845</v>
      </c>
      <c r="Y85" s="38">
        <f t="shared" si="52"/>
        <v>697.04840882756037</v>
      </c>
      <c r="AA85" s="71">
        <v>80</v>
      </c>
      <c r="AB85" s="33">
        <f t="shared" si="53"/>
        <v>0</v>
      </c>
      <c r="AC85" s="308">
        <f t="shared" si="54"/>
        <v>0</v>
      </c>
      <c r="AD85" s="101">
        <f t="shared" si="55"/>
        <v>0</v>
      </c>
      <c r="AE85" s="101">
        <f t="shared" si="56"/>
        <v>0</v>
      </c>
      <c r="AF85" s="197">
        <f t="shared" si="36"/>
        <v>24.266849404274545</v>
      </c>
      <c r="AG85" s="197">
        <f t="shared" si="37"/>
        <v>0</v>
      </c>
      <c r="AH85" s="197">
        <f t="shared" si="38"/>
        <v>0</v>
      </c>
      <c r="AI85" s="202">
        <f t="shared" si="39"/>
        <v>24.266849404274545</v>
      </c>
      <c r="AK85" s="71">
        <v>80</v>
      </c>
      <c r="AL85" s="33">
        <f t="shared" si="57"/>
        <v>0</v>
      </c>
      <c r="AM85" s="33">
        <f t="shared" si="58"/>
        <v>0</v>
      </c>
      <c r="AN85" s="33">
        <f t="shared" si="59"/>
        <v>0</v>
      </c>
      <c r="AO85" s="33">
        <f t="shared" si="60"/>
        <v>0</v>
      </c>
      <c r="AP85" s="33">
        <f t="shared" si="61"/>
        <v>0</v>
      </c>
      <c r="AQ85" s="197">
        <f t="shared" si="41"/>
        <v>0</v>
      </c>
      <c r="AR85" s="197">
        <f t="shared" si="42"/>
        <v>0</v>
      </c>
      <c r="AS85" s="197">
        <f t="shared" si="43"/>
        <v>0</v>
      </c>
      <c r="AT85" s="197">
        <f t="shared" si="44"/>
        <v>0</v>
      </c>
      <c r="AU85" s="33"/>
      <c r="AV85" s="33"/>
      <c r="AW85" s="33"/>
      <c r="AX85" s="33"/>
      <c r="AY85" s="76"/>
    </row>
    <row r="86" spans="2:51">
      <c r="B86" s="175">
        <f>IF(C33&lt;=$F$18,C33+1,"-")</f>
        <v>41</v>
      </c>
      <c r="C86" s="151">
        <f>D33-D34</f>
        <v>28</v>
      </c>
      <c r="D86" s="152">
        <v>0.1</v>
      </c>
      <c r="E86" s="130">
        <f t="shared" si="71"/>
        <v>0</v>
      </c>
      <c r="F86" s="130">
        <f t="shared" si="72"/>
        <v>0</v>
      </c>
      <c r="G86" s="153">
        <f t="shared" si="73"/>
        <v>0.9</v>
      </c>
      <c r="H86" s="58">
        <f t="shared" si="70"/>
        <v>0</v>
      </c>
      <c r="I86" s="55">
        <v>81</v>
      </c>
      <c r="J86" s="33">
        <f t="shared" si="64"/>
        <v>5</v>
      </c>
      <c r="K86" s="33">
        <f t="shared" si="65"/>
        <v>1.910565629709926</v>
      </c>
      <c r="L86" s="33">
        <f t="shared" si="66"/>
        <v>45</v>
      </c>
      <c r="M86" s="33">
        <f t="shared" si="67"/>
        <v>0</v>
      </c>
      <c r="N86" s="33">
        <f t="shared" si="47"/>
        <v>0</v>
      </c>
      <c r="O86" s="34">
        <f t="shared" si="48"/>
        <v>177.03590180507811</v>
      </c>
      <c r="P86" s="55">
        <v>81</v>
      </c>
      <c r="Q86" s="33">
        <f t="shared" si="62"/>
        <v>-43.680000000000007</v>
      </c>
      <c r="R86" s="33">
        <f t="shared" si="68"/>
        <v>455.52000000000004</v>
      </c>
      <c r="S86" s="33">
        <f t="shared" si="69"/>
        <v>255.09120000000004</v>
      </c>
      <c r="T86" s="33">
        <f t="shared" si="49"/>
        <v>61.674862250888374</v>
      </c>
      <c r="U86" s="33">
        <f t="shared" si="63"/>
        <v>63.942023551864025</v>
      </c>
      <c r="V86" s="33">
        <f t="shared" si="50"/>
        <v>10</v>
      </c>
      <c r="W86" s="33">
        <v>0</v>
      </c>
      <c r="X86" s="33">
        <f t="shared" si="51"/>
        <v>822.82164477713195</v>
      </c>
      <c r="Y86" s="38">
        <f t="shared" si="52"/>
        <v>645.78574297205387</v>
      </c>
      <c r="AA86" s="71">
        <v>81</v>
      </c>
      <c r="AB86" s="33">
        <f t="shared" si="53"/>
        <v>28</v>
      </c>
      <c r="AC86" s="308">
        <f t="shared" si="54"/>
        <v>0.25</v>
      </c>
      <c r="AD86" s="101">
        <f t="shared" si="55"/>
        <v>0</v>
      </c>
      <c r="AE86" s="101">
        <f t="shared" si="56"/>
        <v>0</v>
      </c>
      <c r="AF86" s="197">
        <f t="shared" si="36"/>
        <v>30.551163753693245</v>
      </c>
      <c r="AG86" s="197">
        <f t="shared" si="37"/>
        <v>0</v>
      </c>
      <c r="AH86" s="197">
        <f t="shared" si="38"/>
        <v>0</v>
      </c>
      <c r="AI86" s="202">
        <f t="shared" si="39"/>
        <v>30.551163753693245</v>
      </c>
      <c r="AK86" s="71">
        <v>81</v>
      </c>
      <c r="AL86" s="33">
        <f t="shared" si="57"/>
        <v>28</v>
      </c>
      <c r="AM86" s="33">
        <f t="shared" si="58"/>
        <v>0.5</v>
      </c>
      <c r="AN86" s="33">
        <f t="shared" si="59"/>
        <v>0</v>
      </c>
      <c r="AO86" s="33">
        <f t="shared" si="60"/>
        <v>0</v>
      </c>
      <c r="AP86" s="33">
        <f t="shared" si="61"/>
        <v>0.5</v>
      </c>
      <c r="AQ86" s="197">
        <f t="shared" si="41"/>
        <v>14</v>
      </c>
      <c r="AR86" s="197">
        <f t="shared" si="42"/>
        <v>0</v>
      </c>
      <c r="AS86" s="197">
        <f t="shared" si="43"/>
        <v>0</v>
      </c>
      <c r="AT86" s="197">
        <f t="shared" si="44"/>
        <v>14</v>
      </c>
      <c r="AU86" s="33"/>
      <c r="AV86" s="33"/>
      <c r="AW86" s="33"/>
      <c r="AX86" s="33"/>
      <c r="AY86" s="76"/>
    </row>
    <row r="87" spans="2:51">
      <c r="B87" s="175">
        <f>IF(C35&lt;=$F$18,C35+1,"-")</f>
        <v>46</v>
      </c>
      <c r="C87" s="151">
        <f>D35-D36</f>
        <v>28</v>
      </c>
      <c r="D87" s="152">
        <v>0.2</v>
      </c>
      <c r="E87" s="130">
        <f t="shared" si="71"/>
        <v>0</v>
      </c>
      <c r="F87" s="130">
        <f t="shared" si="72"/>
        <v>0</v>
      </c>
      <c r="G87" s="153">
        <f t="shared" si="73"/>
        <v>0.8</v>
      </c>
      <c r="H87" s="58">
        <f t="shared" si="70"/>
        <v>0</v>
      </c>
      <c r="I87" s="55">
        <v>82</v>
      </c>
      <c r="J87" s="33">
        <f t="shared" si="64"/>
        <v>5</v>
      </c>
      <c r="K87" s="33">
        <f t="shared" si="65"/>
        <v>1.910565629709926</v>
      </c>
      <c r="L87" s="33">
        <f t="shared" si="66"/>
        <v>45</v>
      </c>
      <c r="M87" s="33">
        <f t="shared" si="67"/>
        <v>0</v>
      </c>
      <c r="N87" s="33">
        <f t="shared" si="47"/>
        <v>0</v>
      </c>
      <c r="O87" s="34">
        <f t="shared" si="48"/>
        <v>177.03590180507811</v>
      </c>
      <c r="P87" s="55">
        <v>82</v>
      </c>
      <c r="Q87" s="33">
        <f t="shared" si="62"/>
        <v>13.259999999999991</v>
      </c>
      <c r="R87" s="33">
        <f t="shared" si="68"/>
        <v>468.78000000000003</v>
      </c>
      <c r="S87" s="33">
        <f t="shared" si="69"/>
        <v>262.51680000000005</v>
      </c>
      <c r="T87" s="33">
        <f t="shared" si="49"/>
        <v>63.258556853186107</v>
      </c>
      <c r="U87" s="33">
        <f t="shared" si="63"/>
        <v>64.047115899632828</v>
      </c>
      <c r="V87" s="33">
        <f t="shared" si="50"/>
        <v>10</v>
      </c>
      <c r="W87" s="33">
        <v>0</v>
      </c>
      <c r="X87" s="33">
        <f t="shared" si="51"/>
        <v>838.89817148461952</v>
      </c>
      <c r="Y87" s="38">
        <f t="shared" si="52"/>
        <v>661.86226967954144</v>
      </c>
      <c r="AA87" s="71">
        <v>82</v>
      </c>
      <c r="AB87" s="33">
        <f t="shared" si="53"/>
        <v>0</v>
      </c>
      <c r="AC87" s="308">
        <f t="shared" si="54"/>
        <v>0</v>
      </c>
      <c r="AD87" s="101">
        <f t="shared" si="55"/>
        <v>0</v>
      </c>
      <c r="AE87" s="101">
        <f t="shared" si="56"/>
        <v>0</v>
      </c>
      <c r="AF87" s="197">
        <f t="shared" si="36"/>
        <v>29.952074066853218</v>
      </c>
      <c r="AG87" s="197">
        <f t="shared" si="37"/>
        <v>0</v>
      </c>
      <c r="AH87" s="197">
        <f t="shared" si="38"/>
        <v>0</v>
      </c>
      <c r="AI87" s="202">
        <f t="shared" si="39"/>
        <v>29.952074066853218</v>
      </c>
      <c r="AK87" s="71">
        <v>82</v>
      </c>
      <c r="AL87" s="33">
        <f t="shared" si="57"/>
        <v>0</v>
      </c>
      <c r="AM87" s="33">
        <f t="shared" si="58"/>
        <v>0</v>
      </c>
      <c r="AN87" s="33">
        <f t="shared" si="59"/>
        <v>0</v>
      </c>
      <c r="AO87" s="33">
        <f t="shared" si="60"/>
        <v>0</v>
      </c>
      <c r="AP87" s="33">
        <f t="shared" si="61"/>
        <v>0</v>
      </c>
      <c r="AQ87" s="197">
        <f t="shared" si="41"/>
        <v>0</v>
      </c>
      <c r="AR87" s="197">
        <f t="shared" si="42"/>
        <v>0</v>
      </c>
      <c r="AS87" s="197">
        <f t="shared" si="43"/>
        <v>0</v>
      </c>
      <c r="AT87" s="197">
        <f t="shared" si="44"/>
        <v>0</v>
      </c>
      <c r="AU87" s="33"/>
      <c r="AV87" s="33"/>
      <c r="AW87" s="33"/>
      <c r="AX87" s="33"/>
      <c r="AY87" s="76"/>
    </row>
    <row r="88" spans="2:51">
      <c r="B88" s="175">
        <f>IF(C37&lt;=$F$18,C37+1,"-")</f>
        <v>51</v>
      </c>
      <c r="C88" s="151">
        <f>D37-D38</f>
        <v>28</v>
      </c>
      <c r="D88" s="152">
        <v>0.2</v>
      </c>
      <c r="E88" s="130">
        <f t="shared" si="71"/>
        <v>0</v>
      </c>
      <c r="F88" s="130">
        <f t="shared" si="72"/>
        <v>0</v>
      </c>
      <c r="G88" s="153">
        <f t="shared" si="73"/>
        <v>0.8</v>
      </c>
      <c r="H88" s="58">
        <f t="shared" si="70"/>
        <v>0</v>
      </c>
      <c r="I88" s="55">
        <v>83</v>
      </c>
      <c r="J88" s="33">
        <f t="shared" si="64"/>
        <v>5</v>
      </c>
      <c r="K88" s="33">
        <f t="shared" si="65"/>
        <v>1.910565629709926</v>
      </c>
      <c r="L88" s="33">
        <f t="shared" si="66"/>
        <v>45</v>
      </c>
      <c r="M88" s="33">
        <f t="shared" si="67"/>
        <v>0</v>
      </c>
      <c r="N88" s="33">
        <f t="shared" si="47"/>
        <v>0</v>
      </c>
      <c r="O88" s="34">
        <f t="shared" si="48"/>
        <v>177.03590180507811</v>
      </c>
      <c r="P88" s="55">
        <v>83</v>
      </c>
      <c r="Q88" s="33">
        <f t="shared" si="62"/>
        <v>13.259999999999991</v>
      </c>
      <c r="R88" s="33">
        <f t="shared" si="68"/>
        <v>482.04</v>
      </c>
      <c r="S88" s="33">
        <f t="shared" si="69"/>
        <v>269.94240000000002</v>
      </c>
      <c r="T88" s="33">
        <f t="shared" si="49"/>
        <v>64.837044962324839</v>
      </c>
      <c r="U88" s="33">
        <f t="shared" si="63"/>
        <v>64.150385130119133</v>
      </c>
      <c r="V88" s="33">
        <f t="shared" si="50"/>
        <v>10</v>
      </c>
      <c r="W88" s="33">
        <v>0</v>
      </c>
      <c r="X88" s="33">
        <f t="shared" si="51"/>
        <v>854.95894545315252</v>
      </c>
      <c r="Y88" s="38">
        <f t="shared" si="52"/>
        <v>677.92304364807444</v>
      </c>
      <c r="AA88" s="71">
        <v>83</v>
      </c>
      <c r="AB88" s="33">
        <f t="shared" si="53"/>
        <v>0</v>
      </c>
      <c r="AC88" s="308">
        <f t="shared" si="54"/>
        <v>0</v>
      </c>
      <c r="AD88" s="101">
        <f t="shared" si="55"/>
        <v>0</v>
      </c>
      <c r="AE88" s="101">
        <f t="shared" si="56"/>
        <v>0</v>
      </c>
      <c r="AF88" s="197">
        <f t="shared" si="36"/>
        <v>29.364732163363495</v>
      </c>
      <c r="AG88" s="197">
        <f t="shared" si="37"/>
        <v>0</v>
      </c>
      <c r="AH88" s="197">
        <f t="shared" si="38"/>
        <v>0</v>
      </c>
      <c r="AI88" s="202">
        <f t="shared" si="39"/>
        <v>29.364732163363495</v>
      </c>
      <c r="AK88" s="71">
        <v>83</v>
      </c>
      <c r="AL88" s="33">
        <f t="shared" si="57"/>
        <v>0</v>
      </c>
      <c r="AM88" s="33">
        <f t="shared" si="58"/>
        <v>0</v>
      </c>
      <c r="AN88" s="33">
        <f t="shared" si="59"/>
        <v>0</v>
      </c>
      <c r="AO88" s="33">
        <f t="shared" si="60"/>
        <v>0</v>
      </c>
      <c r="AP88" s="33">
        <f t="shared" si="61"/>
        <v>0</v>
      </c>
      <c r="AQ88" s="197">
        <f t="shared" si="41"/>
        <v>0</v>
      </c>
      <c r="AR88" s="197">
        <f t="shared" si="42"/>
        <v>0</v>
      </c>
      <c r="AS88" s="197">
        <f t="shared" si="43"/>
        <v>0</v>
      </c>
      <c r="AT88" s="197">
        <f t="shared" si="44"/>
        <v>0</v>
      </c>
      <c r="AU88" s="33"/>
      <c r="AV88" s="33"/>
      <c r="AW88" s="33"/>
      <c r="AX88" s="33"/>
      <c r="AY88" s="76"/>
    </row>
    <row r="89" spans="2:51">
      <c r="B89" s="175">
        <f>IF(C39&lt;=$F$18,C39+1,"-")</f>
        <v>56</v>
      </c>
      <c r="C89" s="151">
        <f>D39-D40</f>
        <v>28</v>
      </c>
      <c r="D89" s="152">
        <v>0.3</v>
      </c>
      <c r="E89" s="130">
        <f t="shared" si="71"/>
        <v>0</v>
      </c>
      <c r="F89" s="130">
        <f t="shared" si="72"/>
        <v>0</v>
      </c>
      <c r="G89" s="153">
        <f t="shared" si="73"/>
        <v>0.7</v>
      </c>
      <c r="H89" s="58">
        <f t="shared" si="70"/>
        <v>0</v>
      </c>
      <c r="I89" s="55">
        <v>84</v>
      </c>
      <c r="J89" s="33">
        <f t="shared" si="64"/>
        <v>5</v>
      </c>
      <c r="K89" s="33">
        <f t="shared" si="65"/>
        <v>1.910565629709926</v>
      </c>
      <c r="L89" s="33">
        <f t="shared" si="66"/>
        <v>45</v>
      </c>
      <c r="M89" s="33">
        <f t="shared" si="67"/>
        <v>0</v>
      </c>
      <c r="N89" s="33">
        <f t="shared" si="47"/>
        <v>0</v>
      </c>
      <c r="O89" s="34">
        <f t="shared" si="48"/>
        <v>177.03590180507811</v>
      </c>
      <c r="P89" s="55">
        <v>84</v>
      </c>
      <c r="Q89" s="33">
        <f t="shared" si="62"/>
        <v>13.259999999999991</v>
      </c>
      <c r="R89" s="33">
        <f t="shared" si="68"/>
        <v>495.3</v>
      </c>
      <c r="S89" s="33">
        <f t="shared" si="69"/>
        <v>277.36800000000005</v>
      </c>
      <c r="T89" s="33">
        <f t="shared" si="49"/>
        <v>66.410486254957206</v>
      </c>
      <c r="U89" s="33">
        <f t="shared" si="63"/>
        <v>64.251862870331905</v>
      </c>
      <c r="V89" s="33">
        <f t="shared" si="50"/>
        <v>10</v>
      </c>
      <c r="W89" s="33">
        <v>0</v>
      </c>
      <c r="X89" s="33">
        <f t="shared" si="51"/>
        <v>871.0043607519342</v>
      </c>
      <c r="Y89" s="38">
        <f t="shared" si="52"/>
        <v>693.96845894685612</v>
      </c>
      <c r="AA89" s="71">
        <v>84</v>
      </c>
      <c r="AB89" s="33">
        <f t="shared" si="53"/>
        <v>0</v>
      </c>
      <c r="AC89" s="308">
        <f t="shared" si="54"/>
        <v>0</v>
      </c>
      <c r="AD89" s="101">
        <f t="shared" si="55"/>
        <v>0</v>
      </c>
      <c r="AE89" s="101">
        <f t="shared" si="56"/>
        <v>0</v>
      </c>
      <c r="AF89" s="197">
        <f t="shared" si="36"/>
        <v>28.788907676358019</v>
      </c>
      <c r="AG89" s="197">
        <f t="shared" si="37"/>
        <v>0</v>
      </c>
      <c r="AH89" s="197">
        <f t="shared" si="38"/>
        <v>0</v>
      </c>
      <c r="AI89" s="202">
        <f t="shared" si="39"/>
        <v>28.788907676358019</v>
      </c>
      <c r="AK89" s="71">
        <v>84</v>
      </c>
      <c r="AL89" s="33">
        <f t="shared" si="57"/>
        <v>0</v>
      </c>
      <c r="AM89" s="33">
        <f t="shared" si="58"/>
        <v>0</v>
      </c>
      <c r="AN89" s="33">
        <f t="shared" si="59"/>
        <v>0</v>
      </c>
      <c r="AO89" s="33">
        <f t="shared" si="60"/>
        <v>0</v>
      </c>
      <c r="AP89" s="33">
        <f t="shared" si="61"/>
        <v>0</v>
      </c>
      <c r="AQ89" s="197">
        <f t="shared" si="41"/>
        <v>0</v>
      </c>
      <c r="AR89" s="197">
        <f t="shared" si="42"/>
        <v>0</v>
      </c>
      <c r="AS89" s="197">
        <f t="shared" si="43"/>
        <v>0</v>
      </c>
      <c r="AT89" s="197">
        <f t="shared" si="44"/>
        <v>0</v>
      </c>
      <c r="AU89" s="33"/>
      <c r="AV89" s="33"/>
      <c r="AW89" s="33"/>
      <c r="AX89" s="33"/>
      <c r="AY89" s="76"/>
    </row>
    <row r="90" spans="2:51">
      <c r="B90" s="175">
        <f>IF(C41&lt;=$F$18,C41+1,"-")</f>
        <v>61</v>
      </c>
      <c r="C90" s="151">
        <f>D41-D42</f>
        <v>28</v>
      </c>
      <c r="D90" s="152">
        <v>0.3</v>
      </c>
      <c r="E90" s="130">
        <f t="shared" si="71"/>
        <v>0</v>
      </c>
      <c r="F90" s="130">
        <f t="shared" si="72"/>
        <v>0</v>
      </c>
      <c r="G90" s="153">
        <f t="shared" si="73"/>
        <v>0.7</v>
      </c>
      <c r="H90" s="58">
        <f t="shared" si="70"/>
        <v>0</v>
      </c>
      <c r="I90" s="55">
        <v>85</v>
      </c>
      <c r="J90" s="33">
        <f t="shared" si="64"/>
        <v>5</v>
      </c>
      <c r="K90" s="33">
        <f t="shared" si="65"/>
        <v>1.910565629709926</v>
      </c>
      <c r="L90" s="33">
        <f t="shared" si="66"/>
        <v>45</v>
      </c>
      <c r="M90" s="33">
        <f t="shared" si="67"/>
        <v>0</v>
      </c>
      <c r="N90" s="33">
        <f t="shared" si="47"/>
        <v>0</v>
      </c>
      <c r="O90" s="34">
        <f t="shared" si="48"/>
        <v>177.03590180507811</v>
      </c>
      <c r="P90" s="55">
        <v>85</v>
      </c>
      <c r="Q90" s="33">
        <f t="shared" si="62"/>
        <v>13.259999999999991</v>
      </c>
      <c r="R90" s="33">
        <f t="shared" si="68"/>
        <v>508.56</v>
      </c>
      <c r="S90" s="33">
        <f t="shared" si="69"/>
        <v>284.79360000000003</v>
      </c>
      <c r="T90" s="33">
        <f t="shared" si="49"/>
        <v>67.979031371353656</v>
      </c>
      <c r="U90" s="33">
        <f t="shared" si="63"/>
        <v>64.35158019862223</v>
      </c>
      <c r="V90" s="33">
        <f t="shared" si="50"/>
        <v>10</v>
      </c>
      <c r="W90" s="33">
        <v>0</v>
      </c>
      <c r="X90" s="33">
        <f t="shared" si="51"/>
        <v>887.03479370005573</v>
      </c>
      <c r="Y90" s="38">
        <f t="shared" si="52"/>
        <v>709.99889189497765</v>
      </c>
      <c r="AA90" s="71">
        <v>85</v>
      </c>
      <c r="AB90" s="33">
        <f t="shared" si="53"/>
        <v>0</v>
      </c>
      <c r="AC90" s="308">
        <f t="shared" si="54"/>
        <v>0</v>
      </c>
      <c r="AD90" s="101">
        <f t="shared" si="55"/>
        <v>0</v>
      </c>
      <c r="AE90" s="101">
        <f t="shared" si="56"/>
        <v>0</v>
      </c>
      <c r="AF90" s="197">
        <f t="shared" si="36"/>
        <v>28.224374756324465</v>
      </c>
      <c r="AG90" s="197">
        <f t="shared" si="37"/>
        <v>0</v>
      </c>
      <c r="AH90" s="197">
        <f t="shared" si="38"/>
        <v>0</v>
      </c>
      <c r="AI90" s="202">
        <f t="shared" si="39"/>
        <v>28.224374756324465</v>
      </c>
      <c r="AK90" s="71">
        <v>85</v>
      </c>
      <c r="AL90" s="33">
        <f t="shared" si="57"/>
        <v>0</v>
      </c>
      <c r="AM90" s="33">
        <f t="shared" si="58"/>
        <v>0</v>
      </c>
      <c r="AN90" s="33">
        <f t="shared" si="59"/>
        <v>0</v>
      </c>
      <c r="AO90" s="33">
        <f t="shared" si="60"/>
        <v>0</v>
      </c>
      <c r="AP90" s="33">
        <f t="shared" si="61"/>
        <v>0</v>
      </c>
      <c r="AQ90" s="197">
        <f t="shared" si="41"/>
        <v>0</v>
      </c>
      <c r="AR90" s="197">
        <f t="shared" si="42"/>
        <v>0</v>
      </c>
      <c r="AS90" s="197">
        <f t="shared" si="43"/>
        <v>0</v>
      </c>
      <c r="AT90" s="197">
        <f t="shared" si="44"/>
        <v>0</v>
      </c>
      <c r="AU90" s="33"/>
      <c r="AV90" s="33"/>
      <c r="AW90" s="33"/>
      <c r="AX90" s="33"/>
      <c r="AY90" s="76"/>
    </row>
    <row r="91" spans="2:51">
      <c r="B91" s="175">
        <f>IF(C43&lt;=$F$18,C43+1,"-")</f>
        <v>66</v>
      </c>
      <c r="C91" s="151">
        <f>D43-D44</f>
        <v>28</v>
      </c>
      <c r="D91" s="152">
        <v>0.4</v>
      </c>
      <c r="E91" s="130">
        <f t="shared" si="71"/>
        <v>0</v>
      </c>
      <c r="F91" s="130">
        <f t="shared" si="72"/>
        <v>0</v>
      </c>
      <c r="G91" s="153">
        <f t="shared" si="73"/>
        <v>0.6</v>
      </c>
      <c r="H91" s="58">
        <f t="shared" si="70"/>
        <v>0</v>
      </c>
      <c r="I91" s="55">
        <v>86</v>
      </c>
      <c r="J91" s="33">
        <f t="shared" si="64"/>
        <v>5</v>
      </c>
      <c r="K91" s="33">
        <f t="shared" si="65"/>
        <v>1.910565629709926</v>
      </c>
      <c r="L91" s="33">
        <f t="shared" si="66"/>
        <v>45</v>
      </c>
      <c r="M91" s="33">
        <f t="shared" si="67"/>
        <v>0</v>
      </c>
      <c r="N91" s="33">
        <f t="shared" si="47"/>
        <v>0</v>
      </c>
      <c r="O91" s="34">
        <f t="shared" si="48"/>
        <v>177.03590180507811</v>
      </c>
      <c r="P91" s="55">
        <v>86</v>
      </c>
      <c r="Q91" s="33">
        <f t="shared" si="62"/>
        <v>-43.680000000000007</v>
      </c>
      <c r="R91" s="33">
        <f t="shared" si="68"/>
        <v>464.88</v>
      </c>
      <c r="S91" s="33">
        <f t="shared" si="69"/>
        <v>260.33280000000002</v>
      </c>
      <c r="T91" s="33">
        <f t="shared" si="49"/>
        <v>62.793312185215825</v>
      </c>
      <c r="U91" s="33">
        <f t="shared" si="63"/>
        <v>64.449567654201275</v>
      </c>
      <c r="V91" s="33">
        <f t="shared" si="50"/>
        <v>10</v>
      </c>
      <c r="W91" s="33">
        <v>0</v>
      </c>
      <c r="X91" s="33">
        <f t="shared" si="51"/>
        <v>835.75972678798882</v>
      </c>
      <c r="Y91" s="38">
        <f t="shared" si="52"/>
        <v>658.72382498291074</v>
      </c>
      <c r="AA91" s="71">
        <v>86</v>
      </c>
      <c r="AB91" s="33">
        <f t="shared" si="53"/>
        <v>0</v>
      </c>
      <c r="AC91" s="308">
        <f t="shared" si="54"/>
        <v>0</v>
      </c>
      <c r="AD91" s="101">
        <f t="shared" si="55"/>
        <v>0</v>
      </c>
      <c r="AE91" s="101">
        <f t="shared" si="56"/>
        <v>0</v>
      </c>
      <c r="AF91" s="197">
        <f t="shared" ref="AF91:AF154" si="74">IF(OR(AA91&lt;=$F$18,AA91&lt;=30),EXP(-LN(2)/$D$104)*AF90+((1-EXP(-LN(2)/$D$104))/(LN(2)/$D$104))*$AB91*AC91*0.475*$F$19*44/12,)</f>
        <v>27.670911982521687</v>
      </c>
      <c r="AG91" s="197">
        <f t="shared" ref="AG91:AG154" si="75">IF(OR(AA91&lt;=$F$18,AA91&lt;=30),EXP(-LN(2)/$D$106)*AG90+((1-EXP(-LN(2)/$D$106))/(LN(2)/$D$106))*$AB91*AD91*0.475*$F$19*44/12,)</f>
        <v>0</v>
      </c>
      <c r="AH91" s="197">
        <f t="shared" ref="AH91:AH154" si="76">IF(OR(AA91&lt;=$F$18,AA91&lt;=30),EXP(-LN(2)/$D$105)*AH90+((1-EXP(-LN(2)/$D$105))/(LN(2)/$D$105))*$AB91*AE91*0.475*$F$19*44/12,)</f>
        <v>0</v>
      </c>
      <c r="AI91" s="202">
        <f t="shared" ref="AI91:AI154" si="77">IF(OR(AA91&lt;=$F$18,AA91&lt;=30),SUM(AF91:AH91),)</f>
        <v>27.670911982521687</v>
      </c>
      <c r="AK91" s="71">
        <v>86</v>
      </c>
      <c r="AL91" s="33">
        <f t="shared" si="57"/>
        <v>0</v>
      </c>
      <c r="AM91" s="33">
        <f t="shared" si="58"/>
        <v>0</v>
      </c>
      <c r="AN91" s="33">
        <f t="shared" si="59"/>
        <v>0</v>
      </c>
      <c r="AO91" s="33">
        <f t="shared" si="60"/>
        <v>0</v>
      </c>
      <c r="AP91" s="33">
        <f t="shared" si="61"/>
        <v>0</v>
      </c>
      <c r="AQ91" s="197">
        <f t="shared" si="41"/>
        <v>0</v>
      </c>
      <c r="AR91" s="197">
        <f t="shared" si="42"/>
        <v>0</v>
      </c>
      <c r="AS91" s="197">
        <f t="shared" si="43"/>
        <v>0</v>
      </c>
      <c r="AT91" s="197">
        <f t="shared" si="44"/>
        <v>0</v>
      </c>
      <c r="AU91" s="33"/>
      <c r="AV91" s="33"/>
      <c r="AW91" s="33"/>
      <c r="AX91" s="33"/>
      <c r="AY91" s="76"/>
    </row>
    <row r="92" spans="2:51">
      <c r="B92" s="175">
        <f>IF(C45&lt;=$F$18,C45+1,"-")</f>
        <v>71</v>
      </c>
      <c r="C92" s="151">
        <f>D45-D46</f>
        <v>28</v>
      </c>
      <c r="D92" s="152">
        <v>0.4</v>
      </c>
      <c r="E92" s="130">
        <f t="shared" si="71"/>
        <v>0</v>
      </c>
      <c r="F92" s="130">
        <f t="shared" si="72"/>
        <v>0</v>
      </c>
      <c r="G92" s="153">
        <f t="shared" si="73"/>
        <v>0.6</v>
      </c>
      <c r="H92" s="58">
        <f t="shared" si="70"/>
        <v>0</v>
      </c>
      <c r="I92" s="55">
        <v>87</v>
      </c>
      <c r="J92" s="33">
        <f t="shared" si="64"/>
        <v>5</v>
      </c>
      <c r="K92" s="33">
        <f t="shared" si="65"/>
        <v>1.910565629709926</v>
      </c>
      <c r="L92" s="33">
        <f t="shared" si="66"/>
        <v>45</v>
      </c>
      <c r="M92" s="33">
        <f t="shared" si="67"/>
        <v>0</v>
      </c>
      <c r="N92" s="33">
        <f t="shared" si="47"/>
        <v>0</v>
      </c>
      <c r="O92" s="34">
        <f t="shared" si="48"/>
        <v>177.03590180507811</v>
      </c>
      <c r="P92" s="55">
        <v>87</v>
      </c>
      <c r="Q92" s="33">
        <f t="shared" si="62"/>
        <v>12.480000000000018</v>
      </c>
      <c r="R92" s="33">
        <f t="shared" si="68"/>
        <v>477.36</v>
      </c>
      <c r="S92" s="33">
        <f t="shared" si="69"/>
        <v>267.32160000000005</v>
      </c>
      <c r="T92" s="33">
        <f t="shared" si="49"/>
        <v>64.280515815446378</v>
      </c>
      <c r="U92" s="33">
        <f t="shared" si="63"/>
        <v>64.545855246493133</v>
      </c>
      <c r="V92" s="33">
        <f t="shared" si="50"/>
        <v>10</v>
      </c>
      <c r="W92" s="33">
        <v>0</v>
      </c>
      <c r="X92" s="33">
        <f t="shared" si="51"/>
        <v>850.87515428237737</v>
      </c>
      <c r="Y92" s="38">
        <f t="shared" si="52"/>
        <v>673.83925247729928</v>
      </c>
      <c r="AA92" s="71">
        <v>87</v>
      </c>
      <c r="AB92" s="33">
        <f t="shared" si="53"/>
        <v>0</v>
      </c>
      <c r="AC92" s="308">
        <f t="shared" si="54"/>
        <v>0</v>
      </c>
      <c r="AD92" s="101">
        <f t="shared" si="55"/>
        <v>0</v>
      </c>
      <c r="AE92" s="101">
        <f t="shared" si="56"/>
        <v>0</v>
      </c>
      <c r="AF92" s="197">
        <f t="shared" si="74"/>
        <v>27.128302276134225</v>
      </c>
      <c r="AG92" s="197">
        <f t="shared" si="75"/>
        <v>0</v>
      </c>
      <c r="AH92" s="197">
        <f t="shared" si="76"/>
        <v>0</v>
      </c>
      <c r="AI92" s="202">
        <f t="shared" si="77"/>
        <v>27.128302276134225</v>
      </c>
      <c r="AK92" s="71">
        <v>87</v>
      </c>
      <c r="AL92" s="33">
        <f t="shared" si="57"/>
        <v>0</v>
      </c>
      <c r="AM92" s="33">
        <f t="shared" si="58"/>
        <v>0</v>
      </c>
      <c r="AN92" s="33">
        <f t="shared" si="59"/>
        <v>0</v>
      </c>
      <c r="AO92" s="33">
        <f t="shared" si="60"/>
        <v>0</v>
      </c>
      <c r="AP92" s="33">
        <f t="shared" si="61"/>
        <v>0</v>
      </c>
      <c r="AQ92" s="197">
        <f t="shared" si="41"/>
        <v>0</v>
      </c>
      <c r="AR92" s="197">
        <f t="shared" si="42"/>
        <v>0</v>
      </c>
      <c r="AS92" s="197">
        <f t="shared" si="43"/>
        <v>0</v>
      </c>
      <c r="AT92" s="197">
        <f t="shared" si="44"/>
        <v>0</v>
      </c>
      <c r="AU92" s="33"/>
      <c r="AV92" s="33"/>
      <c r="AW92" s="33"/>
      <c r="AX92" s="33"/>
      <c r="AY92" s="76"/>
    </row>
    <row r="93" spans="2:51">
      <c r="B93" s="175">
        <f>IF(C47&lt;=$F$18,C47+1,"-")</f>
        <v>76</v>
      </c>
      <c r="C93" s="151">
        <f>D47-D48</f>
        <v>28</v>
      </c>
      <c r="D93" s="152">
        <v>0.5</v>
      </c>
      <c r="E93" s="130">
        <f t="shared" si="71"/>
        <v>0</v>
      </c>
      <c r="F93" s="130">
        <f t="shared" si="72"/>
        <v>0</v>
      </c>
      <c r="G93" s="153">
        <f t="shared" si="73"/>
        <v>0.5</v>
      </c>
      <c r="H93" s="58">
        <f t="shared" si="70"/>
        <v>0</v>
      </c>
      <c r="I93" s="55">
        <v>88</v>
      </c>
      <c r="J93" s="33">
        <f t="shared" si="64"/>
        <v>5</v>
      </c>
      <c r="K93" s="33">
        <f t="shared" si="65"/>
        <v>1.910565629709926</v>
      </c>
      <c r="L93" s="33">
        <f t="shared" si="66"/>
        <v>45</v>
      </c>
      <c r="M93" s="33">
        <f t="shared" si="67"/>
        <v>0</v>
      </c>
      <c r="N93" s="33">
        <f t="shared" si="47"/>
        <v>0</v>
      </c>
      <c r="O93" s="34">
        <f t="shared" si="48"/>
        <v>177.03590180507811</v>
      </c>
      <c r="P93" s="55">
        <v>88</v>
      </c>
      <c r="Q93" s="33">
        <f t="shared" si="62"/>
        <v>12.480000000000018</v>
      </c>
      <c r="R93" s="33">
        <f t="shared" si="68"/>
        <v>489.84000000000003</v>
      </c>
      <c r="S93" s="33">
        <f t="shared" si="69"/>
        <v>274.31040000000002</v>
      </c>
      <c r="T93" s="33">
        <f t="shared" si="49"/>
        <v>65.763200016124017</v>
      </c>
      <c r="U93" s="33">
        <f t="shared" si="63"/>
        <v>64.640472464325555</v>
      </c>
      <c r="V93" s="33">
        <f t="shared" si="50"/>
        <v>10</v>
      </c>
      <c r="W93" s="33">
        <v>0</v>
      </c>
      <c r="X93" s="33">
        <f t="shared" si="51"/>
        <v>865.9765857306096</v>
      </c>
      <c r="Y93" s="38">
        <f t="shared" si="52"/>
        <v>688.94068392553152</v>
      </c>
      <c r="AA93" s="71">
        <v>88</v>
      </c>
      <c r="AB93" s="33">
        <f t="shared" si="53"/>
        <v>0</v>
      </c>
      <c r="AC93" s="308">
        <f t="shared" si="54"/>
        <v>0</v>
      </c>
      <c r="AD93" s="101">
        <f t="shared" si="55"/>
        <v>0</v>
      </c>
      <c r="AE93" s="101">
        <f t="shared" si="56"/>
        <v>0</v>
      </c>
      <c r="AF93" s="197">
        <f t="shared" si="74"/>
        <v>26.596332815129777</v>
      </c>
      <c r="AG93" s="197">
        <f t="shared" si="75"/>
        <v>0</v>
      </c>
      <c r="AH93" s="197">
        <f t="shared" si="76"/>
        <v>0</v>
      </c>
      <c r="AI93" s="202">
        <f t="shared" si="77"/>
        <v>26.596332815129777</v>
      </c>
      <c r="AK93" s="71">
        <v>88</v>
      </c>
      <c r="AL93" s="33">
        <f t="shared" si="57"/>
        <v>0</v>
      </c>
      <c r="AM93" s="33">
        <f t="shared" si="58"/>
        <v>0</v>
      </c>
      <c r="AN93" s="33">
        <f t="shared" si="59"/>
        <v>0</v>
      </c>
      <c r="AO93" s="33">
        <f t="shared" si="60"/>
        <v>0</v>
      </c>
      <c r="AP93" s="33">
        <f t="shared" si="61"/>
        <v>0</v>
      </c>
      <c r="AQ93" s="197">
        <f t="shared" si="41"/>
        <v>0</v>
      </c>
      <c r="AR93" s="197">
        <f t="shared" si="42"/>
        <v>0</v>
      </c>
      <c r="AS93" s="197">
        <f t="shared" si="43"/>
        <v>0</v>
      </c>
      <c r="AT93" s="197">
        <f t="shared" si="44"/>
        <v>0</v>
      </c>
      <c r="AU93" s="33"/>
      <c r="AV93" s="33"/>
      <c r="AW93" s="33"/>
      <c r="AX93" s="33"/>
      <c r="AY93" s="76"/>
    </row>
    <row r="94" spans="2:51">
      <c r="B94" s="175">
        <f>IF(C49&lt;=$F$18,C49+1,"-")</f>
        <v>81</v>
      </c>
      <c r="C94" s="151">
        <f>D49-D50</f>
        <v>28</v>
      </c>
      <c r="D94" s="152">
        <v>0.5</v>
      </c>
      <c r="E94" s="130">
        <f>IF(G94+D94&lt;&gt;1,(1-(G94+D94))*56%,0)</f>
        <v>0</v>
      </c>
      <c r="F94" s="130">
        <f>IF(G94+D94&lt;&gt;1,(1-(G94+D94))*44%,0)</f>
        <v>0</v>
      </c>
      <c r="G94" s="153">
        <f t="shared" si="73"/>
        <v>0.5</v>
      </c>
      <c r="H94" s="58">
        <f>IF(C94=0,0,IF(SUM(D94:G94)&lt;&gt;1,"erreur",))</f>
        <v>0</v>
      </c>
      <c r="I94" s="55">
        <v>89</v>
      </c>
      <c r="J94" s="33">
        <f t="shared" si="64"/>
        <v>5</v>
      </c>
      <c r="K94" s="33">
        <f t="shared" si="65"/>
        <v>1.910565629709926</v>
      </c>
      <c r="L94" s="33">
        <f t="shared" si="66"/>
        <v>45</v>
      </c>
      <c r="M94" s="33">
        <f t="shared" si="67"/>
        <v>0</v>
      </c>
      <c r="N94" s="33">
        <f t="shared" si="47"/>
        <v>0</v>
      </c>
      <c r="O94" s="34">
        <f t="shared" si="48"/>
        <v>177.03590180507811</v>
      </c>
      <c r="P94" s="55">
        <v>89</v>
      </c>
      <c r="Q94" s="33">
        <f t="shared" si="62"/>
        <v>12.480000000000018</v>
      </c>
      <c r="R94" s="33">
        <f t="shared" si="68"/>
        <v>502.32000000000005</v>
      </c>
      <c r="S94" s="33">
        <f t="shared" si="69"/>
        <v>281.29920000000004</v>
      </c>
      <c r="T94" s="33">
        <f t="shared" si="49"/>
        <v>67.241493172476652</v>
      </c>
      <c r="U94" s="33">
        <f t="shared" si="63"/>
        <v>64.733448284960986</v>
      </c>
      <c r="V94" s="33">
        <f t="shared" si="50"/>
        <v>10</v>
      </c>
      <c r="W94" s="33">
        <v>0</v>
      </c>
      <c r="X94" s="33">
        <f t="shared" si="51"/>
        <v>881.06435098692054</v>
      </c>
      <c r="Y94" s="38">
        <f t="shared" si="52"/>
        <v>704.02844918184246</v>
      </c>
      <c r="AA94" s="71">
        <v>89</v>
      </c>
      <c r="AB94" s="33">
        <f t="shared" si="53"/>
        <v>0</v>
      </c>
      <c r="AC94" s="308">
        <f t="shared" si="54"/>
        <v>0</v>
      </c>
      <c r="AD94" s="101">
        <f t="shared" si="55"/>
        <v>0</v>
      </c>
      <c r="AE94" s="101">
        <f t="shared" si="56"/>
        <v>0</v>
      </c>
      <c r="AF94" s="197">
        <f t="shared" si="74"/>
        <v>26.074794950786295</v>
      </c>
      <c r="AG94" s="197">
        <f t="shared" si="75"/>
        <v>0</v>
      </c>
      <c r="AH94" s="197">
        <f t="shared" si="76"/>
        <v>0</v>
      </c>
      <c r="AI94" s="202">
        <f t="shared" si="77"/>
        <v>26.074794950786295</v>
      </c>
      <c r="AK94" s="71">
        <v>89</v>
      </c>
      <c r="AL94" s="33">
        <f t="shared" si="57"/>
        <v>0</v>
      </c>
      <c r="AM94" s="33">
        <f t="shared" si="58"/>
        <v>0</v>
      </c>
      <c r="AN94" s="33">
        <f t="shared" si="59"/>
        <v>0</v>
      </c>
      <c r="AO94" s="33">
        <f t="shared" si="60"/>
        <v>0</v>
      </c>
      <c r="AP94" s="33">
        <f t="shared" si="61"/>
        <v>0</v>
      </c>
      <c r="AQ94" s="197">
        <f t="shared" si="41"/>
        <v>0</v>
      </c>
      <c r="AR94" s="197">
        <f t="shared" si="42"/>
        <v>0</v>
      </c>
      <c r="AS94" s="197">
        <f t="shared" si="43"/>
        <v>0</v>
      </c>
      <c r="AT94" s="197">
        <f t="shared" si="44"/>
        <v>0</v>
      </c>
      <c r="AU94" s="33"/>
      <c r="AV94" s="33"/>
      <c r="AW94" s="33"/>
      <c r="AX94" s="33"/>
      <c r="AY94" s="76"/>
    </row>
    <row r="95" spans="2:51">
      <c r="B95" s="187">
        <f>F18</f>
        <v>100</v>
      </c>
      <c r="C95" s="184">
        <f>VLOOKUP(B95,C25:D78,2)</f>
        <v>333</v>
      </c>
      <c r="D95" s="339">
        <v>0.9</v>
      </c>
      <c r="E95" s="341">
        <f>IF(G95+D95&lt;&gt;1,(1-(G95+D95))*56%,0)</f>
        <v>0</v>
      </c>
      <c r="F95" s="341">
        <f>IF(G95+D95&lt;&gt;1,(1-(G95+D95))*44%,0)</f>
        <v>0</v>
      </c>
      <c r="G95" s="154">
        <f t="shared" si="73"/>
        <v>9.9999999999999978E-2</v>
      </c>
      <c r="H95" s="58">
        <f>IF(C95=0,0,IF(SUM(D95:G95)&lt;&gt;1,"erreur",))</f>
        <v>0</v>
      </c>
      <c r="I95" s="55">
        <v>90</v>
      </c>
      <c r="J95" s="33">
        <f t="shared" si="64"/>
        <v>5</v>
      </c>
      <c r="K95" s="33">
        <f t="shared" si="65"/>
        <v>1.910565629709926</v>
      </c>
      <c r="L95" s="33">
        <f t="shared" si="66"/>
        <v>45</v>
      </c>
      <c r="M95" s="33">
        <f t="shared" si="67"/>
        <v>0</v>
      </c>
      <c r="N95" s="33">
        <f t="shared" si="47"/>
        <v>0</v>
      </c>
      <c r="O95" s="34">
        <f t="shared" si="48"/>
        <v>177.03590180507811</v>
      </c>
      <c r="P95" s="55">
        <v>90</v>
      </c>
      <c r="Q95" s="33">
        <f t="shared" si="62"/>
        <v>12.480000000000018</v>
      </c>
      <c r="R95" s="33">
        <f t="shared" si="68"/>
        <v>514.80000000000007</v>
      </c>
      <c r="S95" s="33">
        <f t="shared" si="69"/>
        <v>288.28800000000007</v>
      </c>
      <c r="T95" s="33">
        <f t="shared" si="49"/>
        <v>68.715516926722444</v>
      </c>
      <c r="U95" s="33">
        <f t="shared" si="63"/>
        <v>64.824811182971189</v>
      </c>
      <c r="V95" s="33">
        <f t="shared" si="50"/>
        <v>10</v>
      </c>
      <c r="W95" s="33">
        <v>0</v>
      </c>
      <c r="X95" s="33">
        <f t="shared" si="51"/>
        <v>896.1387663182694</v>
      </c>
      <c r="Y95" s="38">
        <f t="shared" si="52"/>
        <v>719.10286451319132</v>
      </c>
      <c r="AA95" s="71">
        <v>90</v>
      </c>
      <c r="AB95" s="33">
        <f t="shared" si="53"/>
        <v>0</v>
      </c>
      <c r="AC95" s="308">
        <f t="shared" si="54"/>
        <v>0</v>
      </c>
      <c r="AD95" s="101">
        <f t="shared" si="55"/>
        <v>0</v>
      </c>
      <c r="AE95" s="101">
        <f t="shared" si="56"/>
        <v>0</v>
      </c>
      <c r="AF95" s="197">
        <f t="shared" si="74"/>
        <v>25.563484125855901</v>
      </c>
      <c r="AG95" s="197">
        <f t="shared" si="75"/>
        <v>0</v>
      </c>
      <c r="AH95" s="197">
        <f t="shared" si="76"/>
        <v>0</v>
      </c>
      <c r="AI95" s="202">
        <f t="shared" si="77"/>
        <v>25.563484125855901</v>
      </c>
      <c r="AK95" s="71">
        <v>90</v>
      </c>
      <c r="AL95" s="33">
        <f t="shared" si="57"/>
        <v>0</v>
      </c>
      <c r="AM95" s="33">
        <f t="shared" si="58"/>
        <v>0</v>
      </c>
      <c r="AN95" s="33">
        <f t="shared" si="59"/>
        <v>0</v>
      </c>
      <c r="AO95" s="33">
        <f t="shared" si="60"/>
        <v>0</v>
      </c>
      <c r="AP95" s="33">
        <f t="shared" si="61"/>
        <v>0</v>
      </c>
      <c r="AQ95" s="197">
        <f t="shared" si="41"/>
        <v>0</v>
      </c>
      <c r="AR95" s="197">
        <f t="shared" si="42"/>
        <v>0</v>
      </c>
      <c r="AS95" s="197">
        <f t="shared" si="43"/>
        <v>0</v>
      </c>
      <c r="AT95" s="197">
        <f t="shared" si="44"/>
        <v>0</v>
      </c>
      <c r="AU95" s="33"/>
      <c r="AV95" s="33"/>
      <c r="AW95" s="33"/>
      <c r="AX95" s="33"/>
      <c r="AY95" s="76"/>
    </row>
    <row r="96" spans="2:51">
      <c r="I96" s="55">
        <v>91</v>
      </c>
      <c r="J96" s="33">
        <f t="shared" si="64"/>
        <v>5</v>
      </c>
      <c r="K96" s="33">
        <f t="shared" si="65"/>
        <v>1.910565629709926</v>
      </c>
      <c r="L96" s="33">
        <f t="shared" si="66"/>
        <v>45</v>
      </c>
      <c r="M96" s="33">
        <f t="shared" si="67"/>
        <v>0</v>
      </c>
      <c r="N96" s="33">
        <f t="shared" si="47"/>
        <v>0</v>
      </c>
      <c r="O96" s="34">
        <f t="shared" si="48"/>
        <v>177.03590180507811</v>
      </c>
      <c r="P96" s="55">
        <v>91</v>
      </c>
      <c r="Q96" s="33">
        <f t="shared" si="62"/>
        <v>-43.680000000000064</v>
      </c>
      <c r="R96" s="33">
        <f t="shared" si="68"/>
        <v>471.12</v>
      </c>
      <c r="S96" s="33">
        <f t="shared" si="69"/>
        <v>263.8272</v>
      </c>
      <c r="T96" s="33">
        <f t="shared" si="49"/>
        <v>63.537487231538819</v>
      </c>
      <c r="U96" s="33">
        <f t="shared" si="63"/>
        <v>64.914589138957751</v>
      </c>
      <c r="V96" s="33">
        <f t="shared" si="50"/>
        <v>10</v>
      </c>
      <c r="W96" s="33">
        <v>0</v>
      </c>
      <c r="X96" s="33">
        <f t="shared" si="51"/>
        <v>844.84699043777516</v>
      </c>
      <c r="Y96" s="38">
        <f t="shared" si="52"/>
        <v>667.81108863269708</v>
      </c>
      <c r="AA96" s="71">
        <v>91</v>
      </c>
      <c r="AB96" s="33">
        <f t="shared" si="53"/>
        <v>0</v>
      </c>
      <c r="AC96" s="308">
        <f t="shared" si="54"/>
        <v>0</v>
      </c>
      <c r="AD96" s="101">
        <f t="shared" si="55"/>
        <v>0</v>
      </c>
      <c r="AE96" s="101">
        <f t="shared" si="56"/>
        <v>0</v>
      </c>
      <c r="AF96" s="197">
        <f t="shared" si="74"/>
        <v>25.062199794333583</v>
      </c>
      <c r="AG96" s="197">
        <f t="shared" si="75"/>
        <v>0</v>
      </c>
      <c r="AH96" s="197">
        <f t="shared" si="76"/>
        <v>0</v>
      </c>
      <c r="AI96" s="202">
        <f t="shared" si="77"/>
        <v>25.062199794333583</v>
      </c>
      <c r="AK96" s="71">
        <v>91</v>
      </c>
      <c r="AL96" s="33">
        <f t="shared" si="57"/>
        <v>0</v>
      </c>
      <c r="AM96" s="33">
        <f t="shared" si="58"/>
        <v>0</v>
      </c>
      <c r="AN96" s="33">
        <f t="shared" si="59"/>
        <v>0</v>
      </c>
      <c r="AO96" s="33">
        <f t="shared" si="60"/>
        <v>0</v>
      </c>
      <c r="AP96" s="33">
        <f t="shared" si="61"/>
        <v>0</v>
      </c>
      <c r="AQ96" s="197">
        <f t="shared" si="41"/>
        <v>0</v>
      </c>
      <c r="AR96" s="197">
        <f t="shared" si="42"/>
        <v>0</v>
      </c>
      <c r="AS96" s="197">
        <f t="shared" si="43"/>
        <v>0</v>
      </c>
      <c r="AT96" s="197">
        <f t="shared" si="44"/>
        <v>0</v>
      </c>
      <c r="AU96" s="33"/>
      <c r="AV96" s="33"/>
      <c r="AW96" s="33"/>
      <c r="AX96" s="33"/>
      <c r="AY96" s="76"/>
    </row>
    <row r="97" spans="2:51">
      <c r="C97" s="67" t="s">
        <v>154</v>
      </c>
      <c r="D97" t="s">
        <v>137</v>
      </c>
      <c r="E97" s="6"/>
      <c r="I97" s="55">
        <v>92</v>
      </c>
      <c r="J97" s="33">
        <f t="shared" si="64"/>
        <v>5</v>
      </c>
      <c r="K97" s="33">
        <f t="shared" si="65"/>
        <v>1.910565629709926</v>
      </c>
      <c r="L97" s="33">
        <f t="shared" si="66"/>
        <v>45</v>
      </c>
      <c r="M97" s="33">
        <f t="shared" si="67"/>
        <v>0</v>
      </c>
      <c r="N97" s="33">
        <f t="shared" si="47"/>
        <v>0</v>
      </c>
      <c r="O97" s="34">
        <f t="shared" si="48"/>
        <v>177.03590180507811</v>
      </c>
      <c r="P97" s="55">
        <v>92</v>
      </c>
      <c r="Q97" s="33">
        <f t="shared" si="62"/>
        <v>12.090000000000003</v>
      </c>
      <c r="R97" s="33">
        <f t="shared" si="68"/>
        <v>483.21000000000004</v>
      </c>
      <c r="S97" s="33">
        <f t="shared" si="69"/>
        <v>270.59760000000006</v>
      </c>
      <c r="T97" s="33">
        <f t="shared" si="49"/>
        <v>64.976078766498532</v>
      </c>
      <c r="U97" s="33">
        <f t="shared" si="63"/>
        <v>65.002809648121385</v>
      </c>
      <c r="V97" s="33">
        <f t="shared" si="50"/>
        <v>10</v>
      </c>
      <c r="W97" s="33">
        <v>0</v>
      </c>
      <c r="X97" s="33">
        <f t="shared" si="51"/>
        <v>859.46779256142997</v>
      </c>
      <c r="Y97" s="38">
        <f t="shared" si="52"/>
        <v>682.43189075635189</v>
      </c>
      <c r="AA97" s="71">
        <v>92</v>
      </c>
      <c r="AB97" s="33">
        <f t="shared" si="53"/>
        <v>0</v>
      </c>
      <c r="AC97" s="308">
        <f t="shared" si="54"/>
        <v>0</v>
      </c>
      <c r="AD97" s="101">
        <f t="shared" si="55"/>
        <v>0</v>
      </c>
      <c r="AE97" s="101">
        <f t="shared" si="56"/>
        <v>0</v>
      </c>
      <c r="AF97" s="197">
        <f t="shared" si="74"/>
        <v>24.570745342799167</v>
      </c>
      <c r="AG97" s="197">
        <f t="shared" si="75"/>
        <v>0</v>
      </c>
      <c r="AH97" s="197">
        <f t="shared" si="76"/>
        <v>0</v>
      </c>
      <c r="AI97" s="202">
        <f t="shared" si="77"/>
        <v>24.570745342799167</v>
      </c>
      <c r="AK97" s="71">
        <v>92</v>
      </c>
      <c r="AL97" s="33">
        <f t="shared" si="57"/>
        <v>0</v>
      </c>
      <c r="AM97" s="33">
        <f t="shared" si="58"/>
        <v>0</v>
      </c>
      <c r="AN97" s="33">
        <f t="shared" si="59"/>
        <v>0</v>
      </c>
      <c r="AO97" s="33">
        <f t="shared" si="60"/>
        <v>0</v>
      </c>
      <c r="AP97" s="33">
        <f t="shared" si="61"/>
        <v>0</v>
      </c>
      <c r="AQ97" s="197">
        <f t="shared" si="41"/>
        <v>0</v>
      </c>
      <c r="AR97" s="197">
        <f t="shared" si="42"/>
        <v>0</v>
      </c>
      <c r="AS97" s="197">
        <f t="shared" si="43"/>
        <v>0</v>
      </c>
      <c r="AT97" s="197">
        <f t="shared" si="44"/>
        <v>0</v>
      </c>
      <c r="AU97" s="33"/>
      <c r="AV97" s="33"/>
      <c r="AW97" s="33"/>
      <c r="AX97" s="33"/>
      <c r="AY97" s="76"/>
    </row>
    <row r="98" spans="2:51">
      <c r="B98" s="2" t="s">
        <v>0</v>
      </c>
      <c r="C98">
        <v>32</v>
      </c>
      <c r="D98">
        <v>0</v>
      </c>
      <c r="E98" s="6"/>
      <c r="I98" s="55">
        <v>93</v>
      </c>
      <c r="J98" s="33">
        <f t="shared" si="64"/>
        <v>5</v>
      </c>
      <c r="K98" s="33">
        <f t="shared" si="65"/>
        <v>1.910565629709926</v>
      </c>
      <c r="L98" s="33">
        <f t="shared" si="66"/>
        <v>45</v>
      </c>
      <c r="M98" s="33">
        <f t="shared" si="67"/>
        <v>0</v>
      </c>
      <c r="N98" s="33">
        <f t="shared" si="47"/>
        <v>0</v>
      </c>
      <c r="O98" s="34">
        <f t="shared" si="48"/>
        <v>177.03590180507811</v>
      </c>
      <c r="P98" s="55">
        <v>93</v>
      </c>
      <c r="Q98" s="33">
        <f t="shared" si="62"/>
        <v>12.090000000000003</v>
      </c>
      <c r="R98" s="33">
        <f t="shared" si="68"/>
        <v>495.30000000000007</v>
      </c>
      <c r="S98" s="33">
        <f t="shared" si="69"/>
        <v>277.36800000000005</v>
      </c>
      <c r="T98" s="33">
        <f t="shared" si="49"/>
        <v>66.410486254957206</v>
      </c>
      <c r="U98" s="33">
        <f t="shared" si="63"/>
        <v>65.08949972868254</v>
      </c>
      <c r="V98" s="33">
        <f t="shared" si="50"/>
        <v>10</v>
      </c>
      <c r="W98" s="33">
        <v>0</v>
      </c>
      <c r="X98" s="33">
        <f t="shared" si="51"/>
        <v>874.0756958992198</v>
      </c>
      <c r="Y98" s="38">
        <f t="shared" si="52"/>
        <v>697.03979409414171</v>
      </c>
      <c r="AA98" s="71">
        <v>93</v>
      </c>
      <c r="AB98" s="33">
        <f t="shared" si="53"/>
        <v>0</v>
      </c>
      <c r="AC98" s="308">
        <f t="shared" si="54"/>
        <v>0</v>
      </c>
      <c r="AD98" s="101">
        <f t="shared" si="55"/>
        <v>0</v>
      </c>
      <c r="AE98" s="101">
        <f t="shared" si="56"/>
        <v>0</v>
      </c>
      <c r="AF98" s="197">
        <f t="shared" si="74"/>
        <v>24.088928013301725</v>
      </c>
      <c r="AG98" s="197">
        <f t="shared" si="75"/>
        <v>0</v>
      </c>
      <c r="AH98" s="197">
        <f t="shared" si="76"/>
        <v>0</v>
      </c>
      <c r="AI98" s="202">
        <f t="shared" si="77"/>
        <v>24.088928013301725</v>
      </c>
      <c r="AK98" s="71">
        <v>93</v>
      </c>
      <c r="AL98" s="33">
        <f t="shared" si="57"/>
        <v>0</v>
      </c>
      <c r="AM98" s="33">
        <f t="shared" si="58"/>
        <v>0</v>
      </c>
      <c r="AN98" s="33">
        <f t="shared" si="59"/>
        <v>0</v>
      </c>
      <c r="AO98" s="33">
        <f t="shared" si="60"/>
        <v>0</v>
      </c>
      <c r="AP98" s="33">
        <f t="shared" si="61"/>
        <v>0</v>
      </c>
      <c r="AQ98" s="197">
        <f t="shared" si="41"/>
        <v>0</v>
      </c>
      <c r="AR98" s="197">
        <f t="shared" si="42"/>
        <v>0</v>
      </c>
      <c r="AS98" s="197">
        <f t="shared" si="43"/>
        <v>0</v>
      </c>
      <c r="AT98" s="197">
        <f t="shared" si="44"/>
        <v>0</v>
      </c>
      <c r="AU98" s="33"/>
      <c r="AV98" s="33"/>
      <c r="AW98" s="33"/>
      <c r="AX98" s="33"/>
      <c r="AY98" s="76"/>
    </row>
    <row r="99" spans="2:51">
      <c r="B99" s="2" t="s">
        <v>1</v>
      </c>
      <c r="C99">
        <v>45</v>
      </c>
      <c r="D99">
        <v>0</v>
      </c>
      <c r="E99" s="6"/>
      <c r="I99" s="55">
        <v>94</v>
      </c>
      <c r="J99" s="33">
        <f t="shared" si="64"/>
        <v>5</v>
      </c>
      <c r="K99" s="33">
        <f t="shared" si="65"/>
        <v>1.910565629709926</v>
      </c>
      <c r="L99" s="33">
        <f t="shared" si="66"/>
        <v>45</v>
      </c>
      <c r="M99" s="33">
        <f t="shared" si="67"/>
        <v>0</v>
      </c>
      <c r="N99" s="33">
        <f t="shared" si="47"/>
        <v>0</v>
      </c>
      <c r="O99" s="34">
        <f t="shared" si="48"/>
        <v>177.03590180507811</v>
      </c>
      <c r="P99" s="55">
        <v>94</v>
      </c>
      <c r="Q99" s="33">
        <f t="shared" si="62"/>
        <v>12.090000000000003</v>
      </c>
      <c r="R99" s="33">
        <f t="shared" si="68"/>
        <v>507.3900000000001</v>
      </c>
      <c r="S99" s="33">
        <f t="shared" si="69"/>
        <v>284.1384000000001</v>
      </c>
      <c r="T99" s="33">
        <f t="shared" si="49"/>
        <v>67.840823576193685</v>
      </c>
      <c r="U99" s="33">
        <f t="shared" si="63"/>
        <v>65.17468593015596</v>
      </c>
      <c r="V99" s="33">
        <f t="shared" si="50"/>
        <v>10</v>
      </c>
      <c r="W99" s="33">
        <v>0</v>
      </c>
      <c r="X99" s="33">
        <f t="shared" si="51"/>
        <v>888.67099613910943</v>
      </c>
      <c r="Y99" s="38">
        <f t="shared" si="52"/>
        <v>711.63509433403135</v>
      </c>
      <c r="AA99" s="71">
        <v>94</v>
      </c>
      <c r="AB99" s="33">
        <f t="shared" si="53"/>
        <v>0</v>
      </c>
      <c r="AC99" s="308">
        <f t="shared" si="54"/>
        <v>0</v>
      </c>
      <c r="AD99" s="101">
        <f t="shared" si="55"/>
        <v>0</v>
      </c>
      <c r="AE99" s="101">
        <f t="shared" si="56"/>
        <v>0</v>
      </c>
      <c r="AF99" s="197">
        <f t="shared" si="74"/>
        <v>23.616558827756172</v>
      </c>
      <c r="AG99" s="197">
        <f t="shared" si="75"/>
        <v>0</v>
      </c>
      <c r="AH99" s="197">
        <f t="shared" si="76"/>
        <v>0</v>
      </c>
      <c r="AI99" s="202">
        <f t="shared" si="77"/>
        <v>23.616558827756172</v>
      </c>
      <c r="AK99" s="71">
        <v>94</v>
      </c>
      <c r="AL99" s="33">
        <f t="shared" si="57"/>
        <v>0</v>
      </c>
      <c r="AM99" s="33">
        <f t="shared" si="58"/>
        <v>0</v>
      </c>
      <c r="AN99" s="33">
        <f t="shared" si="59"/>
        <v>0</v>
      </c>
      <c r="AO99" s="33">
        <f t="shared" si="60"/>
        <v>0</v>
      </c>
      <c r="AP99" s="33">
        <f t="shared" si="61"/>
        <v>0</v>
      </c>
      <c r="AQ99" s="197">
        <f t="shared" si="41"/>
        <v>0</v>
      </c>
      <c r="AR99" s="197">
        <f t="shared" si="42"/>
        <v>0</v>
      </c>
      <c r="AS99" s="197">
        <f t="shared" si="43"/>
        <v>0</v>
      </c>
      <c r="AT99" s="197">
        <f t="shared" si="44"/>
        <v>0</v>
      </c>
      <c r="AU99" s="33"/>
      <c r="AV99" s="33"/>
      <c r="AW99" s="33"/>
      <c r="AX99" s="33"/>
      <c r="AY99" s="76"/>
    </row>
    <row r="100" spans="2:51">
      <c r="B100" s="2" t="s">
        <v>2</v>
      </c>
      <c r="C100">
        <v>70</v>
      </c>
      <c r="D100">
        <v>0</v>
      </c>
      <c r="E100" s="6"/>
      <c r="I100" s="55">
        <v>95</v>
      </c>
      <c r="J100" s="33">
        <f t="shared" si="64"/>
        <v>5</v>
      </c>
      <c r="K100" s="33">
        <f t="shared" si="65"/>
        <v>1.910565629709926</v>
      </c>
      <c r="L100" s="33">
        <f t="shared" si="66"/>
        <v>45</v>
      </c>
      <c r="M100" s="33">
        <f t="shared" si="67"/>
        <v>0</v>
      </c>
      <c r="N100" s="33">
        <f t="shared" si="47"/>
        <v>0</v>
      </c>
      <c r="O100" s="34">
        <f t="shared" si="48"/>
        <v>177.03590180507811</v>
      </c>
      <c r="P100" s="55">
        <v>95</v>
      </c>
      <c r="Q100" s="33">
        <f t="shared" si="62"/>
        <v>12.090000000000003</v>
      </c>
      <c r="R100" s="33">
        <f t="shared" si="68"/>
        <v>519.48000000000013</v>
      </c>
      <c r="S100" s="33">
        <f t="shared" si="69"/>
        <v>290.9088000000001</v>
      </c>
      <c r="T100" s="33">
        <f t="shared" si="49"/>
        <v>69.267198872967185</v>
      </c>
      <c r="U100" s="33">
        <f t="shared" si="63"/>
        <v>65.258394341481619</v>
      </c>
      <c r="V100" s="33">
        <f t="shared" si="50"/>
        <v>10</v>
      </c>
      <c r="W100" s="33">
        <v>0</v>
      </c>
      <c r="X100" s="33">
        <f t="shared" si="51"/>
        <v>903.25397728918381</v>
      </c>
      <c r="Y100" s="38">
        <f t="shared" si="52"/>
        <v>726.21807548410573</v>
      </c>
      <c r="AA100" s="71">
        <v>95</v>
      </c>
      <c r="AB100" s="33">
        <f t="shared" si="53"/>
        <v>0</v>
      </c>
      <c r="AC100" s="308">
        <f t="shared" si="54"/>
        <v>0</v>
      </c>
      <c r="AD100" s="101">
        <f t="shared" si="55"/>
        <v>0</v>
      </c>
      <c r="AE100" s="101">
        <f t="shared" si="56"/>
        <v>0</v>
      </c>
      <c r="AF100" s="197">
        <f t="shared" si="74"/>
        <v>23.153452513822415</v>
      </c>
      <c r="AG100" s="197">
        <f t="shared" si="75"/>
        <v>0</v>
      </c>
      <c r="AH100" s="197">
        <f t="shared" si="76"/>
        <v>0</v>
      </c>
      <c r="AI100" s="202">
        <f t="shared" si="77"/>
        <v>23.153452513822415</v>
      </c>
      <c r="AK100" s="71">
        <v>95</v>
      </c>
      <c r="AL100" s="33">
        <f t="shared" si="57"/>
        <v>0</v>
      </c>
      <c r="AM100" s="33">
        <f t="shared" si="58"/>
        <v>0</v>
      </c>
      <c r="AN100" s="33">
        <f t="shared" si="59"/>
        <v>0</v>
      </c>
      <c r="AO100" s="33">
        <f t="shared" si="60"/>
        <v>0</v>
      </c>
      <c r="AP100" s="33">
        <f t="shared" si="61"/>
        <v>0</v>
      </c>
      <c r="AQ100" s="197">
        <f t="shared" ref="AQ100:AQ163" si="78">IF($AK100&lt;=$F$18,$AL100*AM100,)</f>
        <v>0</v>
      </c>
      <c r="AR100" s="197">
        <f t="shared" ref="AR100:AR163" si="79">IF($AK100&lt;=$F$18,$AL100*AN100,)</f>
        <v>0</v>
      </c>
      <c r="AS100" s="197">
        <f t="shared" ref="AS100:AS163" si="80">IF($AK100&lt;=$F$18,$AL100*AO100,)</f>
        <v>0</v>
      </c>
      <c r="AT100" s="197">
        <f t="shared" ref="AT100:AT163" si="81">IF($AK100&lt;=$F$18,$AL100*AP100,)</f>
        <v>0</v>
      </c>
      <c r="AU100" s="33"/>
      <c r="AV100" s="33"/>
      <c r="AW100" s="33"/>
      <c r="AX100" s="33"/>
      <c r="AY100" s="76"/>
    </row>
    <row r="101" spans="2:51">
      <c r="B101" s="2" t="s">
        <v>135</v>
      </c>
      <c r="C101">
        <v>70</v>
      </c>
      <c r="D101">
        <v>0</v>
      </c>
      <c r="E101" s="6"/>
      <c r="I101" s="55">
        <v>96</v>
      </c>
      <c r="J101" s="33">
        <f t="shared" si="64"/>
        <v>5</v>
      </c>
      <c r="K101" s="33">
        <f t="shared" si="65"/>
        <v>1.910565629709926</v>
      </c>
      <c r="L101" s="33">
        <f t="shared" si="66"/>
        <v>45</v>
      </c>
      <c r="M101" s="33">
        <f t="shared" si="67"/>
        <v>0</v>
      </c>
      <c r="N101" s="33">
        <f t="shared" si="47"/>
        <v>0</v>
      </c>
      <c r="O101" s="34">
        <f t="shared" si="48"/>
        <v>177.03590180507811</v>
      </c>
      <c r="P101" s="55">
        <v>96</v>
      </c>
      <c r="Q101" s="33">
        <f t="shared" si="62"/>
        <v>-43.680000000000007</v>
      </c>
      <c r="R101" s="33">
        <f t="shared" si="68"/>
        <v>475.80000000000013</v>
      </c>
      <c r="S101" s="33">
        <f t="shared" si="69"/>
        <v>266.44800000000009</v>
      </c>
      <c r="T101" s="33">
        <f t="shared" si="49"/>
        <v>64.094865228054687</v>
      </c>
      <c r="U101" s="33">
        <f t="shared" si="63"/>
        <v>65.340650599014751</v>
      </c>
      <c r="V101" s="33">
        <f t="shared" si="50"/>
        <v>10</v>
      </c>
      <c r="W101" s="33">
        <v>0</v>
      </c>
      <c r="X101" s="33">
        <f t="shared" si="51"/>
        <v>851.94454246858288</v>
      </c>
      <c r="Y101" s="38">
        <f t="shared" si="52"/>
        <v>674.9086406635048</v>
      </c>
      <c r="AA101" s="71">
        <v>96</v>
      </c>
      <c r="AB101" s="33">
        <f t="shared" si="53"/>
        <v>0</v>
      </c>
      <c r="AC101" s="308">
        <f t="shared" si="54"/>
        <v>0</v>
      </c>
      <c r="AD101" s="101">
        <f t="shared" si="55"/>
        <v>0</v>
      </c>
      <c r="AE101" s="101">
        <f t="shared" si="56"/>
        <v>0</v>
      </c>
      <c r="AF101" s="197">
        <f t="shared" si="74"/>
        <v>22.69942743223794</v>
      </c>
      <c r="AG101" s="197">
        <f t="shared" si="75"/>
        <v>0</v>
      </c>
      <c r="AH101" s="197">
        <f t="shared" si="76"/>
        <v>0</v>
      </c>
      <c r="AI101" s="202">
        <f t="shared" si="77"/>
        <v>22.69942743223794</v>
      </c>
      <c r="AK101" s="71">
        <v>96</v>
      </c>
      <c r="AL101" s="33">
        <f t="shared" si="57"/>
        <v>0</v>
      </c>
      <c r="AM101" s="33">
        <f t="shared" si="58"/>
        <v>0</v>
      </c>
      <c r="AN101" s="33">
        <f t="shared" si="59"/>
        <v>0</v>
      </c>
      <c r="AO101" s="33">
        <f t="shared" si="60"/>
        <v>0</v>
      </c>
      <c r="AP101" s="33">
        <f t="shared" si="61"/>
        <v>0</v>
      </c>
      <c r="AQ101" s="197">
        <f t="shared" si="78"/>
        <v>0</v>
      </c>
      <c r="AR101" s="197">
        <f t="shared" si="79"/>
        <v>0</v>
      </c>
      <c r="AS101" s="197">
        <f t="shared" si="80"/>
        <v>0</v>
      </c>
      <c r="AT101" s="197">
        <f t="shared" si="81"/>
        <v>0</v>
      </c>
      <c r="AU101" s="33"/>
      <c r="AV101" s="33"/>
      <c r="AW101" s="33"/>
      <c r="AX101" s="33"/>
      <c r="AY101" s="76"/>
    </row>
    <row r="102" spans="2:51">
      <c r="C102" s="27"/>
      <c r="E102" s="6"/>
      <c r="I102" s="55">
        <v>97</v>
      </c>
      <c r="J102" s="33">
        <f t="shared" si="64"/>
        <v>5</v>
      </c>
      <c r="K102" s="33">
        <f t="shared" si="65"/>
        <v>1.910565629709926</v>
      </c>
      <c r="L102" s="33">
        <f t="shared" si="66"/>
        <v>45</v>
      </c>
      <c r="M102" s="33">
        <f t="shared" si="67"/>
        <v>0</v>
      </c>
      <c r="N102" s="33">
        <f t="shared" si="47"/>
        <v>0</v>
      </c>
      <c r="O102" s="34">
        <f t="shared" si="48"/>
        <v>177.03590180507811</v>
      </c>
      <c r="P102" s="55">
        <v>97</v>
      </c>
      <c r="Q102" s="33">
        <f t="shared" si="62"/>
        <v>10.920000000000002</v>
      </c>
      <c r="R102" s="33">
        <f t="shared" si="68"/>
        <v>486.72000000000014</v>
      </c>
      <c r="S102" s="33">
        <f t="shared" si="69"/>
        <v>272.56320000000011</v>
      </c>
      <c r="T102" s="33">
        <f t="shared" si="49"/>
        <v>65.392945522034609</v>
      </c>
      <c r="U102" s="33">
        <f t="shared" si="63"/>
        <v>65.421479894377129</v>
      </c>
      <c r="V102" s="33">
        <f t="shared" si="50"/>
        <v>10</v>
      </c>
      <c r="W102" s="33">
        <v>0</v>
      </c>
      <c r="X102" s="33">
        <f t="shared" si="51"/>
        <v>865.1523797302599</v>
      </c>
      <c r="Y102" s="38">
        <f t="shared" si="52"/>
        <v>688.11647792518181</v>
      </c>
      <c r="AA102" s="71">
        <v>97</v>
      </c>
      <c r="AB102" s="33">
        <f t="shared" si="53"/>
        <v>0</v>
      </c>
      <c r="AC102" s="308">
        <f t="shared" si="54"/>
        <v>0</v>
      </c>
      <c r="AD102" s="101">
        <f t="shared" si="55"/>
        <v>0</v>
      </c>
      <c r="AE102" s="101">
        <f t="shared" si="56"/>
        <v>0</v>
      </c>
      <c r="AF102" s="197">
        <f t="shared" si="74"/>
        <v>22.254305505575378</v>
      </c>
      <c r="AG102" s="197">
        <f t="shared" si="75"/>
        <v>0</v>
      </c>
      <c r="AH102" s="197">
        <f t="shared" si="76"/>
        <v>0</v>
      </c>
      <c r="AI102" s="202">
        <f t="shared" si="77"/>
        <v>22.254305505575378</v>
      </c>
      <c r="AK102" s="71">
        <v>97</v>
      </c>
      <c r="AL102" s="33">
        <f t="shared" si="57"/>
        <v>0</v>
      </c>
      <c r="AM102" s="33">
        <f t="shared" si="58"/>
        <v>0</v>
      </c>
      <c r="AN102" s="33">
        <f t="shared" si="59"/>
        <v>0</v>
      </c>
      <c r="AO102" s="33">
        <f t="shared" si="60"/>
        <v>0</v>
      </c>
      <c r="AP102" s="33">
        <f t="shared" si="61"/>
        <v>0</v>
      </c>
      <c r="AQ102" s="197">
        <f t="shared" si="78"/>
        <v>0</v>
      </c>
      <c r="AR102" s="197">
        <f t="shared" si="79"/>
        <v>0</v>
      </c>
      <c r="AS102" s="197">
        <f t="shared" si="80"/>
        <v>0</v>
      </c>
      <c r="AT102" s="197">
        <f t="shared" si="81"/>
        <v>0</v>
      </c>
      <c r="AU102" s="33"/>
      <c r="AV102" s="33"/>
      <c r="AW102" s="33"/>
      <c r="AX102" s="33"/>
      <c r="AY102" s="76"/>
    </row>
    <row r="103" spans="2:51" ht="16">
      <c r="C103" s="25" t="s">
        <v>157</v>
      </c>
      <c r="D103" s="160" t="s">
        <v>158</v>
      </c>
      <c r="F103" s="193" t="s">
        <v>232</v>
      </c>
      <c r="I103" s="55">
        <v>98</v>
      </c>
      <c r="J103" s="33">
        <f t="shared" si="64"/>
        <v>5</v>
      </c>
      <c r="K103" s="33">
        <f t="shared" si="65"/>
        <v>1.910565629709926</v>
      </c>
      <c r="L103" s="33">
        <f t="shared" si="66"/>
        <v>45</v>
      </c>
      <c r="M103" s="33">
        <f t="shared" si="67"/>
        <v>0</v>
      </c>
      <c r="N103" s="33">
        <f t="shared" si="47"/>
        <v>0</v>
      </c>
      <c r="O103" s="34">
        <f t="shared" si="48"/>
        <v>177.03590180507811</v>
      </c>
      <c r="P103" s="55">
        <v>98</v>
      </c>
      <c r="Q103" s="33">
        <f t="shared" si="62"/>
        <v>10.920000000000002</v>
      </c>
      <c r="R103" s="33">
        <f t="shared" si="68"/>
        <v>497.64000000000016</v>
      </c>
      <c r="S103" s="33">
        <f t="shared" si="69"/>
        <v>278.67840000000012</v>
      </c>
      <c r="T103" s="33">
        <f t="shared" si="49"/>
        <v>66.687639951856809</v>
      </c>
      <c r="U103" s="33">
        <f t="shared" si="63"/>
        <v>65.500906982172197</v>
      </c>
      <c r="V103" s="33">
        <f t="shared" si="50"/>
        <v>10</v>
      </c>
      <c r="W103" s="33">
        <v>0</v>
      </c>
      <c r="X103" s="33">
        <f t="shared" si="51"/>
        <v>878.34917851744876</v>
      </c>
      <c r="Y103" s="38">
        <f t="shared" si="52"/>
        <v>701.31327671237068</v>
      </c>
      <c r="AA103" s="71">
        <v>98</v>
      </c>
      <c r="AB103" s="33">
        <f t="shared" si="53"/>
        <v>0</v>
      </c>
      <c r="AC103" s="308">
        <f t="shared" si="54"/>
        <v>0</v>
      </c>
      <c r="AD103" s="101">
        <f t="shared" si="55"/>
        <v>0</v>
      </c>
      <c r="AE103" s="101">
        <f t="shared" si="56"/>
        <v>0</v>
      </c>
      <c r="AF103" s="197">
        <f t="shared" si="74"/>
        <v>21.817912148397102</v>
      </c>
      <c r="AG103" s="197">
        <f t="shared" si="75"/>
        <v>0</v>
      </c>
      <c r="AH103" s="197">
        <f t="shared" si="76"/>
        <v>0</v>
      </c>
      <c r="AI103" s="202">
        <f t="shared" si="77"/>
        <v>21.817912148397102</v>
      </c>
      <c r="AK103" s="71">
        <v>98</v>
      </c>
      <c r="AL103" s="33">
        <f t="shared" si="57"/>
        <v>0</v>
      </c>
      <c r="AM103" s="33">
        <f t="shared" si="58"/>
        <v>0</v>
      </c>
      <c r="AN103" s="33">
        <f t="shared" si="59"/>
        <v>0</v>
      </c>
      <c r="AO103" s="33">
        <f t="shared" si="60"/>
        <v>0</v>
      </c>
      <c r="AP103" s="33">
        <f t="shared" si="61"/>
        <v>0</v>
      </c>
      <c r="AQ103" s="197">
        <f t="shared" si="78"/>
        <v>0</v>
      </c>
      <c r="AR103" s="197">
        <f t="shared" si="79"/>
        <v>0</v>
      </c>
      <c r="AS103" s="197">
        <f t="shared" si="80"/>
        <v>0</v>
      </c>
      <c r="AT103" s="197">
        <f t="shared" si="81"/>
        <v>0</v>
      </c>
      <c r="AU103" s="33"/>
      <c r="AV103" s="33"/>
      <c r="AW103" s="33"/>
      <c r="AX103" s="33"/>
      <c r="AY103" s="76"/>
    </row>
    <row r="104" spans="2:51">
      <c r="B104" t="s">
        <v>78</v>
      </c>
      <c r="C104">
        <v>1.52</v>
      </c>
      <c r="D104">
        <v>35</v>
      </c>
      <c r="F104" s="303" t="s">
        <v>228</v>
      </c>
      <c r="G104" s="24">
        <v>0.25</v>
      </c>
      <c r="I104" s="55">
        <v>99</v>
      </c>
      <c r="J104" s="33">
        <f t="shared" si="64"/>
        <v>5</v>
      </c>
      <c r="K104" s="33">
        <f t="shared" si="65"/>
        <v>1.910565629709926</v>
      </c>
      <c r="L104" s="33">
        <f t="shared" si="66"/>
        <v>45</v>
      </c>
      <c r="M104" s="33">
        <f t="shared" si="67"/>
        <v>0</v>
      </c>
      <c r="N104" s="33">
        <f t="shared" si="47"/>
        <v>0</v>
      </c>
      <c r="O104" s="34">
        <f t="shared" si="48"/>
        <v>177.03590180507811</v>
      </c>
      <c r="P104" s="55">
        <v>99</v>
      </c>
      <c r="Q104" s="33">
        <f t="shared" si="62"/>
        <v>10.920000000000002</v>
      </c>
      <c r="R104" s="33">
        <f t="shared" si="68"/>
        <v>508.56000000000017</v>
      </c>
      <c r="S104" s="33">
        <f t="shared" si="69"/>
        <v>284.79360000000014</v>
      </c>
      <c r="T104" s="33">
        <f t="shared" si="49"/>
        <v>67.979031371353713</v>
      </c>
      <c r="U104" s="33">
        <f t="shared" si="63"/>
        <v>65.578956187566391</v>
      </c>
      <c r="V104" s="33">
        <f t="shared" si="50"/>
        <v>10</v>
      </c>
      <c r="W104" s="33">
        <v>0</v>
      </c>
      <c r="X104" s="33">
        <f t="shared" si="51"/>
        <v>891.53517232618469</v>
      </c>
      <c r="Y104" s="38">
        <f t="shared" si="52"/>
        <v>714.49927052110661</v>
      </c>
      <c r="AA104" s="71">
        <v>99</v>
      </c>
      <c r="AB104" s="33">
        <f t="shared" si="53"/>
        <v>0</v>
      </c>
      <c r="AC104" s="308">
        <f t="shared" si="54"/>
        <v>0</v>
      </c>
      <c r="AD104" s="101">
        <f t="shared" si="55"/>
        <v>0</v>
      </c>
      <c r="AE104" s="101">
        <f t="shared" si="56"/>
        <v>0</v>
      </c>
      <c r="AF104" s="197">
        <f t="shared" si="74"/>
        <v>21.390076198779429</v>
      </c>
      <c r="AG104" s="197">
        <f t="shared" si="75"/>
        <v>0</v>
      </c>
      <c r="AH104" s="197">
        <f t="shared" si="76"/>
        <v>0</v>
      </c>
      <c r="AI104" s="202">
        <f t="shared" si="77"/>
        <v>21.390076198779429</v>
      </c>
      <c r="AK104" s="71">
        <v>99</v>
      </c>
      <c r="AL104" s="33">
        <f t="shared" si="57"/>
        <v>0</v>
      </c>
      <c r="AM104" s="33">
        <f t="shared" si="58"/>
        <v>0</v>
      </c>
      <c r="AN104" s="33">
        <f t="shared" si="59"/>
        <v>0</v>
      </c>
      <c r="AO104" s="33">
        <f t="shared" si="60"/>
        <v>0</v>
      </c>
      <c r="AP104" s="33">
        <f t="shared" si="61"/>
        <v>0</v>
      </c>
      <c r="AQ104" s="197">
        <f t="shared" si="78"/>
        <v>0</v>
      </c>
      <c r="AR104" s="197">
        <f t="shared" si="79"/>
        <v>0</v>
      </c>
      <c r="AS104" s="197">
        <f t="shared" si="80"/>
        <v>0</v>
      </c>
      <c r="AT104" s="197">
        <f t="shared" si="81"/>
        <v>0</v>
      </c>
      <c r="AU104" s="33"/>
      <c r="AV104" s="33"/>
      <c r="AW104" s="33"/>
      <c r="AX104" s="33"/>
      <c r="AY104" s="76"/>
    </row>
    <row r="105" spans="2:51">
      <c r="B105" t="s">
        <v>80</v>
      </c>
      <c r="C105">
        <v>0</v>
      </c>
      <c r="D105">
        <v>2</v>
      </c>
      <c r="F105" s="303" t="s">
        <v>230</v>
      </c>
      <c r="G105" s="24">
        <v>1.03</v>
      </c>
      <c r="I105" s="55">
        <v>100</v>
      </c>
      <c r="J105" s="33">
        <f t="shared" si="64"/>
        <v>5</v>
      </c>
      <c r="K105" s="33">
        <f t="shared" si="65"/>
        <v>1.910565629709926</v>
      </c>
      <c r="L105" s="33">
        <f t="shared" si="66"/>
        <v>45</v>
      </c>
      <c r="M105" s="33">
        <f t="shared" si="67"/>
        <v>0</v>
      </c>
      <c r="N105" s="33">
        <f t="shared" si="47"/>
        <v>0</v>
      </c>
      <c r="O105" s="34">
        <f t="shared" si="48"/>
        <v>177.03590180507811</v>
      </c>
      <c r="P105" s="55">
        <v>100</v>
      </c>
      <c r="Q105" s="33">
        <f t="shared" si="62"/>
        <v>10.920000000000002</v>
      </c>
      <c r="R105" s="33">
        <f t="shared" si="68"/>
        <v>519.48000000000013</v>
      </c>
      <c r="S105" s="33">
        <f t="shared" si="69"/>
        <v>290.9088000000001</v>
      </c>
      <c r="T105" s="33">
        <f t="shared" si="49"/>
        <v>69.267198872967185</v>
      </c>
      <c r="U105" s="33">
        <f t="shared" si="63"/>
        <v>65.655651413738866</v>
      </c>
      <c r="V105" s="33">
        <f t="shared" si="50"/>
        <v>10</v>
      </c>
      <c r="W105" s="33">
        <v>0</v>
      </c>
      <c r="X105" s="33">
        <f t="shared" si="51"/>
        <v>904.71058655412708</v>
      </c>
      <c r="Y105" s="38">
        <f t="shared" si="52"/>
        <v>727.67468474904899</v>
      </c>
      <c r="AA105" s="71">
        <v>100</v>
      </c>
      <c r="AB105" s="33">
        <f t="shared" si="53"/>
        <v>333</v>
      </c>
      <c r="AC105" s="308">
        <f t="shared" si="54"/>
        <v>0.45</v>
      </c>
      <c r="AD105" s="101">
        <f t="shared" si="55"/>
        <v>0</v>
      </c>
      <c r="AE105" s="101">
        <f t="shared" si="56"/>
        <v>0</v>
      </c>
      <c r="AF105" s="197">
        <f t="shared" si="74"/>
        <v>165.68660754664342</v>
      </c>
      <c r="AG105" s="197">
        <f t="shared" si="75"/>
        <v>0</v>
      </c>
      <c r="AH105" s="197">
        <f t="shared" si="76"/>
        <v>0</v>
      </c>
      <c r="AI105" s="202">
        <f t="shared" si="77"/>
        <v>165.68660754664342</v>
      </c>
      <c r="AK105" s="71">
        <v>100</v>
      </c>
      <c r="AL105" s="33">
        <f t="shared" si="57"/>
        <v>333</v>
      </c>
      <c r="AM105" s="33">
        <f t="shared" si="58"/>
        <v>0.9</v>
      </c>
      <c r="AN105" s="33">
        <f t="shared" si="59"/>
        <v>0</v>
      </c>
      <c r="AO105" s="33">
        <f t="shared" si="60"/>
        <v>0</v>
      </c>
      <c r="AP105" s="33">
        <f t="shared" si="61"/>
        <v>9.9999999999999978E-2</v>
      </c>
      <c r="AQ105" s="197">
        <f t="shared" si="78"/>
        <v>299.7</v>
      </c>
      <c r="AR105" s="197">
        <f t="shared" si="79"/>
        <v>0</v>
      </c>
      <c r="AS105" s="197">
        <f t="shared" si="80"/>
        <v>0</v>
      </c>
      <c r="AT105" s="197">
        <f t="shared" si="81"/>
        <v>33.29999999999999</v>
      </c>
      <c r="AU105" s="33"/>
      <c r="AV105" s="33"/>
      <c r="AW105" s="33"/>
      <c r="AX105" s="33"/>
      <c r="AY105" s="76"/>
    </row>
    <row r="106" spans="2:51" ht="30">
      <c r="B106" t="s">
        <v>81</v>
      </c>
      <c r="C106">
        <v>0.77</v>
      </c>
      <c r="D106">
        <v>25</v>
      </c>
      <c r="F106" s="303" t="s">
        <v>231</v>
      </c>
      <c r="G106" s="24">
        <v>0.59</v>
      </c>
      <c r="I106" s="55">
        <v>101</v>
      </c>
      <c r="J106" s="33">
        <f t="shared" si="64"/>
        <v>0</v>
      </c>
      <c r="K106" s="33">
        <f t="shared" si="65"/>
        <v>0</v>
      </c>
      <c r="L106" s="33">
        <f t="shared" si="66"/>
        <v>0</v>
      </c>
      <c r="M106" s="33">
        <f t="shared" si="67"/>
        <v>0</v>
      </c>
      <c r="N106" s="33">
        <f t="shared" si="47"/>
        <v>0</v>
      </c>
      <c r="O106" s="34">
        <f t="shared" si="48"/>
        <v>0</v>
      </c>
      <c r="P106" s="55">
        <v>101</v>
      </c>
      <c r="Q106" s="33">
        <f t="shared" si="62"/>
        <v>0</v>
      </c>
      <c r="R106" s="33">
        <f t="shared" si="68"/>
        <v>0</v>
      </c>
      <c r="S106" s="33">
        <f t="shared" si="69"/>
        <v>0</v>
      </c>
      <c r="T106" s="33">
        <f t="shared" si="49"/>
        <v>0</v>
      </c>
      <c r="U106" s="33">
        <f t="shared" si="63"/>
        <v>0</v>
      </c>
      <c r="V106" s="33">
        <f t="shared" si="50"/>
        <v>0</v>
      </c>
      <c r="W106" s="33">
        <v>0</v>
      </c>
      <c r="X106" s="33">
        <f t="shared" si="51"/>
        <v>0</v>
      </c>
      <c r="Y106" s="38">
        <f t="shared" si="52"/>
        <v>0</v>
      </c>
      <c r="AA106" s="71">
        <v>101</v>
      </c>
      <c r="AB106" s="33">
        <f t="shared" si="53"/>
        <v>0</v>
      </c>
      <c r="AC106" s="308">
        <f t="shared" si="54"/>
        <v>0</v>
      </c>
      <c r="AD106" s="101">
        <f t="shared" si="55"/>
        <v>0</v>
      </c>
      <c r="AE106" s="101">
        <f t="shared" si="56"/>
        <v>0</v>
      </c>
      <c r="AF106" s="197">
        <f t="shared" si="74"/>
        <v>0</v>
      </c>
      <c r="AG106" s="197">
        <f t="shared" si="75"/>
        <v>0</v>
      </c>
      <c r="AH106" s="197">
        <f t="shared" si="76"/>
        <v>0</v>
      </c>
      <c r="AI106" s="202">
        <f t="shared" si="77"/>
        <v>0</v>
      </c>
      <c r="AK106" s="71">
        <v>101</v>
      </c>
      <c r="AL106" s="33">
        <f t="shared" si="57"/>
        <v>0</v>
      </c>
      <c r="AM106" s="33">
        <f t="shared" si="58"/>
        <v>0</v>
      </c>
      <c r="AN106" s="33">
        <f t="shared" si="59"/>
        <v>0</v>
      </c>
      <c r="AO106" s="33">
        <f t="shared" si="60"/>
        <v>0</v>
      </c>
      <c r="AP106" s="33">
        <f t="shared" si="61"/>
        <v>0</v>
      </c>
      <c r="AQ106" s="197">
        <f t="shared" si="78"/>
        <v>0</v>
      </c>
      <c r="AR106" s="197">
        <f t="shared" si="79"/>
        <v>0</v>
      </c>
      <c r="AS106" s="197">
        <f t="shared" si="80"/>
        <v>0</v>
      </c>
      <c r="AT106" s="197">
        <f t="shared" si="81"/>
        <v>0</v>
      </c>
      <c r="AU106" s="33"/>
      <c r="AV106" s="33"/>
      <c r="AW106" s="33"/>
      <c r="AX106" s="33"/>
      <c r="AY106" s="76"/>
    </row>
    <row r="107" spans="2:51">
      <c r="B107" t="s">
        <v>82</v>
      </c>
      <c r="C107">
        <f>44%*C105+56%*C106</f>
        <v>0.43120000000000003</v>
      </c>
      <c r="D107" s="344">
        <f>44%*D105+56%*D106</f>
        <v>14.880000000000003</v>
      </c>
      <c r="F107" s="303" t="s">
        <v>229</v>
      </c>
      <c r="G107" s="24">
        <v>0.43</v>
      </c>
      <c r="I107" s="55">
        <v>102</v>
      </c>
      <c r="J107" s="33">
        <f t="shared" si="64"/>
        <v>0</v>
      </c>
      <c r="K107" s="33">
        <f t="shared" si="65"/>
        <v>0</v>
      </c>
      <c r="L107" s="33">
        <f t="shared" si="66"/>
        <v>0</v>
      </c>
      <c r="M107" s="33">
        <f t="shared" si="67"/>
        <v>0</v>
      </c>
      <c r="N107" s="33">
        <f t="shared" si="47"/>
        <v>0</v>
      </c>
      <c r="O107" s="34">
        <f t="shared" si="48"/>
        <v>0</v>
      </c>
      <c r="P107" s="55">
        <v>102</v>
      </c>
      <c r="Q107" s="33">
        <f t="shared" si="62"/>
        <v>0</v>
      </c>
      <c r="R107" s="33">
        <f t="shared" si="68"/>
        <v>0</v>
      </c>
      <c r="S107" s="33">
        <f t="shared" si="69"/>
        <v>0</v>
      </c>
      <c r="T107" s="33">
        <f t="shared" si="49"/>
        <v>0</v>
      </c>
      <c r="U107" s="33">
        <f t="shared" si="63"/>
        <v>0</v>
      </c>
      <c r="V107" s="33">
        <f t="shared" si="50"/>
        <v>0</v>
      </c>
      <c r="W107" s="33">
        <v>0</v>
      </c>
      <c r="X107" s="33">
        <f t="shared" si="51"/>
        <v>0</v>
      </c>
      <c r="Y107" s="38">
        <f t="shared" si="52"/>
        <v>0</v>
      </c>
      <c r="AA107" s="71">
        <v>102</v>
      </c>
      <c r="AB107" s="33">
        <f t="shared" si="53"/>
        <v>0</v>
      </c>
      <c r="AC107" s="308">
        <f t="shared" si="54"/>
        <v>0</v>
      </c>
      <c r="AD107" s="101">
        <f t="shared" si="55"/>
        <v>0</v>
      </c>
      <c r="AE107" s="101">
        <f t="shared" si="56"/>
        <v>0</v>
      </c>
      <c r="AF107" s="197">
        <f t="shared" si="74"/>
        <v>0</v>
      </c>
      <c r="AG107" s="197">
        <f t="shared" si="75"/>
        <v>0</v>
      </c>
      <c r="AH107" s="197">
        <f t="shared" si="76"/>
        <v>0</v>
      </c>
      <c r="AI107" s="202">
        <f t="shared" si="77"/>
        <v>0</v>
      </c>
      <c r="AK107" s="71">
        <v>102</v>
      </c>
      <c r="AL107" s="33">
        <f t="shared" si="57"/>
        <v>0</v>
      </c>
      <c r="AM107" s="33">
        <f t="shared" si="58"/>
        <v>0</v>
      </c>
      <c r="AN107" s="33">
        <f t="shared" si="59"/>
        <v>0</v>
      </c>
      <c r="AO107" s="33">
        <f t="shared" si="60"/>
        <v>0</v>
      </c>
      <c r="AP107" s="33">
        <f t="shared" si="61"/>
        <v>0</v>
      </c>
      <c r="AQ107" s="197">
        <f t="shared" si="78"/>
        <v>0</v>
      </c>
      <c r="AR107" s="197">
        <f t="shared" si="79"/>
        <v>0</v>
      </c>
      <c r="AS107" s="197">
        <f t="shared" si="80"/>
        <v>0</v>
      </c>
      <c r="AT107" s="197">
        <f t="shared" si="81"/>
        <v>0</v>
      </c>
      <c r="AU107" s="33"/>
      <c r="AV107" s="33"/>
      <c r="AW107" s="33"/>
      <c r="AX107" s="33"/>
      <c r="AY107" s="76"/>
    </row>
    <row r="108" spans="2:51">
      <c r="B108" t="s">
        <v>79</v>
      </c>
      <c r="C108">
        <v>0.25</v>
      </c>
      <c r="D108">
        <v>0</v>
      </c>
      <c r="F108" s="304" t="s">
        <v>233</v>
      </c>
      <c r="G108" s="305">
        <f>VLOOKUP(VLOOKUP(F17,C131:E195,3,FALSE),F104:G107,2,FALSE)</f>
        <v>0.25</v>
      </c>
      <c r="I108" s="55">
        <v>103</v>
      </c>
      <c r="J108" s="33">
        <f t="shared" si="64"/>
        <v>0</v>
      </c>
      <c r="K108" s="33">
        <f t="shared" si="65"/>
        <v>0</v>
      </c>
      <c r="L108" s="33">
        <f t="shared" si="66"/>
        <v>0</v>
      </c>
      <c r="M108" s="33">
        <f t="shared" si="67"/>
        <v>0</v>
      </c>
      <c r="N108" s="33">
        <f t="shared" si="47"/>
        <v>0</v>
      </c>
      <c r="O108" s="34">
        <f t="shared" si="48"/>
        <v>0</v>
      </c>
      <c r="P108" s="55">
        <v>103</v>
      </c>
      <c r="Q108" s="33">
        <f t="shared" si="62"/>
        <v>0</v>
      </c>
      <c r="R108" s="33">
        <f t="shared" si="68"/>
        <v>0</v>
      </c>
      <c r="S108" s="33">
        <f t="shared" si="69"/>
        <v>0</v>
      </c>
      <c r="T108" s="33">
        <f t="shared" si="49"/>
        <v>0</v>
      </c>
      <c r="U108" s="33">
        <f t="shared" si="63"/>
        <v>0</v>
      </c>
      <c r="V108" s="33">
        <f t="shared" si="50"/>
        <v>0</v>
      </c>
      <c r="W108" s="33">
        <v>0</v>
      </c>
      <c r="X108" s="33">
        <f t="shared" si="51"/>
        <v>0</v>
      </c>
      <c r="Y108" s="38">
        <f t="shared" si="52"/>
        <v>0</v>
      </c>
      <c r="AA108" s="71">
        <v>103</v>
      </c>
      <c r="AB108" s="33">
        <f t="shared" si="53"/>
        <v>0</v>
      </c>
      <c r="AC108" s="308">
        <f t="shared" si="54"/>
        <v>0</v>
      </c>
      <c r="AD108" s="101">
        <f t="shared" si="55"/>
        <v>0</v>
      </c>
      <c r="AE108" s="101">
        <f t="shared" si="56"/>
        <v>0</v>
      </c>
      <c r="AF108" s="197">
        <f t="shared" si="74"/>
        <v>0</v>
      </c>
      <c r="AG108" s="197">
        <f t="shared" si="75"/>
        <v>0</v>
      </c>
      <c r="AH108" s="197">
        <f t="shared" si="76"/>
        <v>0</v>
      </c>
      <c r="AI108" s="202">
        <f t="shared" si="77"/>
        <v>0</v>
      </c>
      <c r="AK108" s="71">
        <v>103</v>
      </c>
      <c r="AL108" s="33">
        <f t="shared" si="57"/>
        <v>0</v>
      </c>
      <c r="AM108" s="33">
        <f t="shared" si="58"/>
        <v>0</v>
      </c>
      <c r="AN108" s="33">
        <f t="shared" si="59"/>
        <v>0</v>
      </c>
      <c r="AO108" s="33">
        <f t="shared" si="60"/>
        <v>0</v>
      </c>
      <c r="AP108" s="33">
        <f t="shared" si="61"/>
        <v>0</v>
      </c>
      <c r="AQ108" s="197">
        <f t="shared" si="78"/>
        <v>0</v>
      </c>
      <c r="AR108" s="197">
        <f t="shared" si="79"/>
        <v>0</v>
      </c>
      <c r="AS108" s="197">
        <f t="shared" si="80"/>
        <v>0</v>
      </c>
      <c r="AT108" s="197">
        <f t="shared" si="81"/>
        <v>0</v>
      </c>
      <c r="AU108" s="33"/>
      <c r="AV108" s="33"/>
      <c r="AW108" s="33"/>
      <c r="AX108" s="33"/>
      <c r="AY108" s="76"/>
    </row>
    <row r="109" spans="2:51">
      <c r="I109" s="55">
        <v>104</v>
      </c>
      <c r="J109" s="33">
        <f t="shared" si="64"/>
        <v>0</v>
      </c>
      <c r="K109" s="33">
        <f t="shared" si="65"/>
        <v>0</v>
      </c>
      <c r="L109" s="33">
        <f t="shared" si="66"/>
        <v>0</v>
      </c>
      <c r="M109" s="33">
        <f t="shared" si="67"/>
        <v>0</v>
      </c>
      <c r="N109" s="33">
        <f t="shared" si="47"/>
        <v>0</v>
      </c>
      <c r="O109" s="34">
        <f t="shared" si="48"/>
        <v>0</v>
      </c>
      <c r="P109" s="55">
        <v>104</v>
      </c>
      <c r="Q109" s="33">
        <f t="shared" si="62"/>
        <v>0</v>
      </c>
      <c r="R109" s="33">
        <f t="shared" si="68"/>
        <v>0</v>
      </c>
      <c r="S109" s="33">
        <f t="shared" si="69"/>
        <v>0</v>
      </c>
      <c r="T109" s="33">
        <f t="shared" si="49"/>
        <v>0</v>
      </c>
      <c r="U109" s="33">
        <f t="shared" si="63"/>
        <v>0</v>
      </c>
      <c r="V109" s="33">
        <f t="shared" si="50"/>
        <v>0</v>
      </c>
      <c r="W109" s="33">
        <v>0</v>
      </c>
      <c r="X109" s="33">
        <f t="shared" si="51"/>
        <v>0</v>
      </c>
      <c r="Y109" s="38">
        <f t="shared" si="52"/>
        <v>0</v>
      </c>
      <c r="AA109" s="71">
        <v>104</v>
      </c>
      <c r="AB109" s="33">
        <f t="shared" si="53"/>
        <v>0</v>
      </c>
      <c r="AC109" s="308">
        <f t="shared" si="54"/>
        <v>0</v>
      </c>
      <c r="AD109" s="101">
        <f t="shared" si="55"/>
        <v>0</v>
      </c>
      <c r="AE109" s="101">
        <f t="shared" si="56"/>
        <v>0</v>
      </c>
      <c r="AF109" s="197">
        <f t="shared" si="74"/>
        <v>0</v>
      </c>
      <c r="AG109" s="197">
        <f t="shared" si="75"/>
        <v>0</v>
      </c>
      <c r="AH109" s="197">
        <f t="shared" si="76"/>
        <v>0</v>
      </c>
      <c r="AI109" s="202">
        <f t="shared" si="77"/>
        <v>0</v>
      </c>
      <c r="AK109" s="71">
        <v>104</v>
      </c>
      <c r="AL109" s="33">
        <f t="shared" si="57"/>
        <v>0</v>
      </c>
      <c r="AM109" s="33">
        <f t="shared" si="58"/>
        <v>0</v>
      </c>
      <c r="AN109" s="33">
        <f t="shared" si="59"/>
        <v>0</v>
      </c>
      <c r="AO109" s="33">
        <f t="shared" si="60"/>
        <v>0</v>
      </c>
      <c r="AP109" s="33">
        <f t="shared" si="61"/>
        <v>0</v>
      </c>
      <c r="AQ109" s="197">
        <f t="shared" si="78"/>
        <v>0</v>
      </c>
      <c r="AR109" s="197">
        <f t="shared" si="79"/>
        <v>0</v>
      </c>
      <c r="AS109" s="197">
        <f t="shared" si="80"/>
        <v>0</v>
      </c>
      <c r="AT109" s="197">
        <f t="shared" si="81"/>
        <v>0</v>
      </c>
      <c r="AU109" s="33"/>
      <c r="AV109" s="33"/>
      <c r="AW109" s="33"/>
      <c r="AX109" s="33"/>
      <c r="AY109" s="76"/>
    </row>
    <row r="110" spans="2:51">
      <c r="I110" s="55">
        <v>105</v>
      </c>
      <c r="J110" s="33">
        <f t="shared" si="64"/>
        <v>0</v>
      </c>
      <c r="K110" s="33">
        <f t="shared" si="65"/>
        <v>0</v>
      </c>
      <c r="L110" s="33">
        <f t="shared" si="66"/>
        <v>0</v>
      </c>
      <c r="M110" s="33">
        <f t="shared" si="67"/>
        <v>0</v>
      </c>
      <c r="N110" s="33">
        <f t="shared" si="47"/>
        <v>0</v>
      </c>
      <c r="O110" s="34">
        <f t="shared" si="48"/>
        <v>0</v>
      </c>
      <c r="P110" s="55">
        <v>105</v>
      </c>
      <c r="Q110" s="33">
        <f t="shared" si="62"/>
        <v>0</v>
      </c>
      <c r="R110" s="33">
        <f t="shared" si="68"/>
        <v>0</v>
      </c>
      <c r="S110" s="33">
        <f t="shared" si="69"/>
        <v>0</v>
      </c>
      <c r="T110" s="33">
        <f t="shared" si="49"/>
        <v>0</v>
      </c>
      <c r="U110" s="33">
        <f t="shared" si="63"/>
        <v>0</v>
      </c>
      <c r="V110" s="33">
        <f t="shared" si="50"/>
        <v>0</v>
      </c>
      <c r="W110" s="33">
        <v>0</v>
      </c>
      <c r="X110" s="33">
        <f t="shared" si="51"/>
        <v>0</v>
      </c>
      <c r="Y110" s="38">
        <f t="shared" si="52"/>
        <v>0</v>
      </c>
      <c r="AA110" s="71">
        <v>105</v>
      </c>
      <c r="AB110" s="33">
        <f t="shared" si="53"/>
        <v>0</v>
      </c>
      <c r="AC110" s="308">
        <f t="shared" si="54"/>
        <v>0</v>
      </c>
      <c r="AD110" s="101">
        <f t="shared" si="55"/>
        <v>0</v>
      </c>
      <c r="AE110" s="101">
        <f t="shared" si="56"/>
        <v>0</v>
      </c>
      <c r="AF110" s="197">
        <f t="shared" si="74"/>
        <v>0</v>
      </c>
      <c r="AG110" s="197">
        <f t="shared" si="75"/>
        <v>0</v>
      </c>
      <c r="AH110" s="197">
        <f t="shared" si="76"/>
        <v>0</v>
      </c>
      <c r="AI110" s="202">
        <f t="shared" si="77"/>
        <v>0</v>
      </c>
      <c r="AK110" s="71">
        <v>105</v>
      </c>
      <c r="AL110" s="33">
        <f t="shared" si="57"/>
        <v>0</v>
      </c>
      <c r="AM110" s="33">
        <f t="shared" si="58"/>
        <v>0</v>
      </c>
      <c r="AN110" s="33">
        <f t="shared" si="59"/>
        <v>0</v>
      </c>
      <c r="AO110" s="33">
        <f t="shared" si="60"/>
        <v>0</v>
      </c>
      <c r="AP110" s="33">
        <f t="shared" si="61"/>
        <v>0</v>
      </c>
      <c r="AQ110" s="197">
        <f t="shared" si="78"/>
        <v>0</v>
      </c>
      <c r="AR110" s="197">
        <f t="shared" si="79"/>
        <v>0</v>
      </c>
      <c r="AS110" s="197">
        <f t="shared" si="80"/>
        <v>0</v>
      </c>
      <c r="AT110" s="197">
        <f t="shared" si="81"/>
        <v>0</v>
      </c>
      <c r="AU110" s="33"/>
      <c r="AV110" s="33"/>
      <c r="AW110" s="33"/>
      <c r="AX110" s="33"/>
      <c r="AY110" s="76"/>
    </row>
    <row r="111" spans="2:51">
      <c r="C111" s="160" t="s">
        <v>169</v>
      </c>
      <c r="D111" s="160"/>
      <c r="E111" s="160"/>
      <c r="I111" s="55">
        <v>106</v>
      </c>
      <c r="J111" s="33">
        <f t="shared" si="64"/>
        <v>0</v>
      </c>
      <c r="K111" s="33">
        <f t="shared" si="65"/>
        <v>0</v>
      </c>
      <c r="L111" s="33">
        <f t="shared" si="66"/>
        <v>0</v>
      </c>
      <c r="M111" s="33">
        <f t="shared" si="67"/>
        <v>0</v>
      </c>
      <c r="N111" s="33">
        <f t="shared" si="47"/>
        <v>0</v>
      </c>
      <c r="O111" s="34">
        <f t="shared" si="48"/>
        <v>0</v>
      </c>
      <c r="P111" s="55">
        <v>106</v>
      </c>
      <c r="Q111" s="33">
        <f t="shared" si="62"/>
        <v>0</v>
      </c>
      <c r="R111" s="33">
        <f t="shared" si="68"/>
        <v>0</v>
      </c>
      <c r="S111" s="33">
        <f t="shared" si="69"/>
        <v>0</v>
      </c>
      <c r="T111" s="33">
        <f t="shared" si="49"/>
        <v>0</v>
      </c>
      <c r="U111" s="33">
        <f t="shared" si="63"/>
        <v>0</v>
      </c>
      <c r="V111" s="33">
        <f t="shared" si="50"/>
        <v>0</v>
      </c>
      <c r="W111" s="33">
        <v>0</v>
      </c>
      <c r="X111" s="33">
        <f t="shared" si="51"/>
        <v>0</v>
      </c>
      <c r="Y111" s="38">
        <f t="shared" si="52"/>
        <v>0</v>
      </c>
      <c r="AA111" s="71">
        <v>106</v>
      </c>
      <c r="AB111" s="33">
        <f t="shared" si="53"/>
        <v>0</v>
      </c>
      <c r="AC111" s="308">
        <f t="shared" si="54"/>
        <v>0</v>
      </c>
      <c r="AD111" s="101">
        <f t="shared" si="55"/>
        <v>0</v>
      </c>
      <c r="AE111" s="101">
        <f t="shared" si="56"/>
        <v>0</v>
      </c>
      <c r="AF111" s="197">
        <f t="shared" si="74"/>
        <v>0</v>
      </c>
      <c r="AG111" s="197">
        <f t="shared" si="75"/>
        <v>0</v>
      </c>
      <c r="AH111" s="197">
        <f t="shared" si="76"/>
        <v>0</v>
      </c>
      <c r="AI111" s="202">
        <f t="shared" si="77"/>
        <v>0</v>
      </c>
      <c r="AK111" s="71">
        <v>106</v>
      </c>
      <c r="AL111" s="33">
        <f t="shared" si="57"/>
        <v>0</v>
      </c>
      <c r="AM111" s="33">
        <f t="shared" si="58"/>
        <v>0</v>
      </c>
      <c r="AN111" s="33">
        <f t="shared" si="59"/>
        <v>0</v>
      </c>
      <c r="AO111" s="33">
        <f t="shared" si="60"/>
        <v>0</v>
      </c>
      <c r="AP111" s="33">
        <f t="shared" si="61"/>
        <v>0</v>
      </c>
      <c r="AQ111" s="197">
        <f t="shared" si="78"/>
        <v>0</v>
      </c>
      <c r="AR111" s="197">
        <f t="shared" si="79"/>
        <v>0</v>
      </c>
      <c r="AS111" s="197">
        <f t="shared" si="80"/>
        <v>0</v>
      </c>
      <c r="AT111" s="197">
        <f t="shared" si="81"/>
        <v>0</v>
      </c>
      <c r="AU111" s="33"/>
      <c r="AV111" s="33"/>
      <c r="AW111" s="33"/>
      <c r="AX111" s="33"/>
      <c r="AY111" s="76"/>
    </row>
    <row r="112" spans="2:51">
      <c r="C112" s="74" t="s">
        <v>145</v>
      </c>
      <c r="D112" s="74" t="s">
        <v>72</v>
      </c>
      <c r="E112" s="74" t="s">
        <v>166</v>
      </c>
      <c r="I112" s="55">
        <v>107</v>
      </c>
      <c r="J112" s="33">
        <f t="shared" si="64"/>
        <v>0</v>
      </c>
      <c r="K112" s="33">
        <f t="shared" si="65"/>
        <v>0</v>
      </c>
      <c r="L112" s="33">
        <f t="shared" si="66"/>
        <v>0</v>
      </c>
      <c r="M112" s="33">
        <f t="shared" si="67"/>
        <v>0</v>
      </c>
      <c r="N112" s="33">
        <f t="shared" si="47"/>
        <v>0</v>
      </c>
      <c r="O112" s="34">
        <f t="shared" si="48"/>
        <v>0</v>
      </c>
      <c r="P112" s="55">
        <v>107</v>
      </c>
      <c r="Q112" s="33">
        <f t="shared" si="62"/>
        <v>0</v>
      </c>
      <c r="R112" s="33">
        <f t="shared" si="68"/>
        <v>0</v>
      </c>
      <c r="S112" s="33">
        <f t="shared" si="69"/>
        <v>0</v>
      </c>
      <c r="T112" s="33">
        <f t="shared" si="49"/>
        <v>0</v>
      </c>
      <c r="U112" s="33">
        <f t="shared" si="63"/>
        <v>0</v>
      </c>
      <c r="V112" s="33">
        <f t="shared" si="50"/>
        <v>0</v>
      </c>
      <c r="W112" s="33">
        <v>0</v>
      </c>
      <c r="X112" s="33">
        <f t="shared" si="51"/>
        <v>0</v>
      </c>
      <c r="Y112" s="38">
        <f t="shared" si="52"/>
        <v>0</v>
      </c>
      <c r="AA112" s="71">
        <v>107</v>
      </c>
      <c r="AB112" s="33">
        <f t="shared" si="53"/>
        <v>0</v>
      </c>
      <c r="AC112" s="308">
        <f t="shared" si="54"/>
        <v>0</v>
      </c>
      <c r="AD112" s="101">
        <f t="shared" si="55"/>
        <v>0</v>
      </c>
      <c r="AE112" s="101">
        <f t="shared" si="56"/>
        <v>0</v>
      </c>
      <c r="AF112" s="197">
        <f t="shared" si="74"/>
        <v>0</v>
      </c>
      <c r="AG112" s="197">
        <f t="shared" si="75"/>
        <v>0</v>
      </c>
      <c r="AH112" s="197">
        <f t="shared" si="76"/>
        <v>0</v>
      </c>
      <c r="AI112" s="202">
        <f t="shared" si="77"/>
        <v>0</v>
      </c>
      <c r="AK112" s="71">
        <v>107</v>
      </c>
      <c r="AL112" s="33">
        <f t="shared" si="57"/>
        <v>0</v>
      </c>
      <c r="AM112" s="33">
        <f t="shared" si="58"/>
        <v>0</v>
      </c>
      <c r="AN112" s="33">
        <f t="shared" si="59"/>
        <v>0</v>
      </c>
      <c r="AO112" s="33">
        <f t="shared" si="60"/>
        <v>0</v>
      </c>
      <c r="AP112" s="33">
        <f t="shared" si="61"/>
        <v>0</v>
      </c>
      <c r="AQ112" s="197">
        <f t="shared" si="78"/>
        <v>0</v>
      </c>
      <c r="AR112" s="197">
        <f t="shared" si="79"/>
        <v>0</v>
      </c>
      <c r="AS112" s="197">
        <f t="shared" si="80"/>
        <v>0</v>
      </c>
      <c r="AT112" s="197">
        <f t="shared" si="81"/>
        <v>0</v>
      </c>
      <c r="AU112" s="33"/>
      <c r="AV112" s="33"/>
      <c r="AW112" s="33"/>
      <c r="AX112" s="33"/>
      <c r="AY112" s="76"/>
    </row>
    <row r="113" spans="2:51">
      <c r="B113" s="67" t="s">
        <v>167</v>
      </c>
      <c r="C113" s="79">
        <f>1/$F$18*SUM(X6:X205)</f>
        <v>612.10758151204209</v>
      </c>
      <c r="D113" s="79">
        <f>1/$F$10*SUM(O6:O205)</f>
        <v>177.03590180507828</v>
      </c>
      <c r="E113" s="78">
        <f>C113-D113</f>
        <v>435.07167970696378</v>
      </c>
      <c r="I113" s="55">
        <v>108</v>
      </c>
      <c r="J113" s="33">
        <f t="shared" si="64"/>
        <v>0</v>
      </c>
      <c r="K113" s="33">
        <f t="shared" si="65"/>
        <v>0</v>
      </c>
      <c r="L113" s="33">
        <f t="shared" si="66"/>
        <v>0</v>
      </c>
      <c r="M113" s="33">
        <f t="shared" si="67"/>
        <v>0</v>
      </c>
      <c r="N113" s="33">
        <f t="shared" si="47"/>
        <v>0</v>
      </c>
      <c r="O113" s="34">
        <f t="shared" si="48"/>
        <v>0</v>
      </c>
      <c r="P113" s="55">
        <v>108</v>
      </c>
      <c r="Q113" s="33">
        <f t="shared" si="62"/>
        <v>0</v>
      </c>
      <c r="R113" s="33">
        <f t="shared" si="68"/>
        <v>0</v>
      </c>
      <c r="S113" s="33">
        <f t="shared" si="69"/>
        <v>0</v>
      </c>
      <c r="T113" s="33">
        <f t="shared" si="49"/>
        <v>0</v>
      </c>
      <c r="U113" s="33">
        <f t="shared" si="63"/>
        <v>0</v>
      </c>
      <c r="V113" s="33">
        <f t="shared" si="50"/>
        <v>0</v>
      </c>
      <c r="W113" s="33">
        <v>0</v>
      </c>
      <c r="X113" s="33">
        <f t="shared" si="51"/>
        <v>0</v>
      </c>
      <c r="Y113" s="38">
        <f t="shared" si="52"/>
        <v>0</v>
      </c>
      <c r="AA113" s="71">
        <v>108</v>
      </c>
      <c r="AB113" s="33">
        <f t="shared" si="53"/>
        <v>0</v>
      </c>
      <c r="AC113" s="308">
        <f t="shared" si="54"/>
        <v>0</v>
      </c>
      <c r="AD113" s="101">
        <f t="shared" si="55"/>
        <v>0</v>
      </c>
      <c r="AE113" s="101">
        <f t="shared" si="56"/>
        <v>0</v>
      </c>
      <c r="AF113" s="197">
        <f t="shared" si="74"/>
        <v>0</v>
      </c>
      <c r="AG113" s="197">
        <f t="shared" si="75"/>
        <v>0</v>
      </c>
      <c r="AH113" s="197">
        <f t="shared" si="76"/>
        <v>0</v>
      </c>
      <c r="AI113" s="202">
        <f t="shared" si="77"/>
        <v>0</v>
      </c>
      <c r="AK113" s="71">
        <v>108</v>
      </c>
      <c r="AL113" s="33">
        <f t="shared" si="57"/>
        <v>0</v>
      </c>
      <c r="AM113" s="33">
        <f t="shared" si="58"/>
        <v>0</v>
      </c>
      <c r="AN113" s="33">
        <f t="shared" si="59"/>
        <v>0</v>
      </c>
      <c r="AO113" s="33">
        <f t="shared" si="60"/>
        <v>0</v>
      </c>
      <c r="AP113" s="33">
        <f t="shared" si="61"/>
        <v>0</v>
      </c>
      <c r="AQ113" s="197">
        <f t="shared" si="78"/>
        <v>0</v>
      </c>
      <c r="AR113" s="197">
        <f t="shared" si="79"/>
        <v>0</v>
      </c>
      <c r="AS113" s="197">
        <f t="shared" si="80"/>
        <v>0</v>
      </c>
      <c r="AT113" s="197">
        <f t="shared" si="81"/>
        <v>0</v>
      </c>
      <c r="AU113" s="33"/>
      <c r="AV113" s="33"/>
      <c r="AW113" s="33"/>
      <c r="AX113" s="33"/>
      <c r="AY113" s="76"/>
    </row>
    <row r="114" spans="2:51">
      <c r="B114" s="67" t="s">
        <v>168</v>
      </c>
      <c r="C114" s="79">
        <f>X35</f>
        <v>472.52987158105901</v>
      </c>
      <c r="D114" s="79">
        <f>O35</f>
        <v>177.03590180507811</v>
      </c>
      <c r="E114" s="78">
        <f>VLOOKUP(30,I5:Y205,17,FALSE)</f>
        <v>295.49396977598087</v>
      </c>
      <c r="I114" s="55">
        <v>109</v>
      </c>
      <c r="J114" s="33">
        <f t="shared" si="64"/>
        <v>0</v>
      </c>
      <c r="K114" s="33">
        <f t="shared" si="65"/>
        <v>0</v>
      </c>
      <c r="L114" s="33">
        <f t="shared" si="66"/>
        <v>0</v>
      </c>
      <c r="M114" s="33">
        <f t="shared" si="67"/>
        <v>0</v>
      </c>
      <c r="N114" s="33">
        <f t="shared" si="47"/>
        <v>0</v>
      </c>
      <c r="O114" s="34">
        <f t="shared" si="48"/>
        <v>0</v>
      </c>
      <c r="P114" s="55">
        <v>109</v>
      </c>
      <c r="Q114" s="33">
        <f t="shared" si="62"/>
        <v>0</v>
      </c>
      <c r="R114" s="33">
        <f t="shared" si="68"/>
        <v>0</v>
      </c>
      <c r="S114" s="33">
        <f t="shared" si="69"/>
        <v>0</v>
      </c>
      <c r="T114" s="33">
        <f t="shared" si="49"/>
        <v>0</v>
      </c>
      <c r="U114" s="33">
        <f t="shared" si="63"/>
        <v>0</v>
      </c>
      <c r="V114" s="33">
        <f t="shared" si="50"/>
        <v>0</v>
      </c>
      <c r="W114" s="33">
        <v>0</v>
      </c>
      <c r="X114" s="33">
        <f t="shared" si="51"/>
        <v>0</v>
      </c>
      <c r="Y114" s="38">
        <f t="shared" si="52"/>
        <v>0</v>
      </c>
      <c r="AA114" s="71">
        <v>109</v>
      </c>
      <c r="AB114" s="33">
        <f t="shared" si="53"/>
        <v>0</v>
      </c>
      <c r="AC114" s="308">
        <f t="shared" si="54"/>
        <v>0</v>
      </c>
      <c r="AD114" s="101">
        <f t="shared" si="55"/>
        <v>0</v>
      </c>
      <c r="AE114" s="101">
        <f t="shared" si="56"/>
        <v>0</v>
      </c>
      <c r="AF114" s="197">
        <f t="shared" si="74"/>
        <v>0</v>
      </c>
      <c r="AG114" s="197">
        <f t="shared" si="75"/>
        <v>0</v>
      </c>
      <c r="AH114" s="197">
        <f t="shared" si="76"/>
        <v>0</v>
      </c>
      <c r="AI114" s="202">
        <f t="shared" si="77"/>
        <v>0</v>
      </c>
      <c r="AK114" s="71">
        <v>109</v>
      </c>
      <c r="AL114" s="33">
        <f t="shared" si="57"/>
        <v>0</v>
      </c>
      <c r="AM114" s="33">
        <f t="shared" si="58"/>
        <v>0</v>
      </c>
      <c r="AN114" s="33">
        <f t="shared" si="59"/>
        <v>0</v>
      </c>
      <c r="AO114" s="33">
        <f t="shared" si="60"/>
        <v>0</v>
      </c>
      <c r="AP114" s="33">
        <f t="shared" si="61"/>
        <v>0</v>
      </c>
      <c r="AQ114" s="197">
        <f t="shared" si="78"/>
        <v>0</v>
      </c>
      <c r="AR114" s="197">
        <f t="shared" si="79"/>
        <v>0</v>
      </c>
      <c r="AS114" s="197">
        <f t="shared" si="80"/>
        <v>0</v>
      </c>
      <c r="AT114" s="197">
        <f t="shared" si="81"/>
        <v>0</v>
      </c>
      <c r="AU114" s="33"/>
      <c r="AV114" s="33"/>
      <c r="AW114" s="33"/>
      <c r="AX114" s="33"/>
      <c r="AY114" s="76"/>
    </row>
    <row r="115" spans="2:51">
      <c r="C115" s="80"/>
      <c r="D115" s="80"/>
      <c r="E115" s="80"/>
      <c r="I115" s="55">
        <v>110</v>
      </c>
      <c r="J115" s="33">
        <f t="shared" si="64"/>
        <v>0</v>
      </c>
      <c r="K115" s="33">
        <f t="shared" si="65"/>
        <v>0</v>
      </c>
      <c r="L115" s="33">
        <f t="shared" si="66"/>
        <v>0</v>
      </c>
      <c r="M115" s="33">
        <f t="shared" si="67"/>
        <v>0</v>
      </c>
      <c r="N115" s="33">
        <f t="shared" si="47"/>
        <v>0</v>
      </c>
      <c r="O115" s="34">
        <f t="shared" si="48"/>
        <v>0</v>
      </c>
      <c r="P115" s="55">
        <v>110</v>
      </c>
      <c r="Q115" s="33">
        <f t="shared" si="62"/>
        <v>0</v>
      </c>
      <c r="R115" s="33">
        <f t="shared" si="68"/>
        <v>0</v>
      </c>
      <c r="S115" s="33">
        <f t="shared" si="69"/>
        <v>0</v>
      </c>
      <c r="T115" s="33">
        <f t="shared" si="49"/>
        <v>0</v>
      </c>
      <c r="U115" s="33">
        <f t="shared" si="63"/>
        <v>0</v>
      </c>
      <c r="V115" s="33">
        <f t="shared" si="50"/>
        <v>0</v>
      </c>
      <c r="W115" s="33">
        <v>0</v>
      </c>
      <c r="X115" s="33">
        <f t="shared" si="51"/>
        <v>0</v>
      </c>
      <c r="Y115" s="38">
        <f t="shared" si="52"/>
        <v>0</v>
      </c>
      <c r="AA115" s="71">
        <v>110</v>
      </c>
      <c r="AB115" s="33">
        <f t="shared" si="53"/>
        <v>0</v>
      </c>
      <c r="AC115" s="308">
        <f t="shared" si="54"/>
        <v>0</v>
      </c>
      <c r="AD115" s="101">
        <f t="shared" si="55"/>
        <v>0</v>
      </c>
      <c r="AE115" s="101">
        <f t="shared" si="56"/>
        <v>0</v>
      </c>
      <c r="AF115" s="197">
        <f t="shared" si="74"/>
        <v>0</v>
      </c>
      <c r="AG115" s="197">
        <f t="shared" si="75"/>
        <v>0</v>
      </c>
      <c r="AH115" s="197">
        <f t="shared" si="76"/>
        <v>0</v>
      </c>
      <c r="AI115" s="202">
        <f t="shared" si="77"/>
        <v>0</v>
      </c>
      <c r="AK115" s="71">
        <v>110</v>
      </c>
      <c r="AL115" s="33">
        <f t="shared" si="57"/>
        <v>0</v>
      </c>
      <c r="AM115" s="33">
        <f t="shared" si="58"/>
        <v>0</v>
      </c>
      <c r="AN115" s="33">
        <f t="shared" si="59"/>
        <v>0</v>
      </c>
      <c r="AO115" s="33">
        <f t="shared" si="60"/>
        <v>0</v>
      </c>
      <c r="AP115" s="33">
        <f t="shared" si="61"/>
        <v>0</v>
      </c>
      <c r="AQ115" s="197">
        <f t="shared" si="78"/>
        <v>0</v>
      </c>
      <c r="AR115" s="197">
        <f t="shared" si="79"/>
        <v>0</v>
      </c>
      <c r="AS115" s="197">
        <f t="shared" si="80"/>
        <v>0</v>
      </c>
      <c r="AT115" s="197">
        <f t="shared" si="81"/>
        <v>0</v>
      </c>
      <c r="AU115" s="33"/>
      <c r="AV115" s="33"/>
      <c r="AW115" s="33"/>
      <c r="AX115" s="33"/>
      <c r="AY115" s="76"/>
    </row>
    <row r="116" spans="2:51">
      <c r="C116" s="136" t="s">
        <v>125</v>
      </c>
      <c r="D116" s="136"/>
      <c r="E116" s="136"/>
      <c r="I116" s="55">
        <v>111</v>
      </c>
      <c r="J116" s="33">
        <f t="shared" si="64"/>
        <v>0</v>
      </c>
      <c r="K116" s="33">
        <f t="shared" si="65"/>
        <v>0</v>
      </c>
      <c r="L116" s="33">
        <f t="shared" si="66"/>
        <v>0</v>
      </c>
      <c r="M116" s="33">
        <f t="shared" si="67"/>
        <v>0</v>
      </c>
      <c r="N116" s="33">
        <f t="shared" si="47"/>
        <v>0</v>
      </c>
      <c r="O116" s="34">
        <f t="shared" si="48"/>
        <v>0</v>
      </c>
      <c r="P116" s="55">
        <v>111</v>
      </c>
      <c r="Q116" s="33">
        <f t="shared" si="62"/>
        <v>0</v>
      </c>
      <c r="R116" s="33">
        <f t="shared" si="68"/>
        <v>0</v>
      </c>
      <c r="S116" s="33">
        <f t="shared" si="69"/>
        <v>0</v>
      </c>
      <c r="T116" s="33">
        <f t="shared" si="49"/>
        <v>0</v>
      </c>
      <c r="U116" s="33">
        <f t="shared" si="63"/>
        <v>0</v>
      </c>
      <c r="V116" s="33">
        <f t="shared" si="50"/>
        <v>0</v>
      </c>
      <c r="W116" s="33">
        <v>0</v>
      </c>
      <c r="X116" s="33">
        <f t="shared" si="51"/>
        <v>0</v>
      </c>
      <c r="Y116" s="38">
        <f t="shared" si="52"/>
        <v>0</v>
      </c>
      <c r="AA116" s="71">
        <v>111</v>
      </c>
      <c r="AB116" s="33">
        <f t="shared" si="53"/>
        <v>0</v>
      </c>
      <c r="AC116" s="308">
        <f t="shared" si="54"/>
        <v>0</v>
      </c>
      <c r="AD116" s="101">
        <f t="shared" si="55"/>
        <v>0</v>
      </c>
      <c r="AE116" s="101">
        <f t="shared" si="56"/>
        <v>0</v>
      </c>
      <c r="AF116" s="197">
        <f t="shared" si="74"/>
        <v>0</v>
      </c>
      <c r="AG116" s="197">
        <f t="shared" si="75"/>
        <v>0</v>
      </c>
      <c r="AH116" s="197">
        <f t="shared" si="76"/>
        <v>0</v>
      </c>
      <c r="AI116" s="202">
        <f t="shared" si="77"/>
        <v>0</v>
      </c>
      <c r="AK116" s="71">
        <v>111</v>
      </c>
      <c r="AL116" s="33">
        <f t="shared" si="57"/>
        <v>0</v>
      </c>
      <c r="AM116" s="33">
        <f t="shared" si="58"/>
        <v>0</v>
      </c>
      <c r="AN116" s="33">
        <f t="shared" si="59"/>
        <v>0</v>
      </c>
      <c r="AO116" s="33">
        <f t="shared" si="60"/>
        <v>0</v>
      </c>
      <c r="AP116" s="33">
        <f t="shared" si="61"/>
        <v>0</v>
      </c>
      <c r="AQ116" s="197">
        <f t="shared" si="78"/>
        <v>0</v>
      </c>
      <c r="AR116" s="197">
        <f t="shared" si="79"/>
        <v>0</v>
      </c>
      <c r="AS116" s="197">
        <f t="shared" si="80"/>
        <v>0</v>
      </c>
      <c r="AT116" s="197">
        <f t="shared" si="81"/>
        <v>0</v>
      </c>
      <c r="AU116" s="33"/>
      <c r="AV116" s="33"/>
      <c r="AW116" s="33"/>
      <c r="AX116" s="33"/>
      <c r="AY116" s="76"/>
    </row>
    <row r="117" spans="2:51">
      <c r="C117" s="136" t="s">
        <v>145</v>
      </c>
      <c r="D117" s="136" t="s">
        <v>72</v>
      </c>
      <c r="E117" s="81" t="s">
        <v>166</v>
      </c>
      <c r="I117" s="55">
        <v>112</v>
      </c>
      <c r="J117" s="33">
        <f t="shared" si="64"/>
        <v>0</v>
      </c>
      <c r="K117" s="33">
        <f t="shared" si="65"/>
        <v>0</v>
      </c>
      <c r="L117" s="33">
        <f t="shared" si="66"/>
        <v>0</v>
      </c>
      <c r="M117" s="33">
        <f t="shared" si="67"/>
        <v>0</v>
      </c>
      <c r="N117" s="33">
        <f t="shared" si="47"/>
        <v>0</v>
      </c>
      <c r="O117" s="34">
        <f t="shared" si="48"/>
        <v>0</v>
      </c>
      <c r="P117" s="55">
        <v>112</v>
      </c>
      <c r="Q117" s="33">
        <f t="shared" si="62"/>
        <v>0</v>
      </c>
      <c r="R117" s="33">
        <f t="shared" si="68"/>
        <v>0</v>
      </c>
      <c r="S117" s="33">
        <f t="shared" si="69"/>
        <v>0</v>
      </c>
      <c r="T117" s="33">
        <f t="shared" si="49"/>
        <v>0</v>
      </c>
      <c r="U117" s="33">
        <f t="shared" si="63"/>
        <v>0</v>
      </c>
      <c r="V117" s="33">
        <f t="shared" si="50"/>
        <v>0</v>
      </c>
      <c r="W117" s="33">
        <v>0</v>
      </c>
      <c r="X117" s="33">
        <f t="shared" si="51"/>
        <v>0</v>
      </c>
      <c r="Y117" s="38">
        <f t="shared" si="52"/>
        <v>0</v>
      </c>
      <c r="AA117" s="71">
        <v>112</v>
      </c>
      <c r="AB117" s="33">
        <f t="shared" si="53"/>
        <v>0</v>
      </c>
      <c r="AC117" s="308">
        <f t="shared" si="54"/>
        <v>0</v>
      </c>
      <c r="AD117" s="101">
        <f t="shared" si="55"/>
        <v>0</v>
      </c>
      <c r="AE117" s="101">
        <f t="shared" si="56"/>
        <v>0</v>
      </c>
      <c r="AF117" s="197">
        <f t="shared" si="74"/>
        <v>0</v>
      </c>
      <c r="AG117" s="197">
        <f t="shared" si="75"/>
        <v>0</v>
      </c>
      <c r="AH117" s="197">
        <f t="shared" si="76"/>
        <v>0</v>
      </c>
      <c r="AI117" s="202">
        <f t="shared" si="77"/>
        <v>0</v>
      </c>
      <c r="AK117" s="71">
        <v>112</v>
      </c>
      <c r="AL117" s="33">
        <f t="shared" si="57"/>
        <v>0</v>
      </c>
      <c r="AM117" s="33">
        <f t="shared" si="58"/>
        <v>0</v>
      </c>
      <c r="AN117" s="33">
        <f t="shared" si="59"/>
        <v>0</v>
      </c>
      <c r="AO117" s="33">
        <f t="shared" si="60"/>
        <v>0</v>
      </c>
      <c r="AP117" s="33">
        <f t="shared" si="61"/>
        <v>0</v>
      </c>
      <c r="AQ117" s="197">
        <f t="shared" si="78"/>
        <v>0</v>
      </c>
      <c r="AR117" s="197">
        <f t="shared" si="79"/>
        <v>0</v>
      </c>
      <c r="AS117" s="197">
        <f t="shared" si="80"/>
        <v>0</v>
      </c>
      <c r="AT117" s="197">
        <f t="shared" si="81"/>
        <v>0</v>
      </c>
      <c r="AU117" s="33"/>
      <c r="AV117" s="33"/>
      <c r="AW117" s="33"/>
      <c r="AX117" s="33"/>
      <c r="AY117" s="76"/>
    </row>
    <row r="118" spans="2:51">
      <c r="B118" s="67" t="s">
        <v>261</v>
      </c>
      <c r="C118" s="306">
        <f>1/30*SUM(AI6:AI35)</f>
        <v>0</v>
      </c>
      <c r="D118" s="79">
        <v>0</v>
      </c>
      <c r="E118" s="78">
        <f>C118-D118</f>
        <v>0</v>
      </c>
      <c r="I118" s="55">
        <v>113</v>
      </c>
      <c r="J118" s="33">
        <f t="shared" si="64"/>
        <v>0</v>
      </c>
      <c r="K118" s="33">
        <f t="shared" si="65"/>
        <v>0</v>
      </c>
      <c r="L118" s="33">
        <f t="shared" si="66"/>
        <v>0</v>
      </c>
      <c r="M118" s="33">
        <f t="shared" si="67"/>
        <v>0</v>
      </c>
      <c r="N118" s="33">
        <f t="shared" si="47"/>
        <v>0</v>
      </c>
      <c r="O118" s="34">
        <f t="shared" si="48"/>
        <v>0</v>
      </c>
      <c r="P118" s="55">
        <v>113</v>
      </c>
      <c r="Q118" s="33">
        <f t="shared" si="62"/>
        <v>0</v>
      </c>
      <c r="R118" s="33">
        <f t="shared" si="68"/>
        <v>0</v>
      </c>
      <c r="S118" s="33">
        <f t="shared" si="69"/>
        <v>0</v>
      </c>
      <c r="T118" s="33">
        <f t="shared" si="49"/>
        <v>0</v>
      </c>
      <c r="U118" s="33">
        <f t="shared" si="63"/>
        <v>0</v>
      </c>
      <c r="V118" s="33">
        <f t="shared" si="50"/>
        <v>0</v>
      </c>
      <c r="W118" s="33">
        <v>0</v>
      </c>
      <c r="X118" s="33">
        <f t="shared" si="51"/>
        <v>0</v>
      </c>
      <c r="Y118" s="38">
        <f t="shared" si="52"/>
        <v>0</v>
      </c>
      <c r="AA118" s="71">
        <v>113</v>
      </c>
      <c r="AB118" s="33">
        <f t="shared" si="53"/>
        <v>0</v>
      </c>
      <c r="AC118" s="308">
        <f t="shared" si="54"/>
        <v>0</v>
      </c>
      <c r="AD118" s="101">
        <f t="shared" si="55"/>
        <v>0</v>
      </c>
      <c r="AE118" s="101">
        <f t="shared" si="56"/>
        <v>0</v>
      </c>
      <c r="AF118" s="197">
        <f t="shared" si="74"/>
        <v>0</v>
      </c>
      <c r="AG118" s="197">
        <f t="shared" si="75"/>
        <v>0</v>
      </c>
      <c r="AH118" s="197">
        <f t="shared" si="76"/>
        <v>0</v>
      </c>
      <c r="AI118" s="202">
        <f t="shared" si="77"/>
        <v>0</v>
      </c>
      <c r="AK118" s="71">
        <v>113</v>
      </c>
      <c r="AL118" s="33">
        <f t="shared" si="57"/>
        <v>0</v>
      </c>
      <c r="AM118" s="33">
        <f t="shared" si="58"/>
        <v>0</v>
      </c>
      <c r="AN118" s="33">
        <f t="shared" si="59"/>
        <v>0</v>
      </c>
      <c r="AO118" s="33">
        <f t="shared" si="60"/>
        <v>0</v>
      </c>
      <c r="AP118" s="33">
        <f t="shared" si="61"/>
        <v>0</v>
      </c>
      <c r="AQ118" s="197">
        <f t="shared" si="78"/>
        <v>0</v>
      </c>
      <c r="AR118" s="197">
        <f t="shared" si="79"/>
        <v>0</v>
      </c>
      <c r="AS118" s="197">
        <f t="shared" si="80"/>
        <v>0</v>
      </c>
      <c r="AT118" s="197">
        <f t="shared" si="81"/>
        <v>0</v>
      </c>
      <c r="AU118" s="33"/>
      <c r="AV118" s="33"/>
      <c r="AW118" s="33"/>
      <c r="AX118" s="33"/>
      <c r="AY118" s="76"/>
    </row>
    <row r="119" spans="2:51">
      <c r="B119" s="67"/>
      <c r="C119" s="82"/>
      <c r="D119" s="79"/>
      <c r="E119" s="78"/>
      <c r="I119" s="55">
        <v>114</v>
      </c>
      <c r="J119" s="33">
        <f t="shared" si="64"/>
        <v>0</v>
      </c>
      <c r="K119" s="33">
        <f t="shared" si="65"/>
        <v>0</v>
      </c>
      <c r="L119" s="33">
        <f t="shared" si="66"/>
        <v>0</v>
      </c>
      <c r="M119" s="33">
        <f t="shared" si="67"/>
        <v>0</v>
      </c>
      <c r="N119" s="33">
        <f t="shared" si="47"/>
        <v>0</v>
      </c>
      <c r="O119" s="34">
        <f t="shared" si="48"/>
        <v>0</v>
      </c>
      <c r="P119" s="55">
        <v>114</v>
      </c>
      <c r="Q119" s="33">
        <f t="shared" si="62"/>
        <v>0</v>
      </c>
      <c r="R119" s="33">
        <f t="shared" si="68"/>
        <v>0</v>
      </c>
      <c r="S119" s="33">
        <f t="shared" si="69"/>
        <v>0</v>
      </c>
      <c r="T119" s="33">
        <f t="shared" si="49"/>
        <v>0</v>
      </c>
      <c r="U119" s="33">
        <f t="shared" si="63"/>
        <v>0</v>
      </c>
      <c r="V119" s="33">
        <f t="shared" si="50"/>
        <v>0</v>
      </c>
      <c r="W119" s="33">
        <v>0</v>
      </c>
      <c r="X119" s="33">
        <f t="shared" si="51"/>
        <v>0</v>
      </c>
      <c r="Y119" s="38">
        <f t="shared" si="52"/>
        <v>0</v>
      </c>
      <c r="AA119" s="71">
        <v>114</v>
      </c>
      <c r="AB119" s="33">
        <f t="shared" si="53"/>
        <v>0</v>
      </c>
      <c r="AC119" s="308">
        <f t="shared" si="54"/>
        <v>0</v>
      </c>
      <c r="AD119" s="101">
        <f t="shared" si="55"/>
        <v>0</v>
      </c>
      <c r="AE119" s="101">
        <f t="shared" si="56"/>
        <v>0</v>
      </c>
      <c r="AF119" s="197">
        <f t="shared" si="74"/>
        <v>0</v>
      </c>
      <c r="AG119" s="197">
        <f t="shared" si="75"/>
        <v>0</v>
      </c>
      <c r="AH119" s="197">
        <f t="shared" si="76"/>
        <v>0</v>
      </c>
      <c r="AI119" s="202">
        <f t="shared" si="77"/>
        <v>0</v>
      </c>
      <c r="AK119" s="71">
        <v>114</v>
      </c>
      <c r="AL119" s="33">
        <f t="shared" si="57"/>
        <v>0</v>
      </c>
      <c r="AM119" s="33">
        <f t="shared" si="58"/>
        <v>0</v>
      </c>
      <c r="AN119" s="33">
        <f t="shared" si="59"/>
        <v>0</v>
      </c>
      <c r="AO119" s="33">
        <f t="shared" si="60"/>
        <v>0</v>
      </c>
      <c r="AP119" s="33">
        <f t="shared" si="61"/>
        <v>0</v>
      </c>
      <c r="AQ119" s="197">
        <f t="shared" si="78"/>
        <v>0</v>
      </c>
      <c r="AR119" s="197">
        <f t="shared" si="79"/>
        <v>0</v>
      </c>
      <c r="AS119" s="197">
        <f t="shared" si="80"/>
        <v>0</v>
      </c>
      <c r="AT119" s="197">
        <f t="shared" si="81"/>
        <v>0</v>
      </c>
      <c r="AU119" s="33"/>
      <c r="AV119" s="33"/>
      <c r="AW119" s="33"/>
      <c r="AX119" s="33"/>
      <c r="AY119" s="76"/>
    </row>
    <row r="120" spans="2:51">
      <c r="C120" s="80"/>
      <c r="D120" s="80"/>
      <c r="E120" s="83"/>
      <c r="I120" s="55">
        <v>115</v>
      </c>
      <c r="J120" s="33">
        <f t="shared" si="64"/>
        <v>0</v>
      </c>
      <c r="K120" s="33">
        <f t="shared" si="65"/>
        <v>0</v>
      </c>
      <c r="L120" s="33">
        <f t="shared" si="66"/>
        <v>0</v>
      </c>
      <c r="M120" s="33">
        <f t="shared" si="67"/>
        <v>0</v>
      </c>
      <c r="N120" s="33">
        <f t="shared" si="47"/>
        <v>0</v>
      </c>
      <c r="O120" s="34">
        <f t="shared" si="48"/>
        <v>0</v>
      </c>
      <c r="P120" s="55">
        <v>115</v>
      </c>
      <c r="Q120" s="33">
        <f t="shared" si="62"/>
        <v>0</v>
      </c>
      <c r="R120" s="33">
        <f t="shared" si="68"/>
        <v>0</v>
      </c>
      <c r="S120" s="33">
        <f t="shared" si="69"/>
        <v>0</v>
      </c>
      <c r="T120" s="33">
        <f t="shared" si="49"/>
        <v>0</v>
      </c>
      <c r="U120" s="33">
        <f t="shared" si="63"/>
        <v>0</v>
      </c>
      <c r="V120" s="33">
        <f t="shared" si="50"/>
        <v>0</v>
      </c>
      <c r="W120" s="33">
        <v>0</v>
      </c>
      <c r="X120" s="33">
        <f t="shared" si="51"/>
        <v>0</v>
      </c>
      <c r="Y120" s="38">
        <f t="shared" si="52"/>
        <v>0</v>
      </c>
      <c r="AA120" s="71">
        <v>115</v>
      </c>
      <c r="AB120" s="33">
        <f t="shared" si="53"/>
        <v>0</v>
      </c>
      <c r="AC120" s="308">
        <f t="shared" si="54"/>
        <v>0</v>
      </c>
      <c r="AD120" s="101">
        <f t="shared" si="55"/>
        <v>0</v>
      </c>
      <c r="AE120" s="101">
        <f t="shared" si="56"/>
        <v>0</v>
      </c>
      <c r="AF120" s="197">
        <f t="shared" si="74"/>
        <v>0</v>
      </c>
      <c r="AG120" s="197">
        <f t="shared" si="75"/>
        <v>0</v>
      </c>
      <c r="AH120" s="197">
        <f t="shared" si="76"/>
        <v>0</v>
      </c>
      <c r="AI120" s="202">
        <f t="shared" si="77"/>
        <v>0</v>
      </c>
      <c r="AK120" s="71">
        <v>115</v>
      </c>
      <c r="AL120" s="33">
        <f t="shared" si="57"/>
        <v>0</v>
      </c>
      <c r="AM120" s="33">
        <f t="shared" si="58"/>
        <v>0</v>
      </c>
      <c r="AN120" s="33">
        <f t="shared" si="59"/>
        <v>0</v>
      </c>
      <c r="AO120" s="33">
        <f t="shared" si="60"/>
        <v>0</v>
      </c>
      <c r="AP120" s="33">
        <f t="shared" si="61"/>
        <v>0</v>
      </c>
      <c r="AQ120" s="197">
        <f t="shared" si="78"/>
        <v>0</v>
      </c>
      <c r="AR120" s="197">
        <f t="shared" si="79"/>
        <v>0</v>
      </c>
      <c r="AS120" s="197">
        <f t="shared" si="80"/>
        <v>0</v>
      </c>
      <c r="AT120" s="197">
        <f t="shared" si="81"/>
        <v>0</v>
      </c>
      <c r="AU120" s="33"/>
      <c r="AV120" s="33"/>
      <c r="AW120" s="33"/>
      <c r="AX120" s="33"/>
      <c r="AY120" s="76"/>
    </row>
    <row r="121" spans="2:51">
      <c r="C121" s="136" t="s">
        <v>160</v>
      </c>
      <c r="D121" s="136"/>
      <c r="E121" s="136"/>
      <c r="I121" s="55">
        <v>116</v>
      </c>
      <c r="J121" s="33">
        <f t="shared" si="64"/>
        <v>0</v>
      </c>
      <c r="K121" s="33">
        <f t="shared" si="65"/>
        <v>0</v>
      </c>
      <c r="L121" s="33">
        <f t="shared" si="66"/>
        <v>0</v>
      </c>
      <c r="M121" s="33">
        <f t="shared" si="67"/>
        <v>0</v>
      </c>
      <c r="N121" s="33">
        <f t="shared" si="47"/>
        <v>0</v>
      </c>
      <c r="O121" s="34">
        <f t="shared" si="48"/>
        <v>0</v>
      </c>
      <c r="P121" s="55">
        <v>116</v>
      </c>
      <c r="Q121" s="33">
        <f t="shared" si="62"/>
        <v>0</v>
      </c>
      <c r="R121" s="33">
        <f t="shared" si="68"/>
        <v>0</v>
      </c>
      <c r="S121" s="33">
        <f t="shared" si="69"/>
        <v>0</v>
      </c>
      <c r="T121" s="33">
        <f t="shared" si="49"/>
        <v>0</v>
      </c>
      <c r="U121" s="33">
        <f t="shared" si="63"/>
        <v>0</v>
      </c>
      <c r="V121" s="33">
        <f t="shared" si="50"/>
        <v>0</v>
      </c>
      <c r="W121" s="33">
        <v>0</v>
      </c>
      <c r="X121" s="33">
        <f t="shared" si="51"/>
        <v>0</v>
      </c>
      <c r="Y121" s="38">
        <f t="shared" si="52"/>
        <v>0</v>
      </c>
      <c r="AA121" s="71">
        <v>116</v>
      </c>
      <c r="AB121" s="33">
        <f t="shared" si="53"/>
        <v>0</v>
      </c>
      <c r="AC121" s="308">
        <f t="shared" si="54"/>
        <v>0</v>
      </c>
      <c r="AD121" s="101">
        <f t="shared" si="55"/>
        <v>0</v>
      </c>
      <c r="AE121" s="101">
        <f t="shared" si="56"/>
        <v>0</v>
      </c>
      <c r="AF121" s="197">
        <f t="shared" si="74"/>
        <v>0</v>
      </c>
      <c r="AG121" s="197">
        <f t="shared" si="75"/>
        <v>0</v>
      </c>
      <c r="AH121" s="197">
        <f t="shared" si="76"/>
        <v>0</v>
      </c>
      <c r="AI121" s="202">
        <f t="shared" si="77"/>
        <v>0</v>
      </c>
      <c r="AK121" s="71">
        <v>116</v>
      </c>
      <c r="AL121" s="33">
        <f t="shared" si="57"/>
        <v>0</v>
      </c>
      <c r="AM121" s="33">
        <f t="shared" si="58"/>
        <v>0</v>
      </c>
      <c r="AN121" s="33">
        <f t="shared" si="59"/>
        <v>0</v>
      </c>
      <c r="AO121" s="33">
        <f t="shared" si="60"/>
        <v>0</v>
      </c>
      <c r="AP121" s="33">
        <f t="shared" si="61"/>
        <v>0</v>
      </c>
      <c r="AQ121" s="197">
        <f t="shared" si="78"/>
        <v>0</v>
      </c>
      <c r="AR121" s="197">
        <f t="shared" si="79"/>
        <v>0</v>
      </c>
      <c r="AS121" s="197">
        <f t="shared" si="80"/>
        <v>0</v>
      </c>
      <c r="AT121" s="197">
        <f t="shared" si="81"/>
        <v>0</v>
      </c>
      <c r="AU121" s="33"/>
      <c r="AV121" s="33"/>
      <c r="AW121" s="33"/>
      <c r="AX121" s="33"/>
      <c r="AY121" s="76"/>
    </row>
    <row r="122" spans="2:51">
      <c r="C122" s="136" t="s">
        <v>145</v>
      </c>
      <c r="D122" s="136" t="s">
        <v>72</v>
      </c>
      <c r="E122" s="81" t="s">
        <v>166</v>
      </c>
      <c r="I122" s="55">
        <v>117</v>
      </c>
      <c r="J122" s="33">
        <f t="shared" si="64"/>
        <v>0</v>
      </c>
      <c r="K122" s="33">
        <f t="shared" si="65"/>
        <v>0</v>
      </c>
      <c r="L122" s="33">
        <f t="shared" si="66"/>
        <v>0</v>
      </c>
      <c r="M122" s="33">
        <f t="shared" si="67"/>
        <v>0</v>
      </c>
      <c r="N122" s="33">
        <f t="shared" si="47"/>
        <v>0</v>
      </c>
      <c r="O122" s="34">
        <f t="shared" si="48"/>
        <v>0</v>
      </c>
      <c r="P122" s="55">
        <v>117</v>
      </c>
      <c r="Q122" s="33">
        <f t="shared" si="62"/>
        <v>0</v>
      </c>
      <c r="R122" s="33">
        <f t="shared" si="68"/>
        <v>0</v>
      </c>
      <c r="S122" s="33">
        <f t="shared" si="69"/>
        <v>0</v>
      </c>
      <c r="T122" s="33">
        <f t="shared" si="49"/>
        <v>0</v>
      </c>
      <c r="U122" s="33">
        <f t="shared" si="63"/>
        <v>0</v>
      </c>
      <c r="V122" s="33">
        <f t="shared" si="50"/>
        <v>0</v>
      </c>
      <c r="W122" s="33">
        <v>0</v>
      </c>
      <c r="X122" s="33">
        <f t="shared" si="51"/>
        <v>0</v>
      </c>
      <c r="Y122" s="38">
        <f t="shared" si="52"/>
        <v>0</v>
      </c>
      <c r="AA122" s="71">
        <v>117</v>
      </c>
      <c r="AB122" s="33">
        <f t="shared" si="53"/>
        <v>0</v>
      </c>
      <c r="AC122" s="308">
        <f t="shared" si="54"/>
        <v>0</v>
      </c>
      <c r="AD122" s="101">
        <f t="shared" si="55"/>
        <v>0</v>
      </c>
      <c r="AE122" s="101">
        <f t="shared" si="56"/>
        <v>0</v>
      </c>
      <c r="AF122" s="197">
        <f t="shared" si="74"/>
        <v>0</v>
      </c>
      <c r="AG122" s="197">
        <f t="shared" si="75"/>
        <v>0</v>
      </c>
      <c r="AH122" s="197">
        <f t="shared" si="76"/>
        <v>0</v>
      </c>
      <c r="AI122" s="202">
        <f t="shared" si="77"/>
        <v>0</v>
      </c>
      <c r="AK122" s="71">
        <v>117</v>
      </c>
      <c r="AL122" s="33">
        <f t="shared" si="57"/>
        <v>0</v>
      </c>
      <c r="AM122" s="33">
        <f t="shared" si="58"/>
        <v>0</v>
      </c>
      <c r="AN122" s="33">
        <f t="shared" si="59"/>
        <v>0</v>
      </c>
      <c r="AO122" s="33">
        <f t="shared" si="60"/>
        <v>0</v>
      </c>
      <c r="AP122" s="33">
        <f t="shared" si="61"/>
        <v>0</v>
      </c>
      <c r="AQ122" s="197">
        <f t="shared" si="78"/>
        <v>0</v>
      </c>
      <c r="AR122" s="197">
        <f t="shared" si="79"/>
        <v>0</v>
      </c>
      <c r="AS122" s="197">
        <f t="shared" si="80"/>
        <v>0</v>
      </c>
      <c r="AT122" s="197">
        <f t="shared" si="81"/>
        <v>0</v>
      </c>
      <c r="AU122" s="33"/>
      <c r="AV122" s="33"/>
      <c r="AW122" s="33"/>
      <c r="AX122" s="33"/>
      <c r="AY122" s="76"/>
    </row>
    <row r="123" spans="2:51">
      <c r="B123" s="67" t="s">
        <v>168</v>
      </c>
      <c r="C123" s="82">
        <f>AY35</f>
        <v>8.5</v>
      </c>
      <c r="D123" s="307">
        <f>IF(AND(D8=B101,F12=C194),J34*50%*G107,0)</f>
        <v>0</v>
      </c>
      <c r="E123" s="78">
        <f>C123-D123</f>
        <v>8.5</v>
      </c>
      <c r="I123" s="55">
        <v>118</v>
      </c>
      <c r="J123" s="33">
        <f t="shared" si="64"/>
        <v>0</v>
      </c>
      <c r="K123" s="33">
        <f t="shared" si="65"/>
        <v>0</v>
      </c>
      <c r="L123" s="33">
        <f t="shared" si="66"/>
        <v>0</v>
      </c>
      <c r="M123" s="33">
        <f t="shared" si="67"/>
        <v>0</v>
      </c>
      <c r="N123" s="33">
        <f t="shared" si="47"/>
        <v>0</v>
      </c>
      <c r="O123" s="34">
        <f t="shared" si="48"/>
        <v>0</v>
      </c>
      <c r="P123" s="55">
        <v>118</v>
      </c>
      <c r="Q123" s="33">
        <f t="shared" si="62"/>
        <v>0</v>
      </c>
      <c r="R123" s="33">
        <f t="shared" si="68"/>
        <v>0</v>
      </c>
      <c r="S123" s="33">
        <f t="shared" si="69"/>
        <v>0</v>
      </c>
      <c r="T123" s="33">
        <f t="shared" si="49"/>
        <v>0</v>
      </c>
      <c r="U123" s="33">
        <f t="shared" si="63"/>
        <v>0</v>
      </c>
      <c r="V123" s="33">
        <f t="shared" si="50"/>
        <v>0</v>
      </c>
      <c r="W123" s="33">
        <v>0</v>
      </c>
      <c r="X123" s="33">
        <f t="shared" si="51"/>
        <v>0</v>
      </c>
      <c r="Y123" s="38">
        <f t="shared" si="52"/>
        <v>0</v>
      </c>
      <c r="AA123" s="71">
        <v>118</v>
      </c>
      <c r="AB123" s="33">
        <f t="shared" si="53"/>
        <v>0</v>
      </c>
      <c r="AC123" s="308">
        <f t="shared" si="54"/>
        <v>0</v>
      </c>
      <c r="AD123" s="101">
        <f t="shared" si="55"/>
        <v>0</v>
      </c>
      <c r="AE123" s="101">
        <f t="shared" si="56"/>
        <v>0</v>
      </c>
      <c r="AF123" s="197">
        <f t="shared" si="74"/>
        <v>0</v>
      </c>
      <c r="AG123" s="197">
        <f t="shared" si="75"/>
        <v>0</v>
      </c>
      <c r="AH123" s="197">
        <f t="shared" si="76"/>
        <v>0</v>
      </c>
      <c r="AI123" s="202">
        <f t="shared" si="77"/>
        <v>0</v>
      </c>
      <c r="AK123" s="71">
        <v>118</v>
      </c>
      <c r="AL123" s="33">
        <f t="shared" si="57"/>
        <v>0</v>
      </c>
      <c r="AM123" s="33">
        <f t="shared" si="58"/>
        <v>0</v>
      </c>
      <c r="AN123" s="33">
        <f t="shared" si="59"/>
        <v>0</v>
      </c>
      <c r="AO123" s="33">
        <f t="shared" si="60"/>
        <v>0</v>
      </c>
      <c r="AP123" s="33">
        <f t="shared" si="61"/>
        <v>0</v>
      </c>
      <c r="AQ123" s="197">
        <f t="shared" si="78"/>
        <v>0</v>
      </c>
      <c r="AR123" s="197">
        <f t="shared" si="79"/>
        <v>0</v>
      </c>
      <c r="AS123" s="197">
        <f t="shared" si="80"/>
        <v>0</v>
      </c>
      <c r="AT123" s="197">
        <f t="shared" si="81"/>
        <v>0</v>
      </c>
      <c r="AU123" s="33"/>
      <c r="AV123" s="33"/>
      <c r="AW123" s="33"/>
      <c r="AX123" s="33"/>
      <c r="AY123" s="76"/>
    </row>
    <row r="124" spans="2:51">
      <c r="I124" s="55">
        <v>119</v>
      </c>
      <c r="J124" s="33">
        <f t="shared" si="64"/>
        <v>0</v>
      </c>
      <c r="K124" s="33">
        <f t="shared" si="65"/>
        <v>0</v>
      </c>
      <c r="L124" s="33">
        <f t="shared" si="66"/>
        <v>0</v>
      </c>
      <c r="M124" s="33">
        <f t="shared" si="67"/>
        <v>0</v>
      </c>
      <c r="N124" s="33">
        <f t="shared" si="47"/>
        <v>0</v>
      </c>
      <c r="O124" s="34">
        <f t="shared" si="48"/>
        <v>0</v>
      </c>
      <c r="P124" s="55">
        <v>119</v>
      </c>
      <c r="Q124" s="33">
        <f t="shared" si="62"/>
        <v>0</v>
      </c>
      <c r="R124" s="33">
        <f t="shared" si="68"/>
        <v>0</v>
      </c>
      <c r="S124" s="33">
        <f t="shared" si="69"/>
        <v>0</v>
      </c>
      <c r="T124" s="33">
        <f t="shared" si="49"/>
        <v>0</v>
      </c>
      <c r="U124" s="33">
        <f t="shared" si="63"/>
        <v>0</v>
      </c>
      <c r="V124" s="33">
        <f t="shared" si="50"/>
        <v>0</v>
      </c>
      <c r="W124" s="33">
        <v>0</v>
      </c>
      <c r="X124" s="33">
        <f t="shared" si="51"/>
        <v>0</v>
      </c>
      <c r="Y124" s="38">
        <f t="shared" si="52"/>
        <v>0</v>
      </c>
      <c r="AA124" s="71">
        <v>119</v>
      </c>
      <c r="AB124" s="33">
        <f t="shared" si="53"/>
        <v>0</v>
      </c>
      <c r="AC124" s="308">
        <f t="shared" si="54"/>
        <v>0</v>
      </c>
      <c r="AD124" s="101">
        <f t="shared" si="55"/>
        <v>0</v>
      </c>
      <c r="AE124" s="101">
        <f t="shared" si="56"/>
        <v>0</v>
      </c>
      <c r="AF124" s="197">
        <f t="shared" si="74"/>
        <v>0</v>
      </c>
      <c r="AG124" s="197">
        <f t="shared" si="75"/>
        <v>0</v>
      </c>
      <c r="AH124" s="197">
        <f t="shared" si="76"/>
        <v>0</v>
      </c>
      <c r="AI124" s="202">
        <f t="shared" si="77"/>
        <v>0</v>
      </c>
      <c r="AK124" s="71">
        <v>119</v>
      </c>
      <c r="AL124" s="33">
        <f t="shared" si="57"/>
        <v>0</v>
      </c>
      <c r="AM124" s="33">
        <f t="shared" si="58"/>
        <v>0</v>
      </c>
      <c r="AN124" s="33">
        <f t="shared" si="59"/>
        <v>0</v>
      </c>
      <c r="AO124" s="33">
        <f t="shared" si="60"/>
        <v>0</v>
      </c>
      <c r="AP124" s="33">
        <f t="shared" si="61"/>
        <v>0</v>
      </c>
      <c r="AQ124" s="197">
        <f t="shared" si="78"/>
        <v>0</v>
      </c>
      <c r="AR124" s="197">
        <f t="shared" si="79"/>
        <v>0</v>
      </c>
      <c r="AS124" s="197">
        <f t="shared" si="80"/>
        <v>0</v>
      </c>
      <c r="AT124" s="197">
        <f t="shared" si="81"/>
        <v>0</v>
      </c>
      <c r="AU124" s="33"/>
      <c r="AV124" s="33"/>
      <c r="AW124" s="33"/>
      <c r="AX124" s="33"/>
      <c r="AY124" s="76"/>
    </row>
    <row r="125" spans="2:51">
      <c r="C125" s="80"/>
      <c r="D125" s="80"/>
      <c r="E125" s="83"/>
      <c r="I125" s="55">
        <v>120</v>
      </c>
      <c r="J125" s="33">
        <f t="shared" si="64"/>
        <v>0</v>
      </c>
      <c r="K125" s="33">
        <f t="shared" si="65"/>
        <v>0</v>
      </c>
      <c r="L125" s="33">
        <f t="shared" si="66"/>
        <v>0</v>
      </c>
      <c r="M125" s="33">
        <f t="shared" si="67"/>
        <v>0</v>
      </c>
      <c r="N125" s="33">
        <f t="shared" si="47"/>
        <v>0</v>
      </c>
      <c r="O125" s="34">
        <f t="shared" si="48"/>
        <v>0</v>
      </c>
      <c r="P125" s="55">
        <v>120</v>
      </c>
      <c r="Q125" s="33">
        <f t="shared" si="62"/>
        <v>0</v>
      </c>
      <c r="R125" s="33">
        <f t="shared" si="68"/>
        <v>0</v>
      </c>
      <c r="S125" s="33">
        <f t="shared" si="69"/>
        <v>0</v>
      </c>
      <c r="T125" s="33">
        <f t="shared" si="49"/>
        <v>0</v>
      </c>
      <c r="U125" s="33">
        <f t="shared" si="63"/>
        <v>0</v>
      </c>
      <c r="V125" s="33">
        <f t="shared" si="50"/>
        <v>0</v>
      </c>
      <c r="W125" s="33">
        <v>0</v>
      </c>
      <c r="X125" s="33">
        <f t="shared" si="51"/>
        <v>0</v>
      </c>
      <c r="Y125" s="38">
        <f t="shared" si="52"/>
        <v>0</v>
      </c>
      <c r="AA125" s="71">
        <v>120</v>
      </c>
      <c r="AB125" s="33">
        <f t="shared" si="53"/>
        <v>0</v>
      </c>
      <c r="AC125" s="308">
        <f t="shared" si="54"/>
        <v>0</v>
      </c>
      <c r="AD125" s="101">
        <f t="shared" si="55"/>
        <v>0</v>
      </c>
      <c r="AE125" s="101">
        <f t="shared" si="56"/>
        <v>0</v>
      </c>
      <c r="AF125" s="197">
        <f t="shared" si="74"/>
        <v>0</v>
      </c>
      <c r="AG125" s="197">
        <f t="shared" si="75"/>
        <v>0</v>
      </c>
      <c r="AH125" s="197">
        <f t="shared" si="76"/>
        <v>0</v>
      </c>
      <c r="AI125" s="202">
        <f t="shared" si="77"/>
        <v>0</v>
      </c>
      <c r="AK125" s="71">
        <v>120</v>
      </c>
      <c r="AL125" s="33">
        <f t="shared" si="57"/>
        <v>0</v>
      </c>
      <c r="AM125" s="33">
        <f t="shared" si="58"/>
        <v>0</v>
      </c>
      <c r="AN125" s="33">
        <f t="shared" si="59"/>
        <v>0</v>
      </c>
      <c r="AO125" s="33">
        <f t="shared" si="60"/>
        <v>0</v>
      </c>
      <c r="AP125" s="33">
        <f t="shared" si="61"/>
        <v>0</v>
      </c>
      <c r="AQ125" s="197">
        <f t="shared" si="78"/>
        <v>0</v>
      </c>
      <c r="AR125" s="197">
        <f t="shared" si="79"/>
        <v>0</v>
      </c>
      <c r="AS125" s="197">
        <f t="shared" si="80"/>
        <v>0</v>
      </c>
      <c r="AT125" s="197">
        <f t="shared" si="81"/>
        <v>0</v>
      </c>
      <c r="AU125" s="33"/>
      <c r="AV125" s="33"/>
      <c r="AW125" s="33"/>
      <c r="AX125" s="33"/>
      <c r="AY125" s="76"/>
    </row>
    <row r="126" spans="2:51">
      <c r="C126" s="84" t="s">
        <v>129</v>
      </c>
      <c r="D126" s="84" t="s">
        <v>130</v>
      </c>
      <c r="E126" s="84" t="s">
        <v>160</v>
      </c>
      <c r="F126" s="160" t="s">
        <v>170</v>
      </c>
      <c r="I126" s="55">
        <v>121</v>
      </c>
      <c r="J126" s="33">
        <f t="shared" si="64"/>
        <v>0</v>
      </c>
      <c r="K126" s="33">
        <f t="shared" si="65"/>
        <v>0</v>
      </c>
      <c r="L126" s="33">
        <f t="shared" si="66"/>
        <v>0</v>
      </c>
      <c r="M126" s="33">
        <f t="shared" si="67"/>
        <v>0</v>
      </c>
      <c r="N126" s="33">
        <f t="shared" si="47"/>
        <v>0</v>
      </c>
      <c r="O126" s="34">
        <f t="shared" si="48"/>
        <v>0</v>
      </c>
      <c r="P126" s="55">
        <v>121</v>
      </c>
      <c r="Q126" s="33">
        <f t="shared" si="62"/>
        <v>0</v>
      </c>
      <c r="R126" s="33">
        <f t="shared" si="68"/>
        <v>0</v>
      </c>
      <c r="S126" s="33">
        <f t="shared" si="69"/>
        <v>0</v>
      </c>
      <c r="T126" s="33">
        <f t="shared" si="49"/>
        <v>0</v>
      </c>
      <c r="U126" s="33">
        <f t="shared" si="63"/>
        <v>0</v>
      </c>
      <c r="V126" s="33">
        <f t="shared" si="50"/>
        <v>0</v>
      </c>
      <c r="W126" s="33">
        <v>0</v>
      </c>
      <c r="X126" s="33">
        <f t="shared" si="51"/>
        <v>0</v>
      </c>
      <c r="Y126" s="38">
        <f t="shared" si="52"/>
        <v>0</v>
      </c>
      <c r="AA126" s="71">
        <v>121</v>
      </c>
      <c r="AB126" s="33">
        <f t="shared" si="53"/>
        <v>0</v>
      </c>
      <c r="AC126" s="308">
        <f t="shared" si="54"/>
        <v>0</v>
      </c>
      <c r="AD126" s="101">
        <f t="shared" si="55"/>
        <v>0</v>
      </c>
      <c r="AE126" s="101">
        <f t="shared" si="56"/>
        <v>0</v>
      </c>
      <c r="AF126" s="197">
        <f t="shared" si="74"/>
        <v>0</v>
      </c>
      <c r="AG126" s="197">
        <f t="shared" si="75"/>
        <v>0</v>
      </c>
      <c r="AH126" s="197">
        <f t="shared" si="76"/>
        <v>0</v>
      </c>
      <c r="AI126" s="202">
        <f t="shared" si="77"/>
        <v>0</v>
      </c>
      <c r="AK126" s="71">
        <v>121</v>
      </c>
      <c r="AL126" s="33">
        <f t="shared" si="57"/>
        <v>0</v>
      </c>
      <c r="AM126" s="33">
        <f t="shared" si="58"/>
        <v>0</v>
      </c>
      <c r="AN126" s="33">
        <f t="shared" si="59"/>
        <v>0</v>
      </c>
      <c r="AO126" s="33">
        <f t="shared" si="60"/>
        <v>0</v>
      </c>
      <c r="AP126" s="33">
        <f t="shared" si="61"/>
        <v>0</v>
      </c>
      <c r="AQ126" s="197">
        <f t="shared" si="78"/>
        <v>0</v>
      </c>
      <c r="AR126" s="197">
        <f t="shared" si="79"/>
        <v>0</v>
      </c>
      <c r="AS126" s="197">
        <f t="shared" si="80"/>
        <v>0</v>
      </c>
      <c r="AT126" s="197">
        <f t="shared" si="81"/>
        <v>0</v>
      </c>
      <c r="AU126" s="33"/>
      <c r="AV126" s="33"/>
      <c r="AW126" s="33"/>
      <c r="AX126" s="33"/>
      <c r="AY126" s="76"/>
    </row>
    <row r="127" spans="2:51">
      <c r="C127" s="82">
        <f>IF(F18&gt;30,MIN(E113:E114),E113)</f>
        <v>295.49396977598087</v>
      </c>
      <c r="D127" s="82">
        <f>MIN(E118:E119)</f>
        <v>0</v>
      </c>
      <c r="E127" s="85">
        <f>E123</f>
        <v>8.5</v>
      </c>
      <c r="F127" s="86">
        <f>SUM(C127:E127)</f>
        <v>303.99396977598087</v>
      </c>
      <c r="I127" s="55">
        <v>122</v>
      </c>
      <c r="J127" s="33">
        <f t="shared" si="64"/>
        <v>0</v>
      </c>
      <c r="K127" s="33">
        <f t="shared" si="65"/>
        <v>0</v>
      </c>
      <c r="L127" s="33">
        <f t="shared" si="66"/>
        <v>0</v>
      </c>
      <c r="M127" s="33">
        <f t="shared" si="67"/>
        <v>0</v>
      </c>
      <c r="N127" s="33">
        <f t="shared" si="47"/>
        <v>0</v>
      </c>
      <c r="O127" s="34">
        <f t="shared" si="48"/>
        <v>0</v>
      </c>
      <c r="P127" s="55">
        <v>122</v>
      </c>
      <c r="Q127" s="33">
        <f t="shared" si="62"/>
        <v>0</v>
      </c>
      <c r="R127" s="33">
        <f t="shared" si="68"/>
        <v>0</v>
      </c>
      <c r="S127" s="33">
        <f t="shared" si="69"/>
        <v>0</v>
      </c>
      <c r="T127" s="33">
        <f t="shared" si="49"/>
        <v>0</v>
      </c>
      <c r="U127" s="33">
        <f t="shared" si="63"/>
        <v>0</v>
      </c>
      <c r="V127" s="33">
        <f t="shared" si="50"/>
        <v>0</v>
      </c>
      <c r="W127" s="33">
        <v>0</v>
      </c>
      <c r="X127" s="33">
        <f t="shared" si="51"/>
        <v>0</v>
      </c>
      <c r="Y127" s="38">
        <f t="shared" si="52"/>
        <v>0</v>
      </c>
      <c r="AA127" s="71">
        <v>122</v>
      </c>
      <c r="AB127" s="33">
        <f t="shared" si="53"/>
        <v>0</v>
      </c>
      <c r="AC127" s="308">
        <f t="shared" si="54"/>
        <v>0</v>
      </c>
      <c r="AD127" s="101">
        <f t="shared" si="55"/>
        <v>0</v>
      </c>
      <c r="AE127" s="101">
        <f t="shared" si="56"/>
        <v>0</v>
      </c>
      <c r="AF127" s="197">
        <f t="shared" si="74"/>
        <v>0</v>
      </c>
      <c r="AG127" s="197">
        <f t="shared" si="75"/>
        <v>0</v>
      </c>
      <c r="AH127" s="197">
        <f t="shared" si="76"/>
        <v>0</v>
      </c>
      <c r="AI127" s="202">
        <f t="shared" si="77"/>
        <v>0</v>
      </c>
      <c r="AK127" s="71">
        <v>122</v>
      </c>
      <c r="AL127" s="33">
        <f t="shared" si="57"/>
        <v>0</v>
      </c>
      <c r="AM127" s="33">
        <f t="shared" si="58"/>
        <v>0</v>
      </c>
      <c r="AN127" s="33">
        <f t="shared" si="59"/>
        <v>0</v>
      </c>
      <c r="AO127" s="33">
        <f t="shared" si="60"/>
        <v>0</v>
      </c>
      <c r="AP127" s="33">
        <f t="shared" si="61"/>
        <v>0</v>
      </c>
      <c r="AQ127" s="197">
        <f t="shared" si="78"/>
        <v>0</v>
      </c>
      <c r="AR127" s="197">
        <f t="shared" si="79"/>
        <v>0</v>
      </c>
      <c r="AS127" s="197">
        <f t="shared" si="80"/>
        <v>0</v>
      </c>
      <c r="AT127" s="197">
        <f t="shared" si="81"/>
        <v>0</v>
      </c>
      <c r="AU127" s="33"/>
      <c r="AV127" s="33"/>
      <c r="AW127" s="33"/>
      <c r="AX127" s="33"/>
      <c r="AY127" s="76"/>
    </row>
    <row r="128" spans="2:51">
      <c r="E128" s="24"/>
      <c r="I128" s="55">
        <v>123</v>
      </c>
      <c r="J128" s="33">
        <f t="shared" si="64"/>
        <v>0</v>
      </c>
      <c r="K128" s="33">
        <f t="shared" si="65"/>
        <v>0</v>
      </c>
      <c r="L128" s="33">
        <f t="shared" si="66"/>
        <v>0</v>
      </c>
      <c r="M128" s="33">
        <f t="shared" si="67"/>
        <v>0</v>
      </c>
      <c r="N128" s="33">
        <f t="shared" si="47"/>
        <v>0</v>
      </c>
      <c r="O128" s="34">
        <f t="shared" si="48"/>
        <v>0</v>
      </c>
      <c r="P128" s="55">
        <v>123</v>
      </c>
      <c r="Q128" s="33">
        <f t="shared" si="62"/>
        <v>0</v>
      </c>
      <c r="R128" s="33">
        <f t="shared" si="68"/>
        <v>0</v>
      </c>
      <c r="S128" s="33">
        <f t="shared" si="69"/>
        <v>0</v>
      </c>
      <c r="T128" s="33">
        <f t="shared" si="49"/>
        <v>0</v>
      </c>
      <c r="U128" s="33">
        <f t="shared" si="63"/>
        <v>0</v>
      </c>
      <c r="V128" s="33">
        <f t="shared" si="50"/>
        <v>0</v>
      </c>
      <c r="W128" s="33">
        <v>0</v>
      </c>
      <c r="X128" s="33">
        <f t="shared" si="51"/>
        <v>0</v>
      </c>
      <c r="Y128" s="38">
        <f t="shared" si="52"/>
        <v>0</v>
      </c>
      <c r="AA128" s="71">
        <v>123</v>
      </c>
      <c r="AB128" s="33">
        <f t="shared" si="53"/>
        <v>0</v>
      </c>
      <c r="AC128" s="308">
        <f t="shared" si="54"/>
        <v>0</v>
      </c>
      <c r="AD128" s="101">
        <f t="shared" si="55"/>
        <v>0</v>
      </c>
      <c r="AE128" s="101">
        <f t="shared" si="56"/>
        <v>0</v>
      </c>
      <c r="AF128" s="197">
        <f t="shared" si="74"/>
        <v>0</v>
      </c>
      <c r="AG128" s="197">
        <f t="shared" si="75"/>
        <v>0</v>
      </c>
      <c r="AH128" s="197">
        <f t="shared" si="76"/>
        <v>0</v>
      </c>
      <c r="AI128" s="202">
        <f t="shared" si="77"/>
        <v>0</v>
      </c>
      <c r="AK128" s="71">
        <v>123</v>
      </c>
      <c r="AL128" s="33">
        <f t="shared" si="57"/>
        <v>0</v>
      </c>
      <c r="AM128" s="33">
        <f t="shared" si="58"/>
        <v>0</v>
      </c>
      <c r="AN128" s="33">
        <f t="shared" si="59"/>
        <v>0</v>
      </c>
      <c r="AO128" s="33">
        <f t="shared" si="60"/>
        <v>0</v>
      </c>
      <c r="AP128" s="33">
        <f t="shared" si="61"/>
        <v>0</v>
      </c>
      <c r="AQ128" s="197">
        <f t="shared" si="78"/>
        <v>0</v>
      </c>
      <c r="AR128" s="197">
        <f t="shared" si="79"/>
        <v>0</v>
      </c>
      <c r="AS128" s="197">
        <f t="shared" si="80"/>
        <v>0</v>
      </c>
      <c r="AT128" s="197">
        <f t="shared" si="81"/>
        <v>0</v>
      </c>
      <c r="AU128" s="33"/>
      <c r="AV128" s="33"/>
      <c r="AW128" s="33"/>
      <c r="AX128" s="33"/>
      <c r="AY128" s="76"/>
    </row>
    <row r="129" spans="3:51">
      <c r="E129" s="24"/>
      <c r="I129" s="55">
        <v>124</v>
      </c>
      <c r="J129" s="33">
        <f t="shared" si="64"/>
        <v>0</v>
      </c>
      <c r="K129" s="33">
        <f t="shared" si="65"/>
        <v>0</v>
      </c>
      <c r="L129" s="33">
        <f t="shared" si="66"/>
        <v>0</v>
      </c>
      <c r="M129" s="33">
        <f t="shared" si="67"/>
        <v>0</v>
      </c>
      <c r="N129" s="33">
        <f t="shared" si="47"/>
        <v>0</v>
      </c>
      <c r="O129" s="34">
        <f t="shared" si="48"/>
        <v>0</v>
      </c>
      <c r="P129" s="55">
        <v>124</v>
      </c>
      <c r="Q129" s="33">
        <f t="shared" si="62"/>
        <v>0</v>
      </c>
      <c r="R129" s="33">
        <f t="shared" si="68"/>
        <v>0</v>
      </c>
      <c r="S129" s="33">
        <f t="shared" si="69"/>
        <v>0</v>
      </c>
      <c r="T129" s="33">
        <f t="shared" si="49"/>
        <v>0</v>
      </c>
      <c r="U129" s="33">
        <f t="shared" si="63"/>
        <v>0</v>
      </c>
      <c r="V129" s="33">
        <f t="shared" si="50"/>
        <v>0</v>
      </c>
      <c r="W129" s="33">
        <v>0</v>
      </c>
      <c r="X129" s="33">
        <f t="shared" si="51"/>
        <v>0</v>
      </c>
      <c r="Y129" s="38">
        <f t="shared" si="52"/>
        <v>0</v>
      </c>
      <c r="AA129" s="71">
        <v>124</v>
      </c>
      <c r="AB129" s="33">
        <f t="shared" si="53"/>
        <v>0</v>
      </c>
      <c r="AC129" s="308">
        <f t="shared" si="54"/>
        <v>0</v>
      </c>
      <c r="AD129" s="101">
        <f t="shared" si="55"/>
        <v>0</v>
      </c>
      <c r="AE129" s="101">
        <f t="shared" si="56"/>
        <v>0</v>
      </c>
      <c r="AF129" s="197">
        <f t="shared" si="74"/>
        <v>0</v>
      </c>
      <c r="AG129" s="197">
        <f t="shared" si="75"/>
        <v>0</v>
      </c>
      <c r="AH129" s="197">
        <f t="shared" si="76"/>
        <v>0</v>
      </c>
      <c r="AI129" s="202">
        <f t="shared" si="77"/>
        <v>0</v>
      </c>
      <c r="AK129" s="71">
        <v>124</v>
      </c>
      <c r="AL129" s="33">
        <f t="shared" si="57"/>
        <v>0</v>
      </c>
      <c r="AM129" s="33">
        <f t="shared" si="58"/>
        <v>0</v>
      </c>
      <c r="AN129" s="33">
        <f t="shared" si="59"/>
        <v>0</v>
      </c>
      <c r="AO129" s="33">
        <f t="shared" si="60"/>
        <v>0</v>
      </c>
      <c r="AP129" s="33">
        <f t="shared" si="61"/>
        <v>0</v>
      </c>
      <c r="AQ129" s="197">
        <f t="shared" si="78"/>
        <v>0</v>
      </c>
      <c r="AR129" s="197">
        <f t="shared" si="79"/>
        <v>0</v>
      </c>
      <c r="AS129" s="197">
        <f t="shared" si="80"/>
        <v>0</v>
      </c>
      <c r="AT129" s="197">
        <f t="shared" si="81"/>
        <v>0</v>
      </c>
      <c r="AU129" s="33"/>
      <c r="AV129" s="33"/>
      <c r="AW129" s="33"/>
      <c r="AX129" s="33"/>
      <c r="AY129" s="76"/>
    </row>
    <row r="130" spans="3:51" ht="30">
      <c r="C130" s="3" t="s">
        <v>5</v>
      </c>
      <c r="D130" s="3" t="s">
        <v>6</v>
      </c>
      <c r="E130" s="191" t="s">
        <v>227</v>
      </c>
      <c r="F130" s="346" t="s">
        <v>272</v>
      </c>
      <c r="I130" s="55">
        <v>125</v>
      </c>
      <c r="J130" s="33">
        <f t="shared" si="64"/>
        <v>0</v>
      </c>
      <c r="K130" s="33">
        <f t="shared" si="65"/>
        <v>0</v>
      </c>
      <c r="L130" s="33">
        <f t="shared" si="66"/>
        <v>0</v>
      </c>
      <c r="M130" s="33">
        <f t="shared" si="67"/>
        <v>0</v>
      </c>
      <c r="N130" s="33">
        <f t="shared" si="47"/>
        <v>0</v>
      </c>
      <c r="O130" s="34">
        <f t="shared" si="48"/>
        <v>0</v>
      </c>
      <c r="P130" s="55">
        <v>125</v>
      </c>
      <c r="Q130" s="33">
        <f t="shared" si="62"/>
        <v>0</v>
      </c>
      <c r="R130" s="33">
        <f t="shared" si="68"/>
        <v>0</v>
      </c>
      <c r="S130" s="33">
        <f t="shared" si="69"/>
        <v>0</v>
      </c>
      <c r="T130" s="33">
        <f t="shared" si="49"/>
        <v>0</v>
      </c>
      <c r="U130" s="33">
        <f t="shared" si="63"/>
        <v>0</v>
      </c>
      <c r="V130" s="33">
        <f t="shared" si="50"/>
        <v>0</v>
      </c>
      <c r="W130" s="33">
        <v>0</v>
      </c>
      <c r="X130" s="33">
        <f t="shared" si="51"/>
        <v>0</v>
      </c>
      <c r="Y130" s="38">
        <f t="shared" si="52"/>
        <v>0</v>
      </c>
      <c r="AA130" s="71">
        <v>125</v>
      </c>
      <c r="AB130" s="33">
        <f t="shared" si="53"/>
        <v>0</v>
      </c>
      <c r="AC130" s="308">
        <f t="shared" si="54"/>
        <v>0</v>
      </c>
      <c r="AD130" s="101">
        <f t="shared" si="55"/>
        <v>0</v>
      </c>
      <c r="AE130" s="101">
        <f t="shared" si="56"/>
        <v>0</v>
      </c>
      <c r="AF130" s="197">
        <f t="shared" si="74"/>
        <v>0</v>
      </c>
      <c r="AG130" s="197">
        <f t="shared" si="75"/>
        <v>0</v>
      </c>
      <c r="AH130" s="197">
        <f t="shared" si="76"/>
        <v>0</v>
      </c>
      <c r="AI130" s="202">
        <f t="shared" si="77"/>
        <v>0</v>
      </c>
      <c r="AK130" s="71">
        <v>125</v>
      </c>
      <c r="AL130" s="33">
        <f t="shared" si="57"/>
        <v>0</v>
      </c>
      <c r="AM130" s="33">
        <f t="shared" si="58"/>
        <v>0</v>
      </c>
      <c r="AN130" s="33">
        <f t="shared" si="59"/>
        <v>0</v>
      </c>
      <c r="AO130" s="33">
        <f t="shared" si="60"/>
        <v>0</v>
      </c>
      <c r="AP130" s="33">
        <f t="shared" si="61"/>
        <v>0</v>
      </c>
      <c r="AQ130" s="197">
        <f t="shared" si="78"/>
        <v>0</v>
      </c>
      <c r="AR130" s="197">
        <f t="shared" si="79"/>
        <v>0</v>
      </c>
      <c r="AS130" s="197">
        <f t="shared" si="80"/>
        <v>0</v>
      </c>
      <c r="AT130" s="197">
        <f t="shared" si="81"/>
        <v>0</v>
      </c>
      <c r="AU130" s="33"/>
      <c r="AV130" s="33"/>
      <c r="AW130" s="33"/>
      <c r="AX130" s="33"/>
      <c r="AY130" s="76"/>
    </row>
    <row r="131" spans="3:51">
      <c r="C131" s="169" t="s">
        <v>7</v>
      </c>
      <c r="D131" s="4">
        <v>0.62</v>
      </c>
      <c r="E131" s="191" t="s">
        <v>228</v>
      </c>
      <c r="F131" s="346">
        <f>IF(OR(Tableau145[[#This Row],[Type]]="Feuillus",Tableau145[[#This Row],[Type]]="Peupliers"),1.56,1.3)</f>
        <v>1.56</v>
      </c>
      <c r="I131" s="55">
        <v>126</v>
      </c>
      <c r="J131" s="33">
        <f t="shared" si="64"/>
        <v>0</v>
      </c>
      <c r="K131" s="33">
        <f t="shared" si="65"/>
        <v>0</v>
      </c>
      <c r="L131" s="33">
        <f t="shared" si="66"/>
        <v>0</v>
      </c>
      <c r="M131" s="33">
        <f t="shared" si="67"/>
        <v>0</v>
      </c>
      <c r="N131" s="33">
        <f t="shared" si="47"/>
        <v>0</v>
      </c>
      <c r="O131" s="34">
        <f t="shared" si="48"/>
        <v>0</v>
      </c>
      <c r="P131" s="55">
        <v>126</v>
      </c>
      <c r="Q131" s="33">
        <f t="shared" si="62"/>
        <v>0</v>
      </c>
      <c r="R131" s="33">
        <f t="shared" si="68"/>
        <v>0</v>
      </c>
      <c r="S131" s="33">
        <f t="shared" si="69"/>
        <v>0</v>
      </c>
      <c r="T131" s="33">
        <f t="shared" si="49"/>
        <v>0</v>
      </c>
      <c r="U131" s="33">
        <f t="shared" si="63"/>
        <v>0</v>
      </c>
      <c r="V131" s="33">
        <f t="shared" si="50"/>
        <v>0</v>
      </c>
      <c r="W131" s="33">
        <v>0</v>
      </c>
      <c r="X131" s="33">
        <f t="shared" si="51"/>
        <v>0</v>
      </c>
      <c r="Y131" s="38">
        <f t="shared" si="52"/>
        <v>0</v>
      </c>
      <c r="AA131" s="71">
        <v>126</v>
      </c>
      <c r="AB131" s="33">
        <f t="shared" si="53"/>
        <v>0</v>
      </c>
      <c r="AC131" s="308">
        <f t="shared" si="54"/>
        <v>0</v>
      </c>
      <c r="AD131" s="101">
        <f t="shared" si="55"/>
        <v>0</v>
      </c>
      <c r="AE131" s="101">
        <f t="shared" si="56"/>
        <v>0</v>
      </c>
      <c r="AF131" s="197">
        <f t="shared" si="74"/>
        <v>0</v>
      </c>
      <c r="AG131" s="197">
        <f t="shared" si="75"/>
        <v>0</v>
      </c>
      <c r="AH131" s="197">
        <f t="shared" si="76"/>
        <v>0</v>
      </c>
      <c r="AI131" s="202">
        <f t="shared" si="77"/>
        <v>0</v>
      </c>
      <c r="AK131" s="71">
        <v>126</v>
      </c>
      <c r="AL131" s="33">
        <f t="shared" si="57"/>
        <v>0</v>
      </c>
      <c r="AM131" s="33">
        <f t="shared" si="58"/>
        <v>0</v>
      </c>
      <c r="AN131" s="33">
        <f t="shared" si="59"/>
        <v>0</v>
      </c>
      <c r="AO131" s="33">
        <f t="shared" si="60"/>
        <v>0</v>
      </c>
      <c r="AP131" s="33">
        <f t="shared" si="61"/>
        <v>0</v>
      </c>
      <c r="AQ131" s="197">
        <f t="shared" si="78"/>
        <v>0</v>
      </c>
      <c r="AR131" s="197">
        <f t="shared" si="79"/>
        <v>0</v>
      </c>
      <c r="AS131" s="197">
        <f t="shared" si="80"/>
        <v>0</v>
      </c>
      <c r="AT131" s="197">
        <f t="shared" si="81"/>
        <v>0</v>
      </c>
      <c r="AU131" s="33"/>
      <c r="AV131" s="33"/>
      <c r="AW131" s="33"/>
      <c r="AX131" s="33"/>
      <c r="AY131" s="76"/>
    </row>
    <row r="132" spans="3:51">
      <c r="C132" s="169" t="s">
        <v>4</v>
      </c>
      <c r="D132" s="4">
        <v>0.64</v>
      </c>
      <c r="E132" s="191" t="s">
        <v>228</v>
      </c>
      <c r="F132" s="346">
        <f>IF(OR(Tableau145[[#This Row],[Type]]="Feuillus",Tableau145[[#This Row],[Type]]="Peupliers"),1.56,1.3)</f>
        <v>1.56</v>
      </c>
      <c r="I132" s="55">
        <v>127</v>
      </c>
      <c r="J132" s="33">
        <f t="shared" si="64"/>
        <v>0</v>
      </c>
      <c r="K132" s="33">
        <f t="shared" si="65"/>
        <v>0</v>
      </c>
      <c r="L132" s="33">
        <f t="shared" si="66"/>
        <v>0</v>
      </c>
      <c r="M132" s="33">
        <f t="shared" si="67"/>
        <v>0</v>
      </c>
      <c r="N132" s="33">
        <f t="shared" si="47"/>
        <v>0</v>
      </c>
      <c r="O132" s="34">
        <f t="shared" si="48"/>
        <v>0</v>
      </c>
      <c r="P132" s="55">
        <v>127</v>
      </c>
      <c r="Q132" s="33">
        <f t="shared" si="62"/>
        <v>0</v>
      </c>
      <c r="R132" s="33">
        <f t="shared" si="68"/>
        <v>0</v>
      </c>
      <c r="S132" s="33">
        <f t="shared" si="69"/>
        <v>0</v>
      </c>
      <c r="T132" s="33">
        <f t="shared" si="49"/>
        <v>0</v>
      </c>
      <c r="U132" s="33">
        <f t="shared" si="63"/>
        <v>0</v>
      </c>
      <c r="V132" s="33">
        <f t="shared" si="50"/>
        <v>0</v>
      </c>
      <c r="W132" s="33">
        <v>0</v>
      </c>
      <c r="X132" s="33">
        <f t="shared" si="51"/>
        <v>0</v>
      </c>
      <c r="Y132" s="38">
        <f t="shared" si="52"/>
        <v>0</v>
      </c>
      <c r="AA132" s="71">
        <v>127</v>
      </c>
      <c r="AB132" s="33">
        <f t="shared" si="53"/>
        <v>0</v>
      </c>
      <c r="AC132" s="308">
        <f t="shared" si="54"/>
        <v>0</v>
      </c>
      <c r="AD132" s="101">
        <f t="shared" si="55"/>
        <v>0</v>
      </c>
      <c r="AE132" s="101">
        <f t="shared" si="56"/>
        <v>0</v>
      </c>
      <c r="AF132" s="197">
        <f t="shared" si="74"/>
        <v>0</v>
      </c>
      <c r="AG132" s="197">
        <f t="shared" si="75"/>
        <v>0</v>
      </c>
      <c r="AH132" s="197">
        <f t="shared" si="76"/>
        <v>0</v>
      </c>
      <c r="AI132" s="202">
        <f t="shared" si="77"/>
        <v>0</v>
      </c>
      <c r="AK132" s="71">
        <v>127</v>
      </c>
      <c r="AL132" s="33">
        <f t="shared" si="57"/>
        <v>0</v>
      </c>
      <c r="AM132" s="33">
        <f t="shared" si="58"/>
        <v>0</v>
      </c>
      <c r="AN132" s="33">
        <f t="shared" si="59"/>
        <v>0</v>
      </c>
      <c r="AO132" s="33">
        <f t="shared" si="60"/>
        <v>0</v>
      </c>
      <c r="AP132" s="33">
        <f t="shared" si="61"/>
        <v>0</v>
      </c>
      <c r="AQ132" s="197">
        <f t="shared" si="78"/>
        <v>0</v>
      </c>
      <c r="AR132" s="197">
        <f t="shared" si="79"/>
        <v>0</v>
      </c>
      <c r="AS132" s="197">
        <f t="shared" si="80"/>
        <v>0</v>
      </c>
      <c r="AT132" s="197">
        <f t="shared" si="81"/>
        <v>0</v>
      </c>
      <c r="AU132" s="33"/>
      <c r="AV132" s="33"/>
      <c r="AW132" s="33"/>
      <c r="AX132" s="33"/>
      <c r="AY132" s="76"/>
    </row>
    <row r="133" spans="3:51">
      <c r="C133" s="169" t="s">
        <v>8</v>
      </c>
      <c r="D133" s="4">
        <v>0.42</v>
      </c>
      <c r="E133" s="191" t="s">
        <v>228</v>
      </c>
      <c r="F133" s="346">
        <f>IF(OR(Tableau145[[#This Row],[Type]]="Feuillus",Tableau145[[#This Row],[Type]]="Peupliers"),1.56,1.3)</f>
        <v>1.56</v>
      </c>
      <c r="I133" s="55">
        <v>128</v>
      </c>
      <c r="J133" s="33">
        <f t="shared" si="64"/>
        <v>0</v>
      </c>
      <c r="K133" s="33">
        <f t="shared" si="65"/>
        <v>0</v>
      </c>
      <c r="L133" s="33">
        <f t="shared" si="66"/>
        <v>0</v>
      </c>
      <c r="M133" s="33">
        <f t="shared" si="67"/>
        <v>0</v>
      </c>
      <c r="N133" s="33">
        <f t="shared" ref="N133:N196" si="82">IF(P134&lt;=$F$18,0,)</f>
        <v>0</v>
      </c>
      <c r="O133" s="34">
        <f t="shared" ref="O133:O196" si="83">((J133+K133)*0.475+L133+M133+N133)*44/12</f>
        <v>0</v>
      </c>
      <c r="P133" s="55">
        <v>128</v>
      </c>
      <c r="Q133" s="33">
        <f t="shared" si="62"/>
        <v>0</v>
      </c>
      <c r="R133" s="33">
        <f t="shared" si="68"/>
        <v>0</v>
      </c>
      <c r="S133" s="33">
        <f t="shared" si="69"/>
        <v>0</v>
      </c>
      <c r="T133" s="33">
        <f t="shared" ref="T133:T196" si="84">IF(S133=0,0,EXP(-1.0587+0.8836*LN(S133)+0.284))</f>
        <v>0</v>
      </c>
      <c r="U133" s="33">
        <f t="shared" si="63"/>
        <v>0</v>
      </c>
      <c r="V133" s="33">
        <f t="shared" ref="V133:V196" si="85">IF(P133&lt;=$F$18,IF(P133&lt;=30,P133*($F$16-$F$6)/30,$F$16-$F$6),)</f>
        <v>0</v>
      </c>
      <c r="W133" s="33">
        <v>0</v>
      </c>
      <c r="X133" s="33">
        <f t="shared" ref="X133:X196" si="86">((S133+T133)*0.475+U133+V133+W133)*44/12</f>
        <v>0</v>
      </c>
      <c r="Y133" s="38">
        <f t="shared" ref="Y133:Y196" si="87">IF(P133&lt;=$F$18,X133-O133,)</f>
        <v>0</v>
      </c>
      <c r="AA133" s="71">
        <v>128</v>
      </c>
      <c r="AB133" s="33">
        <f t="shared" ref="AB133:AB196" si="88">IF(AA133&lt;=$F$18,IFERROR(VLOOKUP($AA133,$B$82:$G$95,2,FALSE),0),)</f>
        <v>0</v>
      </c>
      <c r="AC133" s="308">
        <f t="shared" ref="AC133:AC196" si="89">IF(AA133&lt;=$F$18,IFERROR(VLOOKUP($AA133,$B$82:$G$95,3,FALSE),0),)*50%</f>
        <v>0</v>
      </c>
      <c r="AD133" s="101">
        <f t="shared" ref="AD133:AD196" si="90">IF(AA133&lt;=$F$18,IFERROR(VLOOKUP($AA133,$B$82:$G$95,4,FALSE),0),)</f>
        <v>0</v>
      </c>
      <c r="AE133" s="101">
        <f t="shared" ref="AE133:AE196" si="91">IF(AA133&lt;=$F$18,IFERROR(VLOOKUP($AA133,$B$82:$G$95,5,FALSE),0),)</f>
        <v>0</v>
      </c>
      <c r="AF133" s="197">
        <f t="shared" si="74"/>
        <v>0</v>
      </c>
      <c r="AG133" s="197">
        <f t="shared" si="75"/>
        <v>0</v>
      </c>
      <c r="AH133" s="197">
        <f t="shared" si="76"/>
        <v>0</v>
      </c>
      <c r="AI133" s="202">
        <f t="shared" si="77"/>
        <v>0</v>
      </c>
      <c r="AK133" s="71">
        <v>128</v>
      </c>
      <c r="AL133" s="33">
        <f t="shared" ref="AL133:AL196" si="92">IF(AK133&lt;=$F$18,IFERROR(VLOOKUP($AA133,$B$82:$G$95,2,FALSE),0),)</f>
        <v>0</v>
      </c>
      <c r="AM133" s="33">
        <f t="shared" ref="AM133:AM196" si="93">IF(AK133&lt;=$F$18,IFERROR(VLOOKUP($AA133,$B$82:$G$95,3,FALSE),0),)</f>
        <v>0</v>
      </c>
      <c r="AN133" s="33">
        <f t="shared" ref="AN133:AN196" si="94">IF(AK133&lt;=$F$18,IFERROR(VLOOKUP($AA133,$B$82:$G$95,4,FALSE),0),)</f>
        <v>0</v>
      </c>
      <c r="AO133" s="33">
        <f t="shared" ref="AO133:AO196" si="95">IF(AK133&lt;=$F$18,IFERROR(VLOOKUP($AA133,$B$82:$G$95,5,FALSE),0),)</f>
        <v>0</v>
      </c>
      <c r="AP133" s="33">
        <f t="shared" ref="AP133:AP196" si="96">IF(AK133&lt;=$F$18,IFERROR(VLOOKUP($AA133,$B$82:$G$95,6,FALSE),0),)</f>
        <v>0</v>
      </c>
      <c r="AQ133" s="197">
        <f t="shared" si="78"/>
        <v>0</v>
      </c>
      <c r="AR133" s="197">
        <f t="shared" si="79"/>
        <v>0</v>
      </c>
      <c r="AS133" s="197">
        <f t="shared" si="80"/>
        <v>0</v>
      </c>
      <c r="AT133" s="197">
        <f t="shared" si="81"/>
        <v>0</v>
      </c>
      <c r="AU133" s="33"/>
      <c r="AV133" s="33"/>
      <c r="AW133" s="33"/>
      <c r="AX133" s="33"/>
      <c r="AY133" s="76"/>
    </row>
    <row r="134" spans="3:51">
      <c r="C134" s="169" t="s">
        <v>9</v>
      </c>
      <c r="D134" s="4">
        <v>0.42</v>
      </c>
      <c r="E134" s="191" t="s">
        <v>228</v>
      </c>
      <c r="F134" s="346">
        <f>IF(OR(Tableau145[[#This Row],[Type]]="Feuillus",Tableau145[[#This Row],[Type]]="Peupliers"),1.56,1.3)</f>
        <v>1.56</v>
      </c>
      <c r="I134" s="55">
        <v>129</v>
      </c>
      <c r="J134" s="33">
        <f t="shared" si="64"/>
        <v>0</v>
      </c>
      <c r="K134" s="33">
        <f t="shared" si="65"/>
        <v>0</v>
      </c>
      <c r="L134" s="33">
        <f t="shared" si="66"/>
        <v>0</v>
      </c>
      <c r="M134" s="33">
        <f t="shared" si="67"/>
        <v>0</v>
      </c>
      <c r="N134" s="33">
        <f t="shared" si="82"/>
        <v>0</v>
      </c>
      <c r="O134" s="34">
        <f t="shared" si="83"/>
        <v>0</v>
      </c>
      <c r="P134" s="55">
        <v>129</v>
      </c>
      <c r="Q134" s="33">
        <f t="shared" ref="Q134:Q197" si="97">IF(P134&lt;=$F$18,LOOKUP(P134-1,$B$25:$B$78,$G$25:$G$78),)</f>
        <v>0</v>
      </c>
      <c r="R134" s="33">
        <f t="shared" si="68"/>
        <v>0</v>
      </c>
      <c r="S134" s="33">
        <f t="shared" si="69"/>
        <v>0</v>
      </c>
      <c r="T134" s="33">
        <f t="shared" si="84"/>
        <v>0</v>
      </c>
      <c r="U134" s="33">
        <f t="shared" ref="U134:U197" si="98">IF(P134&lt;=$F$18,$F$5+($F$15-$F$5)*(1-EXP(-0.0175*P134)),)</f>
        <v>0</v>
      </c>
      <c r="V134" s="33">
        <f t="shared" si="85"/>
        <v>0</v>
      </c>
      <c r="W134" s="33">
        <v>0</v>
      </c>
      <c r="X134" s="33">
        <f t="shared" si="86"/>
        <v>0</v>
      </c>
      <c r="Y134" s="38">
        <f t="shared" si="87"/>
        <v>0</v>
      </c>
      <c r="AA134" s="71">
        <v>129</v>
      </c>
      <c r="AB134" s="33">
        <f t="shared" si="88"/>
        <v>0</v>
      </c>
      <c r="AC134" s="308">
        <f t="shared" si="89"/>
        <v>0</v>
      </c>
      <c r="AD134" s="101">
        <f t="shared" si="90"/>
        <v>0</v>
      </c>
      <c r="AE134" s="101">
        <f t="shared" si="91"/>
        <v>0</v>
      </c>
      <c r="AF134" s="197">
        <f t="shared" si="74"/>
        <v>0</v>
      </c>
      <c r="AG134" s="197">
        <f t="shared" si="75"/>
        <v>0</v>
      </c>
      <c r="AH134" s="197">
        <f t="shared" si="76"/>
        <v>0</v>
      </c>
      <c r="AI134" s="202">
        <f t="shared" si="77"/>
        <v>0</v>
      </c>
      <c r="AK134" s="71">
        <v>129</v>
      </c>
      <c r="AL134" s="33">
        <f t="shared" si="92"/>
        <v>0</v>
      </c>
      <c r="AM134" s="33">
        <f t="shared" si="93"/>
        <v>0</v>
      </c>
      <c r="AN134" s="33">
        <f t="shared" si="94"/>
        <v>0</v>
      </c>
      <c r="AO134" s="33">
        <f t="shared" si="95"/>
        <v>0</v>
      </c>
      <c r="AP134" s="33">
        <f t="shared" si="96"/>
        <v>0</v>
      </c>
      <c r="AQ134" s="197">
        <f t="shared" si="78"/>
        <v>0</v>
      </c>
      <c r="AR134" s="197">
        <f t="shared" si="79"/>
        <v>0</v>
      </c>
      <c r="AS134" s="197">
        <f t="shared" si="80"/>
        <v>0</v>
      </c>
      <c r="AT134" s="197">
        <f t="shared" si="81"/>
        <v>0</v>
      </c>
      <c r="AU134" s="33"/>
      <c r="AV134" s="33"/>
      <c r="AW134" s="33"/>
      <c r="AX134" s="33"/>
      <c r="AY134" s="76"/>
    </row>
    <row r="135" spans="3:51">
      <c r="C135" s="169" t="s">
        <v>10</v>
      </c>
      <c r="D135" s="4">
        <v>0.52</v>
      </c>
      <c r="E135" s="191" t="s">
        <v>228</v>
      </c>
      <c r="F135" s="346">
        <f>IF(OR(Tableau145[[#This Row],[Type]]="Feuillus",Tableau145[[#This Row],[Type]]="Peupliers"),1.56,1.3)</f>
        <v>1.56</v>
      </c>
      <c r="I135" s="55">
        <v>130</v>
      </c>
      <c r="J135" s="33">
        <f t="shared" ref="J135:J198" si="99">IF($I135&lt;=$F$10,$F$11*$F$13+J134,)</f>
        <v>0</v>
      </c>
      <c r="K135" s="33">
        <f t="shared" ref="K135:K198" si="100">IF(J135=0,0,EXP(-1.0587+0.8836*LN(J135)+0.284))</f>
        <v>0</v>
      </c>
      <c r="L135" s="33">
        <f t="shared" ref="L135:L198" si="101">IF(I135&lt;=$F$10,$F$5+($F$8-$F$5)*(1-EXP(-0.0175*I135)),)</f>
        <v>0</v>
      </c>
      <c r="M135" s="33">
        <f t="shared" ref="M135:M198" si="102">IF(I135&lt;=$F$10,IF(I135&lt;=30,I135*($F$9-$F$6)/30,$F$9-$F$6),)</f>
        <v>0</v>
      </c>
      <c r="N135" s="33">
        <f t="shared" si="82"/>
        <v>0</v>
      </c>
      <c r="O135" s="34">
        <f t="shared" si="83"/>
        <v>0</v>
      </c>
      <c r="P135" s="55">
        <v>130</v>
      </c>
      <c r="Q135" s="33">
        <f t="shared" si="97"/>
        <v>0</v>
      </c>
      <c r="R135" s="33">
        <f t="shared" ref="R135:R198" si="103">IF(P135&lt;=$F$18,Q135+R134,)</f>
        <v>0</v>
      </c>
      <c r="S135" s="33">
        <f t="shared" ref="S135:S198" si="104">$F$19*R135</f>
        <v>0</v>
      </c>
      <c r="T135" s="33">
        <f t="shared" si="84"/>
        <v>0</v>
      </c>
      <c r="U135" s="33">
        <f t="shared" si="98"/>
        <v>0</v>
      </c>
      <c r="V135" s="33">
        <f t="shared" si="85"/>
        <v>0</v>
      </c>
      <c r="W135" s="33">
        <v>0</v>
      </c>
      <c r="X135" s="33">
        <f t="shared" si="86"/>
        <v>0</v>
      </c>
      <c r="Y135" s="38">
        <f t="shared" si="87"/>
        <v>0</v>
      </c>
      <c r="AA135" s="71">
        <v>130</v>
      </c>
      <c r="AB135" s="33">
        <f t="shared" si="88"/>
        <v>0</v>
      </c>
      <c r="AC135" s="308">
        <f t="shared" si="89"/>
        <v>0</v>
      </c>
      <c r="AD135" s="101">
        <f t="shared" si="90"/>
        <v>0</v>
      </c>
      <c r="AE135" s="101">
        <f t="shared" si="91"/>
        <v>0</v>
      </c>
      <c r="AF135" s="197">
        <f t="shared" si="74"/>
        <v>0</v>
      </c>
      <c r="AG135" s="197">
        <f t="shared" si="75"/>
        <v>0</v>
      </c>
      <c r="AH135" s="197">
        <f t="shared" si="76"/>
        <v>0</v>
      </c>
      <c r="AI135" s="202">
        <f t="shared" si="77"/>
        <v>0</v>
      </c>
      <c r="AK135" s="71">
        <v>130</v>
      </c>
      <c r="AL135" s="33">
        <f t="shared" si="92"/>
        <v>0</v>
      </c>
      <c r="AM135" s="33">
        <f t="shared" si="93"/>
        <v>0</v>
      </c>
      <c r="AN135" s="33">
        <f t="shared" si="94"/>
        <v>0</v>
      </c>
      <c r="AO135" s="33">
        <f t="shared" si="95"/>
        <v>0</v>
      </c>
      <c r="AP135" s="33">
        <f t="shared" si="96"/>
        <v>0</v>
      </c>
      <c r="AQ135" s="197">
        <f t="shared" si="78"/>
        <v>0</v>
      </c>
      <c r="AR135" s="197">
        <f t="shared" si="79"/>
        <v>0</v>
      </c>
      <c r="AS135" s="197">
        <f t="shared" si="80"/>
        <v>0</v>
      </c>
      <c r="AT135" s="197">
        <f t="shared" si="81"/>
        <v>0</v>
      </c>
      <c r="AU135" s="33"/>
      <c r="AV135" s="33"/>
      <c r="AW135" s="33"/>
      <c r="AX135" s="33"/>
      <c r="AY135" s="76"/>
    </row>
    <row r="136" spans="3:51">
      <c r="C136" s="169" t="s">
        <v>11</v>
      </c>
      <c r="D136" s="4">
        <v>0.36</v>
      </c>
      <c r="E136" s="191" t="s">
        <v>229</v>
      </c>
      <c r="F136" s="346">
        <f>IF(OR(Tableau145[[#This Row],[Type]]="Feuillus",Tableau145[[#This Row],[Type]]="Peupliers"),1.56,1.3)</f>
        <v>1.3</v>
      </c>
      <c r="I136" s="55">
        <v>131</v>
      </c>
      <c r="J136" s="33">
        <f t="shared" si="99"/>
        <v>0</v>
      </c>
      <c r="K136" s="33">
        <f t="shared" si="100"/>
        <v>0</v>
      </c>
      <c r="L136" s="33">
        <f t="shared" si="101"/>
        <v>0</v>
      </c>
      <c r="M136" s="33">
        <f t="shared" si="102"/>
        <v>0</v>
      </c>
      <c r="N136" s="33">
        <f t="shared" si="82"/>
        <v>0</v>
      </c>
      <c r="O136" s="34">
        <f t="shared" si="83"/>
        <v>0</v>
      </c>
      <c r="P136" s="55">
        <v>131</v>
      </c>
      <c r="Q136" s="33">
        <f t="shared" si="97"/>
        <v>0</v>
      </c>
      <c r="R136" s="33">
        <f t="shared" si="103"/>
        <v>0</v>
      </c>
      <c r="S136" s="33">
        <f t="shared" si="104"/>
        <v>0</v>
      </c>
      <c r="T136" s="33">
        <f t="shared" si="84"/>
        <v>0</v>
      </c>
      <c r="U136" s="33">
        <f t="shared" si="98"/>
        <v>0</v>
      </c>
      <c r="V136" s="33">
        <f t="shared" si="85"/>
        <v>0</v>
      </c>
      <c r="W136" s="33">
        <v>0</v>
      </c>
      <c r="X136" s="33">
        <f t="shared" si="86"/>
        <v>0</v>
      </c>
      <c r="Y136" s="38">
        <f t="shared" si="87"/>
        <v>0</v>
      </c>
      <c r="AA136" s="71">
        <v>131</v>
      </c>
      <c r="AB136" s="33">
        <f t="shared" si="88"/>
        <v>0</v>
      </c>
      <c r="AC136" s="308">
        <f t="shared" si="89"/>
        <v>0</v>
      </c>
      <c r="AD136" s="101">
        <f t="shared" si="90"/>
        <v>0</v>
      </c>
      <c r="AE136" s="101">
        <f t="shared" si="91"/>
        <v>0</v>
      </c>
      <c r="AF136" s="197">
        <f t="shared" si="74"/>
        <v>0</v>
      </c>
      <c r="AG136" s="197">
        <f t="shared" si="75"/>
        <v>0</v>
      </c>
      <c r="AH136" s="197">
        <f t="shared" si="76"/>
        <v>0</v>
      </c>
      <c r="AI136" s="202">
        <f t="shared" si="77"/>
        <v>0</v>
      </c>
      <c r="AK136" s="71">
        <v>131</v>
      </c>
      <c r="AL136" s="33">
        <f t="shared" si="92"/>
        <v>0</v>
      </c>
      <c r="AM136" s="33">
        <f t="shared" si="93"/>
        <v>0</v>
      </c>
      <c r="AN136" s="33">
        <f t="shared" si="94"/>
        <v>0</v>
      </c>
      <c r="AO136" s="33">
        <f t="shared" si="95"/>
        <v>0</v>
      </c>
      <c r="AP136" s="33">
        <f t="shared" si="96"/>
        <v>0</v>
      </c>
      <c r="AQ136" s="197">
        <f t="shared" si="78"/>
        <v>0</v>
      </c>
      <c r="AR136" s="197">
        <f t="shared" si="79"/>
        <v>0</v>
      </c>
      <c r="AS136" s="197">
        <f t="shared" si="80"/>
        <v>0</v>
      </c>
      <c r="AT136" s="197">
        <f t="shared" si="81"/>
        <v>0</v>
      </c>
      <c r="AU136" s="33"/>
      <c r="AV136" s="33"/>
      <c r="AW136" s="33"/>
      <c r="AX136" s="33"/>
      <c r="AY136" s="76"/>
    </row>
    <row r="137" spans="3:51">
      <c r="C137" s="169" t="s">
        <v>12</v>
      </c>
      <c r="D137" s="4">
        <v>0.61</v>
      </c>
      <c r="E137" s="191" t="s">
        <v>228</v>
      </c>
      <c r="F137" s="346">
        <f>IF(OR(Tableau145[[#This Row],[Type]]="Feuillus",Tableau145[[#This Row],[Type]]="Peupliers"),1.56,1.3)</f>
        <v>1.56</v>
      </c>
      <c r="I137" s="55">
        <v>132</v>
      </c>
      <c r="J137" s="33">
        <f t="shared" si="99"/>
        <v>0</v>
      </c>
      <c r="K137" s="33">
        <f t="shared" si="100"/>
        <v>0</v>
      </c>
      <c r="L137" s="33">
        <f t="shared" si="101"/>
        <v>0</v>
      </c>
      <c r="M137" s="33">
        <f t="shared" si="102"/>
        <v>0</v>
      </c>
      <c r="N137" s="33">
        <f t="shared" si="82"/>
        <v>0</v>
      </c>
      <c r="O137" s="34">
        <f t="shared" si="83"/>
        <v>0</v>
      </c>
      <c r="P137" s="55">
        <v>132</v>
      </c>
      <c r="Q137" s="33">
        <f t="shared" si="97"/>
        <v>0</v>
      </c>
      <c r="R137" s="33">
        <f t="shared" si="103"/>
        <v>0</v>
      </c>
      <c r="S137" s="33">
        <f t="shared" si="104"/>
        <v>0</v>
      </c>
      <c r="T137" s="33">
        <f t="shared" si="84"/>
        <v>0</v>
      </c>
      <c r="U137" s="33">
        <f t="shared" si="98"/>
        <v>0</v>
      </c>
      <c r="V137" s="33">
        <f t="shared" si="85"/>
        <v>0</v>
      </c>
      <c r="W137" s="33">
        <v>0</v>
      </c>
      <c r="X137" s="33">
        <f t="shared" si="86"/>
        <v>0</v>
      </c>
      <c r="Y137" s="38">
        <f t="shared" si="87"/>
        <v>0</v>
      </c>
      <c r="AA137" s="71">
        <v>132</v>
      </c>
      <c r="AB137" s="33">
        <f t="shared" si="88"/>
        <v>0</v>
      </c>
      <c r="AC137" s="308">
        <f t="shared" si="89"/>
        <v>0</v>
      </c>
      <c r="AD137" s="101">
        <f t="shared" si="90"/>
        <v>0</v>
      </c>
      <c r="AE137" s="101">
        <f t="shared" si="91"/>
        <v>0</v>
      </c>
      <c r="AF137" s="197">
        <f t="shared" si="74"/>
        <v>0</v>
      </c>
      <c r="AG137" s="197">
        <f t="shared" si="75"/>
        <v>0</v>
      </c>
      <c r="AH137" s="197">
        <f t="shared" si="76"/>
        <v>0</v>
      </c>
      <c r="AI137" s="202">
        <f t="shared" si="77"/>
        <v>0</v>
      </c>
      <c r="AK137" s="71">
        <v>132</v>
      </c>
      <c r="AL137" s="33">
        <f t="shared" si="92"/>
        <v>0</v>
      </c>
      <c r="AM137" s="33">
        <f t="shared" si="93"/>
        <v>0</v>
      </c>
      <c r="AN137" s="33">
        <f t="shared" si="94"/>
        <v>0</v>
      </c>
      <c r="AO137" s="33">
        <f t="shared" si="95"/>
        <v>0</v>
      </c>
      <c r="AP137" s="33">
        <f t="shared" si="96"/>
        <v>0</v>
      </c>
      <c r="AQ137" s="197">
        <f t="shared" si="78"/>
        <v>0</v>
      </c>
      <c r="AR137" s="197">
        <f t="shared" si="79"/>
        <v>0</v>
      </c>
      <c r="AS137" s="197">
        <f t="shared" si="80"/>
        <v>0</v>
      </c>
      <c r="AT137" s="197">
        <f t="shared" si="81"/>
        <v>0</v>
      </c>
      <c r="AU137" s="33"/>
      <c r="AV137" s="33"/>
      <c r="AW137" s="33"/>
      <c r="AX137" s="33"/>
      <c r="AY137" s="76"/>
    </row>
    <row r="138" spans="3:51">
      <c r="C138" s="169" t="s">
        <v>13</v>
      </c>
      <c r="D138" s="4">
        <v>0.66</v>
      </c>
      <c r="E138" s="191" t="s">
        <v>228</v>
      </c>
      <c r="F138" s="346">
        <f>IF(OR(Tableau145[[#This Row],[Type]]="Feuillus",Tableau145[[#This Row],[Type]]="Peupliers"),1.56,1.3)</f>
        <v>1.56</v>
      </c>
      <c r="I138" s="55">
        <v>133</v>
      </c>
      <c r="J138" s="33">
        <f t="shared" si="99"/>
        <v>0</v>
      </c>
      <c r="K138" s="33">
        <f t="shared" si="100"/>
        <v>0</v>
      </c>
      <c r="L138" s="33">
        <f t="shared" si="101"/>
        <v>0</v>
      </c>
      <c r="M138" s="33">
        <f t="shared" si="102"/>
        <v>0</v>
      </c>
      <c r="N138" s="33">
        <f t="shared" si="82"/>
        <v>0</v>
      </c>
      <c r="O138" s="34">
        <f t="shared" si="83"/>
        <v>0</v>
      </c>
      <c r="P138" s="55">
        <v>133</v>
      </c>
      <c r="Q138" s="33">
        <f t="shared" si="97"/>
        <v>0</v>
      </c>
      <c r="R138" s="33">
        <f t="shared" si="103"/>
        <v>0</v>
      </c>
      <c r="S138" s="33">
        <f t="shared" si="104"/>
        <v>0</v>
      </c>
      <c r="T138" s="33">
        <f t="shared" si="84"/>
        <v>0</v>
      </c>
      <c r="U138" s="33">
        <f t="shared" si="98"/>
        <v>0</v>
      </c>
      <c r="V138" s="33">
        <f t="shared" si="85"/>
        <v>0</v>
      </c>
      <c r="W138" s="33">
        <v>0</v>
      </c>
      <c r="X138" s="33">
        <f t="shared" si="86"/>
        <v>0</v>
      </c>
      <c r="Y138" s="38">
        <f t="shared" si="87"/>
        <v>0</v>
      </c>
      <c r="AA138" s="71">
        <v>133</v>
      </c>
      <c r="AB138" s="33">
        <f t="shared" si="88"/>
        <v>0</v>
      </c>
      <c r="AC138" s="308">
        <f t="shared" si="89"/>
        <v>0</v>
      </c>
      <c r="AD138" s="101">
        <f t="shared" si="90"/>
        <v>0</v>
      </c>
      <c r="AE138" s="101">
        <f t="shared" si="91"/>
        <v>0</v>
      </c>
      <c r="AF138" s="197">
        <f t="shared" si="74"/>
        <v>0</v>
      </c>
      <c r="AG138" s="197">
        <f t="shared" si="75"/>
        <v>0</v>
      </c>
      <c r="AH138" s="197">
        <f t="shared" si="76"/>
        <v>0</v>
      </c>
      <c r="AI138" s="202">
        <f t="shared" si="77"/>
        <v>0</v>
      </c>
      <c r="AK138" s="71">
        <v>133</v>
      </c>
      <c r="AL138" s="33">
        <f t="shared" si="92"/>
        <v>0</v>
      </c>
      <c r="AM138" s="33">
        <f t="shared" si="93"/>
        <v>0</v>
      </c>
      <c r="AN138" s="33">
        <f t="shared" si="94"/>
        <v>0</v>
      </c>
      <c r="AO138" s="33">
        <f t="shared" si="95"/>
        <v>0</v>
      </c>
      <c r="AP138" s="33">
        <f t="shared" si="96"/>
        <v>0</v>
      </c>
      <c r="AQ138" s="197">
        <f t="shared" si="78"/>
        <v>0</v>
      </c>
      <c r="AR138" s="197">
        <f t="shared" si="79"/>
        <v>0</v>
      </c>
      <c r="AS138" s="197">
        <f t="shared" si="80"/>
        <v>0</v>
      </c>
      <c r="AT138" s="197">
        <f t="shared" si="81"/>
        <v>0</v>
      </c>
      <c r="AU138" s="33"/>
      <c r="AV138" s="33"/>
      <c r="AW138" s="33"/>
      <c r="AX138" s="33"/>
      <c r="AY138" s="76"/>
    </row>
    <row r="139" spans="3:51">
      <c r="C139" s="170" t="s">
        <v>14</v>
      </c>
      <c r="D139" s="135">
        <v>0.47</v>
      </c>
      <c r="E139" s="191" t="s">
        <v>228</v>
      </c>
      <c r="F139" s="346">
        <f>IF(OR(Tableau145[[#This Row],[Type]]="Feuillus",Tableau145[[#This Row],[Type]]="Peupliers"),1.56,1.3)</f>
        <v>1.56</v>
      </c>
      <c r="I139" s="55">
        <v>134</v>
      </c>
      <c r="J139" s="33">
        <f t="shared" si="99"/>
        <v>0</v>
      </c>
      <c r="K139" s="33">
        <f t="shared" si="100"/>
        <v>0</v>
      </c>
      <c r="L139" s="33">
        <f t="shared" si="101"/>
        <v>0</v>
      </c>
      <c r="M139" s="33">
        <f t="shared" si="102"/>
        <v>0</v>
      </c>
      <c r="N139" s="33">
        <f t="shared" si="82"/>
        <v>0</v>
      </c>
      <c r="O139" s="34">
        <f t="shared" si="83"/>
        <v>0</v>
      </c>
      <c r="P139" s="55">
        <v>134</v>
      </c>
      <c r="Q139" s="33">
        <f t="shared" si="97"/>
        <v>0</v>
      </c>
      <c r="R139" s="33">
        <f t="shared" si="103"/>
        <v>0</v>
      </c>
      <c r="S139" s="33">
        <f t="shared" si="104"/>
        <v>0</v>
      </c>
      <c r="T139" s="33">
        <f t="shared" si="84"/>
        <v>0</v>
      </c>
      <c r="U139" s="33">
        <f t="shared" si="98"/>
        <v>0</v>
      </c>
      <c r="V139" s="33">
        <f t="shared" si="85"/>
        <v>0</v>
      </c>
      <c r="W139" s="33">
        <v>0</v>
      </c>
      <c r="X139" s="33">
        <f t="shared" si="86"/>
        <v>0</v>
      </c>
      <c r="Y139" s="38">
        <f t="shared" si="87"/>
        <v>0</v>
      </c>
      <c r="AA139" s="71">
        <v>134</v>
      </c>
      <c r="AB139" s="33">
        <f t="shared" si="88"/>
        <v>0</v>
      </c>
      <c r="AC139" s="308">
        <f t="shared" si="89"/>
        <v>0</v>
      </c>
      <c r="AD139" s="101">
        <f t="shared" si="90"/>
        <v>0</v>
      </c>
      <c r="AE139" s="101">
        <f t="shared" si="91"/>
        <v>0</v>
      </c>
      <c r="AF139" s="197">
        <f t="shared" si="74"/>
        <v>0</v>
      </c>
      <c r="AG139" s="197">
        <f t="shared" si="75"/>
        <v>0</v>
      </c>
      <c r="AH139" s="197">
        <f t="shared" si="76"/>
        <v>0</v>
      </c>
      <c r="AI139" s="202">
        <f t="shared" si="77"/>
        <v>0</v>
      </c>
      <c r="AK139" s="71">
        <v>134</v>
      </c>
      <c r="AL139" s="33">
        <f t="shared" si="92"/>
        <v>0</v>
      </c>
      <c r="AM139" s="33">
        <f t="shared" si="93"/>
        <v>0</v>
      </c>
      <c r="AN139" s="33">
        <f t="shared" si="94"/>
        <v>0</v>
      </c>
      <c r="AO139" s="33">
        <f t="shared" si="95"/>
        <v>0</v>
      </c>
      <c r="AP139" s="33">
        <f t="shared" si="96"/>
        <v>0</v>
      </c>
      <c r="AQ139" s="197">
        <f t="shared" si="78"/>
        <v>0</v>
      </c>
      <c r="AR139" s="197">
        <f t="shared" si="79"/>
        <v>0</v>
      </c>
      <c r="AS139" s="197">
        <f t="shared" si="80"/>
        <v>0</v>
      </c>
      <c r="AT139" s="197">
        <f t="shared" si="81"/>
        <v>0</v>
      </c>
      <c r="AU139" s="33"/>
      <c r="AV139" s="33"/>
      <c r="AW139" s="33"/>
      <c r="AX139" s="33"/>
      <c r="AY139" s="76"/>
    </row>
    <row r="140" spans="3:51">
      <c r="C140" s="169" t="s">
        <v>15</v>
      </c>
      <c r="D140" s="4">
        <v>0.67</v>
      </c>
      <c r="E140" s="191" t="s">
        <v>228</v>
      </c>
      <c r="F140" s="346">
        <f>IF(OR(Tableau145[[#This Row],[Type]]="Feuillus",Tableau145[[#This Row],[Type]]="Peupliers"),1.56,1.3)</f>
        <v>1.56</v>
      </c>
      <c r="I140" s="55">
        <v>135</v>
      </c>
      <c r="J140" s="33">
        <f t="shared" si="99"/>
        <v>0</v>
      </c>
      <c r="K140" s="33">
        <f t="shared" si="100"/>
        <v>0</v>
      </c>
      <c r="L140" s="33">
        <f t="shared" si="101"/>
        <v>0</v>
      </c>
      <c r="M140" s="33">
        <f t="shared" si="102"/>
        <v>0</v>
      </c>
      <c r="N140" s="33">
        <f t="shared" si="82"/>
        <v>0</v>
      </c>
      <c r="O140" s="34">
        <f t="shared" si="83"/>
        <v>0</v>
      </c>
      <c r="P140" s="55">
        <v>135</v>
      </c>
      <c r="Q140" s="33">
        <f t="shared" si="97"/>
        <v>0</v>
      </c>
      <c r="R140" s="33">
        <f t="shared" si="103"/>
        <v>0</v>
      </c>
      <c r="S140" s="33">
        <f t="shared" si="104"/>
        <v>0</v>
      </c>
      <c r="T140" s="33">
        <f t="shared" si="84"/>
        <v>0</v>
      </c>
      <c r="U140" s="33">
        <f t="shared" si="98"/>
        <v>0</v>
      </c>
      <c r="V140" s="33">
        <f t="shared" si="85"/>
        <v>0</v>
      </c>
      <c r="W140" s="33">
        <v>0</v>
      </c>
      <c r="X140" s="33">
        <f t="shared" si="86"/>
        <v>0</v>
      </c>
      <c r="Y140" s="38">
        <f t="shared" si="87"/>
        <v>0</v>
      </c>
      <c r="AA140" s="71">
        <v>135</v>
      </c>
      <c r="AB140" s="33">
        <f t="shared" si="88"/>
        <v>0</v>
      </c>
      <c r="AC140" s="308">
        <f t="shared" si="89"/>
        <v>0</v>
      </c>
      <c r="AD140" s="101">
        <f t="shared" si="90"/>
        <v>0</v>
      </c>
      <c r="AE140" s="101">
        <f t="shared" si="91"/>
        <v>0</v>
      </c>
      <c r="AF140" s="197">
        <f t="shared" si="74"/>
        <v>0</v>
      </c>
      <c r="AG140" s="197">
        <f t="shared" si="75"/>
        <v>0</v>
      </c>
      <c r="AH140" s="197">
        <f t="shared" si="76"/>
        <v>0</v>
      </c>
      <c r="AI140" s="202">
        <f t="shared" si="77"/>
        <v>0</v>
      </c>
      <c r="AK140" s="71">
        <v>135</v>
      </c>
      <c r="AL140" s="33">
        <f t="shared" si="92"/>
        <v>0</v>
      </c>
      <c r="AM140" s="33">
        <f t="shared" si="93"/>
        <v>0</v>
      </c>
      <c r="AN140" s="33">
        <f t="shared" si="94"/>
        <v>0</v>
      </c>
      <c r="AO140" s="33">
        <f t="shared" si="95"/>
        <v>0</v>
      </c>
      <c r="AP140" s="33">
        <f t="shared" si="96"/>
        <v>0</v>
      </c>
      <c r="AQ140" s="197">
        <f t="shared" si="78"/>
        <v>0</v>
      </c>
      <c r="AR140" s="197">
        <f t="shared" si="79"/>
        <v>0</v>
      </c>
      <c r="AS140" s="197">
        <f t="shared" si="80"/>
        <v>0</v>
      </c>
      <c r="AT140" s="197">
        <f t="shared" si="81"/>
        <v>0</v>
      </c>
      <c r="AU140" s="33"/>
      <c r="AV140" s="33"/>
      <c r="AW140" s="33"/>
      <c r="AX140" s="33"/>
      <c r="AY140" s="76"/>
    </row>
    <row r="141" spans="3:51">
      <c r="C141" s="169" t="s">
        <v>16</v>
      </c>
      <c r="D141" s="4">
        <v>0.7</v>
      </c>
      <c r="E141" s="191" t="s">
        <v>228</v>
      </c>
      <c r="F141" s="346">
        <f>IF(OR(Tableau145[[#This Row],[Type]]="Feuillus",Tableau145[[#This Row],[Type]]="Peupliers"),1.56,1.3)</f>
        <v>1.56</v>
      </c>
      <c r="I141" s="55">
        <v>136</v>
      </c>
      <c r="J141" s="33">
        <f t="shared" si="99"/>
        <v>0</v>
      </c>
      <c r="K141" s="33">
        <f t="shared" si="100"/>
        <v>0</v>
      </c>
      <c r="L141" s="33">
        <f t="shared" si="101"/>
        <v>0</v>
      </c>
      <c r="M141" s="33">
        <f t="shared" si="102"/>
        <v>0</v>
      </c>
      <c r="N141" s="33">
        <f t="shared" si="82"/>
        <v>0</v>
      </c>
      <c r="O141" s="34">
        <f t="shared" si="83"/>
        <v>0</v>
      </c>
      <c r="P141" s="55">
        <v>136</v>
      </c>
      <c r="Q141" s="33">
        <f t="shared" si="97"/>
        <v>0</v>
      </c>
      <c r="R141" s="33">
        <f t="shared" si="103"/>
        <v>0</v>
      </c>
      <c r="S141" s="33">
        <f t="shared" si="104"/>
        <v>0</v>
      </c>
      <c r="T141" s="33">
        <f t="shared" si="84"/>
        <v>0</v>
      </c>
      <c r="U141" s="33">
        <f t="shared" si="98"/>
        <v>0</v>
      </c>
      <c r="V141" s="33">
        <f t="shared" si="85"/>
        <v>0</v>
      </c>
      <c r="W141" s="33">
        <v>0</v>
      </c>
      <c r="X141" s="33">
        <f t="shared" si="86"/>
        <v>0</v>
      </c>
      <c r="Y141" s="38">
        <f t="shared" si="87"/>
        <v>0</v>
      </c>
      <c r="AA141" s="71">
        <v>136</v>
      </c>
      <c r="AB141" s="33">
        <f t="shared" si="88"/>
        <v>0</v>
      </c>
      <c r="AC141" s="308">
        <f t="shared" si="89"/>
        <v>0</v>
      </c>
      <c r="AD141" s="101">
        <f t="shared" si="90"/>
        <v>0</v>
      </c>
      <c r="AE141" s="101">
        <f t="shared" si="91"/>
        <v>0</v>
      </c>
      <c r="AF141" s="197">
        <f t="shared" si="74"/>
        <v>0</v>
      </c>
      <c r="AG141" s="197">
        <f t="shared" si="75"/>
        <v>0</v>
      </c>
      <c r="AH141" s="197">
        <f t="shared" si="76"/>
        <v>0</v>
      </c>
      <c r="AI141" s="202">
        <f t="shared" si="77"/>
        <v>0</v>
      </c>
      <c r="AK141" s="71">
        <v>136</v>
      </c>
      <c r="AL141" s="33">
        <f t="shared" si="92"/>
        <v>0</v>
      </c>
      <c r="AM141" s="33">
        <f t="shared" si="93"/>
        <v>0</v>
      </c>
      <c r="AN141" s="33">
        <f t="shared" si="94"/>
        <v>0</v>
      </c>
      <c r="AO141" s="33">
        <f t="shared" si="95"/>
        <v>0</v>
      </c>
      <c r="AP141" s="33">
        <f t="shared" si="96"/>
        <v>0</v>
      </c>
      <c r="AQ141" s="197">
        <f t="shared" si="78"/>
        <v>0</v>
      </c>
      <c r="AR141" s="197">
        <f t="shared" si="79"/>
        <v>0</v>
      </c>
      <c r="AS141" s="197">
        <f t="shared" si="80"/>
        <v>0</v>
      </c>
      <c r="AT141" s="197">
        <f t="shared" si="81"/>
        <v>0</v>
      </c>
      <c r="AU141" s="33"/>
      <c r="AV141" s="33"/>
      <c r="AW141" s="33"/>
      <c r="AX141" s="33"/>
      <c r="AY141" s="76"/>
    </row>
    <row r="142" spans="3:51">
      <c r="C142" s="169" t="s">
        <v>17</v>
      </c>
      <c r="D142" s="4">
        <v>0.54</v>
      </c>
      <c r="E142" s="191" t="s">
        <v>228</v>
      </c>
      <c r="F142" s="346">
        <f>IF(OR(Tableau145[[#This Row],[Type]]="Feuillus",Tableau145[[#This Row],[Type]]="Peupliers"),1.56,1.3)</f>
        <v>1.56</v>
      </c>
      <c r="I142" s="55">
        <v>137</v>
      </c>
      <c r="J142" s="33">
        <f t="shared" si="99"/>
        <v>0</v>
      </c>
      <c r="K142" s="33">
        <f t="shared" si="100"/>
        <v>0</v>
      </c>
      <c r="L142" s="33">
        <f t="shared" si="101"/>
        <v>0</v>
      </c>
      <c r="M142" s="33">
        <f t="shared" si="102"/>
        <v>0</v>
      </c>
      <c r="N142" s="33">
        <f t="shared" si="82"/>
        <v>0</v>
      </c>
      <c r="O142" s="34">
        <f t="shared" si="83"/>
        <v>0</v>
      </c>
      <c r="P142" s="55">
        <v>137</v>
      </c>
      <c r="Q142" s="33">
        <f t="shared" si="97"/>
        <v>0</v>
      </c>
      <c r="R142" s="33">
        <f t="shared" si="103"/>
        <v>0</v>
      </c>
      <c r="S142" s="33">
        <f t="shared" si="104"/>
        <v>0</v>
      </c>
      <c r="T142" s="33">
        <f t="shared" si="84"/>
        <v>0</v>
      </c>
      <c r="U142" s="33">
        <f t="shared" si="98"/>
        <v>0</v>
      </c>
      <c r="V142" s="33">
        <f t="shared" si="85"/>
        <v>0</v>
      </c>
      <c r="W142" s="33">
        <v>0</v>
      </c>
      <c r="X142" s="33">
        <f t="shared" si="86"/>
        <v>0</v>
      </c>
      <c r="Y142" s="38">
        <f t="shared" si="87"/>
        <v>0</v>
      </c>
      <c r="AA142" s="71">
        <v>137</v>
      </c>
      <c r="AB142" s="33">
        <f t="shared" si="88"/>
        <v>0</v>
      </c>
      <c r="AC142" s="308">
        <f t="shared" si="89"/>
        <v>0</v>
      </c>
      <c r="AD142" s="101">
        <f t="shared" si="90"/>
        <v>0</v>
      </c>
      <c r="AE142" s="101">
        <f t="shared" si="91"/>
        <v>0</v>
      </c>
      <c r="AF142" s="197">
        <f t="shared" si="74"/>
        <v>0</v>
      </c>
      <c r="AG142" s="197">
        <f t="shared" si="75"/>
        <v>0</v>
      </c>
      <c r="AH142" s="197">
        <f t="shared" si="76"/>
        <v>0</v>
      </c>
      <c r="AI142" s="202">
        <f t="shared" si="77"/>
        <v>0</v>
      </c>
      <c r="AK142" s="71">
        <v>137</v>
      </c>
      <c r="AL142" s="33">
        <f t="shared" si="92"/>
        <v>0</v>
      </c>
      <c r="AM142" s="33">
        <f t="shared" si="93"/>
        <v>0</v>
      </c>
      <c r="AN142" s="33">
        <f t="shared" si="94"/>
        <v>0</v>
      </c>
      <c r="AO142" s="33">
        <f t="shared" si="95"/>
        <v>0</v>
      </c>
      <c r="AP142" s="33">
        <f t="shared" si="96"/>
        <v>0</v>
      </c>
      <c r="AQ142" s="197">
        <f t="shared" si="78"/>
        <v>0</v>
      </c>
      <c r="AR142" s="197">
        <f t="shared" si="79"/>
        <v>0</v>
      </c>
      <c r="AS142" s="197">
        <f t="shared" si="80"/>
        <v>0</v>
      </c>
      <c r="AT142" s="197">
        <f t="shared" si="81"/>
        <v>0</v>
      </c>
      <c r="AU142" s="33"/>
      <c r="AV142" s="33"/>
      <c r="AW142" s="33"/>
      <c r="AX142" s="33"/>
      <c r="AY142" s="76"/>
    </row>
    <row r="143" spans="3:51">
      <c r="C143" s="169" t="s">
        <v>18</v>
      </c>
      <c r="D143" s="4">
        <v>0.65</v>
      </c>
      <c r="E143" s="191" t="s">
        <v>228</v>
      </c>
      <c r="F143" s="346">
        <f>IF(OR(Tableau145[[#This Row],[Type]]="Feuillus",Tableau145[[#This Row],[Type]]="Peupliers"),1.56,1.3)</f>
        <v>1.56</v>
      </c>
      <c r="I143" s="55">
        <v>138</v>
      </c>
      <c r="J143" s="33">
        <f t="shared" si="99"/>
        <v>0</v>
      </c>
      <c r="K143" s="33">
        <f t="shared" si="100"/>
        <v>0</v>
      </c>
      <c r="L143" s="33">
        <f t="shared" si="101"/>
        <v>0</v>
      </c>
      <c r="M143" s="33">
        <f t="shared" si="102"/>
        <v>0</v>
      </c>
      <c r="N143" s="33">
        <f t="shared" si="82"/>
        <v>0</v>
      </c>
      <c r="O143" s="34">
        <f t="shared" si="83"/>
        <v>0</v>
      </c>
      <c r="P143" s="55">
        <v>138</v>
      </c>
      <c r="Q143" s="33">
        <f t="shared" si="97"/>
        <v>0</v>
      </c>
      <c r="R143" s="33">
        <f t="shared" si="103"/>
        <v>0</v>
      </c>
      <c r="S143" s="33">
        <f t="shared" si="104"/>
        <v>0</v>
      </c>
      <c r="T143" s="33">
        <f t="shared" si="84"/>
        <v>0</v>
      </c>
      <c r="U143" s="33">
        <f t="shared" si="98"/>
        <v>0</v>
      </c>
      <c r="V143" s="33">
        <f t="shared" si="85"/>
        <v>0</v>
      </c>
      <c r="W143" s="33">
        <v>0</v>
      </c>
      <c r="X143" s="33">
        <f t="shared" si="86"/>
        <v>0</v>
      </c>
      <c r="Y143" s="38">
        <f t="shared" si="87"/>
        <v>0</v>
      </c>
      <c r="AA143" s="71">
        <v>138</v>
      </c>
      <c r="AB143" s="33">
        <f t="shared" si="88"/>
        <v>0</v>
      </c>
      <c r="AC143" s="308">
        <f t="shared" si="89"/>
        <v>0</v>
      </c>
      <c r="AD143" s="101">
        <f t="shared" si="90"/>
        <v>0</v>
      </c>
      <c r="AE143" s="101">
        <f t="shared" si="91"/>
        <v>0</v>
      </c>
      <c r="AF143" s="197">
        <f t="shared" si="74"/>
        <v>0</v>
      </c>
      <c r="AG143" s="197">
        <f t="shared" si="75"/>
        <v>0</v>
      </c>
      <c r="AH143" s="197">
        <f t="shared" si="76"/>
        <v>0</v>
      </c>
      <c r="AI143" s="202">
        <f t="shared" si="77"/>
        <v>0</v>
      </c>
      <c r="AK143" s="71">
        <v>138</v>
      </c>
      <c r="AL143" s="33">
        <f t="shared" si="92"/>
        <v>0</v>
      </c>
      <c r="AM143" s="33">
        <f t="shared" si="93"/>
        <v>0</v>
      </c>
      <c r="AN143" s="33">
        <f t="shared" si="94"/>
        <v>0</v>
      </c>
      <c r="AO143" s="33">
        <f t="shared" si="95"/>
        <v>0</v>
      </c>
      <c r="AP143" s="33">
        <f t="shared" si="96"/>
        <v>0</v>
      </c>
      <c r="AQ143" s="197">
        <f t="shared" si="78"/>
        <v>0</v>
      </c>
      <c r="AR143" s="197">
        <f t="shared" si="79"/>
        <v>0</v>
      </c>
      <c r="AS143" s="197">
        <f t="shared" si="80"/>
        <v>0</v>
      </c>
      <c r="AT143" s="197">
        <f t="shared" si="81"/>
        <v>0</v>
      </c>
      <c r="AU143" s="33"/>
      <c r="AV143" s="33"/>
      <c r="AW143" s="33"/>
      <c r="AX143" s="33"/>
      <c r="AY143" s="76"/>
    </row>
    <row r="144" spans="3:51">
      <c r="C144" s="169" t="s">
        <v>19</v>
      </c>
      <c r="D144" s="4">
        <v>0.56000000000000005</v>
      </c>
      <c r="E144" s="191" t="s">
        <v>228</v>
      </c>
      <c r="F144" s="346">
        <f>IF(OR(Tableau145[[#This Row],[Type]]="Feuillus",Tableau145[[#This Row],[Type]]="Peupliers"),1.56,1.3)</f>
        <v>1.56</v>
      </c>
      <c r="I144" s="55">
        <v>139</v>
      </c>
      <c r="J144" s="33">
        <f t="shared" si="99"/>
        <v>0</v>
      </c>
      <c r="K144" s="33">
        <f t="shared" si="100"/>
        <v>0</v>
      </c>
      <c r="L144" s="33">
        <f t="shared" si="101"/>
        <v>0</v>
      </c>
      <c r="M144" s="33">
        <f t="shared" si="102"/>
        <v>0</v>
      </c>
      <c r="N144" s="33">
        <f t="shared" si="82"/>
        <v>0</v>
      </c>
      <c r="O144" s="34">
        <f t="shared" si="83"/>
        <v>0</v>
      </c>
      <c r="P144" s="55">
        <v>139</v>
      </c>
      <c r="Q144" s="33">
        <f t="shared" si="97"/>
        <v>0</v>
      </c>
      <c r="R144" s="33">
        <f t="shared" si="103"/>
        <v>0</v>
      </c>
      <c r="S144" s="33">
        <f t="shared" si="104"/>
        <v>0</v>
      </c>
      <c r="T144" s="33">
        <f t="shared" si="84"/>
        <v>0</v>
      </c>
      <c r="U144" s="33">
        <f t="shared" si="98"/>
        <v>0</v>
      </c>
      <c r="V144" s="33">
        <f t="shared" si="85"/>
        <v>0</v>
      </c>
      <c r="W144" s="33">
        <v>0</v>
      </c>
      <c r="X144" s="33">
        <f t="shared" si="86"/>
        <v>0</v>
      </c>
      <c r="Y144" s="38">
        <f t="shared" si="87"/>
        <v>0</v>
      </c>
      <c r="AA144" s="71">
        <v>139</v>
      </c>
      <c r="AB144" s="33">
        <f t="shared" si="88"/>
        <v>0</v>
      </c>
      <c r="AC144" s="308">
        <f t="shared" si="89"/>
        <v>0</v>
      </c>
      <c r="AD144" s="101">
        <f t="shared" si="90"/>
        <v>0</v>
      </c>
      <c r="AE144" s="101">
        <f t="shared" si="91"/>
        <v>0</v>
      </c>
      <c r="AF144" s="197">
        <f t="shared" si="74"/>
        <v>0</v>
      </c>
      <c r="AG144" s="197">
        <f t="shared" si="75"/>
        <v>0</v>
      </c>
      <c r="AH144" s="197">
        <f t="shared" si="76"/>
        <v>0</v>
      </c>
      <c r="AI144" s="202">
        <f t="shared" si="77"/>
        <v>0</v>
      </c>
      <c r="AK144" s="71">
        <v>139</v>
      </c>
      <c r="AL144" s="33">
        <f t="shared" si="92"/>
        <v>0</v>
      </c>
      <c r="AM144" s="33">
        <f t="shared" si="93"/>
        <v>0</v>
      </c>
      <c r="AN144" s="33">
        <f t="shared" si="94"/>
        <v>0</v>
      </c>
      <c r="AO144" s="33">
        <f t="shared" si="95"/>
        <v>0</v>
      </c>
      <c r="AP144" s="33">
        <f t="shared" si="96"/>
        <v>0</v>
      </c>
      <c r="AQ144" s="197">
        <f t="shared" si="78"/>
        <v>0</v>
      </c>
      <c r="AR144" s="197">
        <f t="shared" si="79"/>
        <v>0</v>
      </c>
      <c r="AS144" s="197">
        <f t="shared" si="80"/>
        <v>0</v>
      </c>
      <c r="AT144" s="197">
        <f t="shared" si="81"/>
        <v>0</v>
      </c>
      <c r="AU144" s="33"/>
      <c r="AV144" s="33"/>
      <c r="AW144" s="33"/>
      <c r="AX144" s="33"/>
      <c r="AY144" s="76"/>
    </row>
    <row r="145" spans="3:51">
      <c r="C145" s="169" t="s">
        <v>20</v>
      </c>
      <c r="D145" s="343">
        <v>0.57899999999999996</v>
      </c>
      <c r="E145" s="191" t="s">
        <v>228</v>
      </c>
      <c r="F145" s="346">
        <f>IF(OR(Tableau145[[#This Row],[Type]]="Feuillus",Tableau145[[#This Row],[Type]]="Peupliers"),1.56,1.3)</f>
        <v>1.56</v>
      </c>
      <c r="I145" s="55">
        <v>140</v>
      </c>
      <c r="J145" s="33">
        <f t="shared" si="99"/>
        <v>0</v>
      </c>
      <c r="K145" s="33">
        <f t="shared" si="100"/>
        <v>0</v>
      </c>
      <c r="L145" s="33">
        <f t="shared" si="101"/>
        <v>0</v>
      </c>
      <c r="M145" s="33">
        <f t="shared" si="102"/>
        <v>0</v>
      </c>
      <c r="N145" s="33">
        <f t="shared" si="82"/>
        <v>0</v>
      </c>
      <c r="O145" s="34">
        <f t="shared" si="83"/>
        <v>0</v>
      </c>
      <c r="P145" s="55">
        <v>140</v>
      </c>
      <c r="Q145" s="33">
        <f t="shared" si="97"/>
        <v>0</v>
      </c>
      <c r="R145" s="33">
        <f t="shared" si="103"/>
        <v>0</v>
      </c>
      <c r="S145" s="33">
        <f t="shared" si="104"/>
        <v>0</v>
      </c>
      <c r="T145" s="33">
        <f t="shared" si="84"/>
        <v>0</v>
      </c>
      <c r="U145" s="33">
        <f t="shared" si="98"/>
        <v>0</v>
      </c>
      <c r="V145" s="33">
        <f t="shared" si="85"/>
        <v>0</v>
      </c>
      <c r="W145" s="33">
        <v>0</v>
      </c>
      <c r="X145" s="33">
        <f t="shared" si="86"/>
        <v>0</v>
      </c>
      <c r="Y145" s="38">
        <f t="shared" si="87"/>
        <v>0</v>
      </c>
      <c r="AA145" s="71">
        <v>140</v>
      </c>
      <c r="AB145" s="33">
        <f t="shared" si="88"/>
        <v>0</v>
      </c>
      <c r="AC145" s="308">
        <f t="shared" si="89"/>
        <v>0</v>
      </c>
      <c r="AD145" s="101">
        <f t="shared" si="90"/>
        <v>0</v>
      </c>
      <c r="AE145" s="101">
        <f t="shared" si="91"/>
        <v>0</v>
      </c>
      <c r="AF145" s="197">
        <f t="shared" si="74"/>
        <v>0</v>
      </c>
      <c r="AG145" s="197">
        <f t="shared" si="75"/>
        <v>0</v>
      </c>
      <c r="AH145" s="197">
        <f t="shared" si="76"/>
        <v>0</v>
      </c>
      <c r="AI145" s="202">
        <f t="shared" si="77"/>
        <v>0</v>
      </c>
      <c r="AK145" s="71">
        <v>140</v>
      </c>
      <c r="AL145" s="33">
        <f t="shared" si="92"/>
        <v>0</v>
      </c>
      <c r="AM145" s="33">
        <f t="shared" si="93"/>
        <v>0</v>
      </c>
      <c r="AN145" s="33">
        <f t="shared" si="94"/>
        <v>0</v>
      </c>
      <c r="AO145" s="33">
        <f t="shared" si="95"/>
        <v>0</v>
      </c>
      <c r="AP145" s="33">
        <f t="shared" si="96"/>
        <v>0</v>
      </c>
      <c r="AQ145" s="197">
        <f t="shared" si="78"/>
        <v>0</v>
      </c>
      <c r="AR145" s="197">
        <f t="shared" si="79"/>
        <v>0</v>
      </c>
      <c r="AS145" s="197">
        <f t="shared" si="80"/>
        <v>0</v>
      </c>
      <c r="AT145" s="197">
        <f t="shared" si="81"/>
        <v>0</v>
      </c>
      <c r="AU145" s="33"/>
      <c r="AV145" s="33"/>
      <c r="AW145" s="33"/>
      <c r="AX145" s="33"/>
      <c r="AY145" s="76"/>
    </row>
    <row r="146" spans="3:51">
      <c r="C146" s="169" t="s">
        <v>21</v>
      </c>
      <c r="D146" s="4">
        <v>0.64</v>
      </c>
      <c r="E146" s="191" t="s">
        <v>228</v>
      </c>
      <c r="F146" s="346">
        <f>IF(OR(Tableau145[[#This Row],[Type]]="Feuillus",Tableau145[[#This Row],[Type]]="Peupliers"),1.56,1.3)</f>
        <v>1.56</v>
      </c>
      <c r="I146" s="55">
        <v>141</v>
      </c>
      <c r="J146" s="33">
        <f t="shared" si="99"/>
        <v>0</v>
      </c>
      <c r="K146" s="33">
        <f t="shared" si="100"/>
        <v>0</v>
      </c>
      <c r="L146" s="33">
        <f t="shared" si="101"/>
        <v>0</v>
      </c>
      <c r="M146" s="33">
        <f t="shared" si="102"/>
        <v>0</v>
      </c>
      <c r="N146" s="33">
        <f t="shared" si="82"/>
        <v>0</v>
      </c>
      <c r="O146" s="34">
        <f t="shared" si="83"/>
        <v>0</v>
      </c>
      <c r="P146" s="55">
        <v>141</v>
      </c>
      <c r="Q146" s="33">
        <f t="shared" si="97"/>
        <v>0</v>
      </c>
      <c r="R146" s="33">
        <f t="shared" si="103"/>
        <v>0</v>
      </c>
      <c r="S146" s="33">
        <f t="shared" si="104"/>
        <v>0</v>
      </c>
      <c r="T146" s="33">
        <f t="shared" si="84"/>
        <v>0</v>
      </c>
      <c r="U146" s="33">
        <f t="shared" si="98"/>
        <v>0</v>
      </c>
      <c r="V146" s="33">
        <f t="shared" si="85"/>
        <v>0</v>
      </c>
      <c r="W146" s="33">
        <v>0</v>
      </c>
      <c r="X146" s="33">
        <f t="shared" si="86"/>
        <v>0</v>
      </c>
      <c r="Y146" s="38">
        <f t="shared" si="87"/>
        <v>0</v>
      </c>
      <c r="AA146" s="71">
        <v>141</v>
      </c>
      <c r="AB146" s="33">
        <f t="shared" si="88"/>
        <v>0</v>
      </c>
      <c r="AC146" s="308">
        <f t="shared" si="89"/>
        <v>0</v>
      </c>
      <c r="AD146" s="101">
        <f t="shared" si="90"/>
        <v>0</v>
      </c>
      <c r="AE146" s="101">
        <f t="shared" si="91"/>
        <v>0</v>
      </c>
      <c r="AF146" s="197">
        <f t="shared" si="74"/>
        <v>0</v>
      </c>
      <c r="AG146" s="197">
        <f t="shared" si="75"/>
        <v>0</v>
      </c>
      <c r="AH146" s="197">
        <f t="shared" si="76"/>
        <v>0</v>
      </c>
      <c r="AI146" s="202">
        <f t="shared" si="77"/>
        <v>0</v>
      </c>
      <c r="AK146" s="71">
        <v>141</v>
      </c>
      <c r="AL146" s="33">
        <f t="shared" si="92"/>
        <v>0</v>
      </c>
      <c r="AM146" s="33">
        <f t="shared" si="93"/>
        <v>0</v>
      </c>
      <c r="AN146" s="33">
        <f t="shared" si="94"/>
        <v>0</v>
      </c>
      <c r="AO146" s="33">
        <f t="shared" si="95"/>
        <v>0</v>
      </c>
      <c r="AP146" s="33">
        <f t="shared" si="96"/>
        <v>0</v>
      </c>
      <c r="AQ146" s="197">
        <f t="shared" si="78"/>
        <v>0</v>
      </c>
      <c r="AR146" s="197">
        <f t="shared" si="79"/>
        <v>0</v>
      </c>
      <c r="AS146" s="197">
        <f t="shared" si="80"/>
        <v>0</v>
      </c>
      <c r="AT146" s="197">
        <f t="shared" si="81"/>
        <v>0</v>
      </c>
      <c r="AU146" s="33"/>
      <c r="AV146" s="33"/>
      <c r="AW146" s="33"/>
      <c r="AX146" s="33"/>
      <c r="AY146" s="76"/>
    </row>
    <row r="147" spans="3:51">
      <c r="C147" s="169" t="s">
        <v>22</v>
      </c>
      <c r="D147" s="4">
        <v>0.73</v>
      </c>
      <c r="E147" s="191" t="s">
        <v>228</v>
      </c>
      <c r="F147" s="346">
        <f>IF(OR(Tableau145[[#This Row],[Type]]="Feuillus",Tableau145[[#This Row],[Type]]="Peupliers"),1.56,1.3)</f>
        <v>1.56</v>
      </c>
      <c r="I147" s="55">
        <v>142</v>
      </c>
      <c r="J147" s="33">
        <f t="shared" si="99"/>
        <v>0</v>
      </c>
      <c r="K147" s="33">
        <f t="shared" si="100"/>
        <v>0</v>
      </c>
      <c r="L147" s="33">
        <f t="shared" si="101"/>
        <v>0</v>
      </c>
      <c r="M147" s="33">
        <f t="shared" si="102"/>
        <v>0</v>
      </c>
      <c r="N147" s="33">
        <f t="shared" si="82"/>
        <v>0</v>
      </c>
      <c r="O147" s="34">
        <f t="shared" si="83"/>
        <v>0</v>
      </c>
      <c r="P147" s="55">
        <v>142</v>
      </c>
      <c r="Q147" s="33">
        <f t="shared" si="97"/>
        <v>0</v>
      </c>
      <c r="R147" s="33">
        <f t="shared" si="103"/>
        <v>0</v>
      </c>
      <c r="S147" s="33">
        <f t="shared" si="104"/>
        <v>0</v>
      </c>
      <c r="T147" s="33">
        <f t="shared" si="84"/>
        <v>0</v>
      </c>
      <c r="U147" s="33">
        <f t="shared" si="98"/>
        <v>0</v>
      </c>
      <c r="V147" s="33">
        <f t="shared" si="85"/>
        <v>0</v>
      </c>
      <c r="W147" s="33">
        <v>0</v>
      </c>
      <c r="X147" s="33">
        <f t="shared" si="86"/>
        <v>0</v>
      </c>
      <c r="Y147" s="38">
        <f t="shared" si="87"/>
        <v>0</v>
      </c>
      <c r="AA147" s="71">
        <v>142</v>
      </c>
      <c r="AB147" s="33">
        <f t="shared" si="88"/>
        <v>0</v>
      </c>
      <c r="AC147" s="308">
        <f t="shared" si="89"/>
        <v>0</v>
      </c>
      <c r="AD147" s="101">
        <f t="shared" si="90"/>
        <v>0</v>
      </c>
      <c r="AE147" s="101">
        <f t="shared" si="91"/>
        <v>0</v>
      </c>
      <c r="AF147" s="197">
        <f t="shared" si="74"/>
        <v>0</v>
      </c>
      <c r="AG147" s="197">
        <f t="shared" si="75"/>
        <v>0</v>
      </c>
      <c r="AH147" s="197">
        <f t="shared" si="76"/>
        <v>0</v>
      </c>
      <c r="AI147" s="202">
        <f t="shared" si="77"/>
        <v>0</v>
      </c>
      <c r="AK147" s="71">
        <v>142</v>
      </c>
      <c r="AL147" s="33">
        <f t="shared" si="92"/>
        <v>0</v>
      </c>
      <c r="AM147" s="33">
        <f t="shared" si="93"/>
        <v>0</v>
      </c>
      <c r="AN147" s="33">
        <f t="shared" si="94"/>
        <v>0</v>
      </c>
      <c r="AO147" s="33">
        <f t="shared" si="95"/>
        <v>0</v>
      </c>
      <c r="AP147" s="33">
        <f t="shared" si="96"/>
        <v>0</v>
      </c>
      <c r="AQ147" s="197">
        <f t="shared" si="78"/>
        <v>0</v>
      </c>
      <c r="AR147" s="197">
        <f t="shared" si="79"/>
        <v>0</v>
      </c>
      <c r="AS147" s="197">
        <f t="shared" si="80"/>
        <v>0</v>
      </c>
      <c r="AT147" s="197">
        <f t="shared" si="81"/>
        <v>0</v>
      </c>
      <c r="AU147" s="33"/>
      <c r="AV147" s="33"/>
      <c r="AW147" s="33"/>
      <c r="AX147" s="33"/>
      <c r="AY147" s="76"/>
    </row>
    <row r="148" spans="3:51">
      <c r="C148" s="169" t="s">
        <v>23</v>
      </c>
      <c r="D148" s="4">
        <v>0.56000000000000005</v>
      </c>
      <c r="E148" s="191" t="s">
        <v>228</v>
      </c>
      <c r="F148" s="346">
        <f>IF(OR(Tableau145[[#This Row],[Type]]="Feuillus",Tableau145[[#This Row],[Type]]="Peupliers"),1.56,1.3)</f>
        <v>1.56</v>
      </c>
      <c r="I148" s="55">
        <v>143</v>
      </c>
      <c r="J148" s="33">
        <f t="shared" si="99"/>
        <v>0</v>
      </c>
      <c r="K148" s="33">
        <f t="shared" si="100"/>
        <v>0</v>
      </c>
      <c r="L148" s="33">
        <f t="shared" si="101"/>
        <v>0</v>
      </c>
      <c r="M148" s="33">
        <f t="shared" si="102"/>
        <v>0</v>
      </c>
      <c r="N148" s="33">
        <f t="shared" si="82"/>
        <v>0</v>
      </c>
      <c r="O148" s="34">
        <f t="shared" si="83"/>
        <v>0</v>
      </c>
      <c r="P148" s="55">
        <v>143</v>
      </c>
      <c r="Q148" s="33">
        <f t="shared" si="97"/>
        <v>0</v>
      </c>
      <c r="R148" s="33">
        <f t="shared" si="103"/>
        <v>0</v>
      </c>
      <c r="S148" s="33">
        <f t="shared" si="104"/>
        <v>0</v>
      </c>
      <c r="T148" s="33">
        <f t="shared" si="84"/>
        <v>0</v>
      </c>
      <c r="U148" s="33">
        <f t="shared" si="98"/>
        <v>0</v>
      </c>
      <c r="V148" s="33">
        <f t="shared" si="85"/>
        <v>0</v>
      </c>
      <c r="W148" s="33">
        <v>0</v>
      </c>
      <c r="X148" s="33">
        <f t="shared" si="86"/>
        <v>0</v>
      </c>
      <c r="Y148" s="38">
        <f t="shared" si="87"/>
        <v>0</v>
      </c>
      <c r="AA148" s="71">
        <v>143</v>
      </c>
      <c r="AB148" s="33">
        <f t="shared" si="88"/>
        <v>0</v>
      </c>
      <c r="AC148" s="308">
        <f t="shared" si="89"/>
        <v>0</v>
      </c>
      <c r="AD148" s="101">
        <f t="shared" si="90"/>
        <v>0</v>
      </c>
      <c r="AE148" s="101">
        <f t="shared" si="91"/>
        <v>0</v>
      </c>
      <c r="AF148" s="197">
        <f t="shared" si="74"/>
        <v>0</v>
      </c>
      <c r="AG148" s="197">
        <f t="shared" si="75"/>
        <v>0</v>
      </c>
      <c r="AH148" s="197">
        <f t="shared" si="76"/>
        <v>0</v>
      </c>
      <c r="AI148" s="202">
        <f t="shared" si="77"/>
        <v>0</v>
      </c>
      <c r="AK148" s="71">
        <v>143</v>
      </c>
      <c r="AL148" s="33">
        <f t="shared" si="92"/>
        <v>0</v>
      </c>
      <c r="AM148" s="33">
        <f t="shared" si="93"/>
        <v>0</v>
      </c>
      <c r="AN148" s="33">
        <f t="shared" si="94"/>
        <v>0</v>
      </c>
      <c r="AO148" s="33">
        <f t="shared" si="95"/>
        <v>0</v>
      </c>
      <c r="AP148" s="33">
        <f t="shared" si="96"/>
        <v>0</v>
      </c>
      <c r="AQ148" s="197">
        <f t="shared" si="78"/>
        <v>0</v>
      </c>
      <c r="AR148" s="197">
        <f t="shared" si="79"/>
        <v>0</v>
      </c>
      <c r="AS148" s="197">
        <f t="shared" si="80"/>
        <v>0</v>
      </c>
      <c r="AT148" s="197">
        <f t="shared" si="81"/>
        <v>0</v>
      </c>
      <c r="AU148" s="33"/>
      <c r="AV148" s="33"/>
      <c r="AW148" s="33"/>
      <c r="AX148" s="33"/>
      <c r="AY148" s="76"/>
    </row>
    <row r="149" spans="3:51">
      <c r="C149" s="169" t="s">
        <v>24</v>
      </c>
      <c r="D149" s="4">
        <v>0.74</v>
      </c>
      <c r="E149" s="191" t="s">
        <v>228</v>
      </c>
      <c r="F149" s="346">
        <f>IF(OR(Tableau145[[#This Row],[Type]]="Feuillus",Tableau145[[#This Row],[Type]]="Peupliers"),1.56,1.3)</f>
        <v>1.56</v>
      </c>
      <c r="I149" s="55">
        <v>144</v>
      </c>
      <c r="J149" s="33">
        <f t="shared" si="99"/>
        <v>0</v>
      </c>
      <c r="K149" s="33">
        <f t="shared" si="100"/>
        <v>0</v>
      </c>
      <c r="L149" s="33">
        <f t="shared" si="101"/>
        <v>0</v>
      </c>
      <c r="M149" s="33">
        <f t="shared" si="102"/>
        <v>0</v>
      </c>
      <c r="N149" s="33">
        <f t="shared" si="82"/>
        <v>0</v>
      </c>
      <c r="O149" s="34">
        <f t="shared" si="83"/>
        <v>0</v>
      </c>
      <c r="P149" s="55">
        <v>144</v>
      </c>
      <c r="Q149" s="33">
        <f t="shared" si="97"/>
        <v>0</v>
      </c>
      <c r="R149" s="33">
        <f t="shared" si="103"/>
        <v>0</v>
      </c>
      <c r="S149" s="33">
        <f t="shared" si="104"/>
        <v>0</v>
      </c>
      <c r="T149" s="33">
        <f t="shared" si="84"/>
        <v>0</v>
      </c>
      <c r="U149" s="33">
        <f t="shared" si="98"/>
        <v>0</v>
      </c>
      <c r="V149" s="33">
        <f t="shared" si="85"/>
        <v>0</v>
      </c>
      <c r="W149" s="33">
        <v>0</v>
      </c>
      <c r="X149" s="33">
        <f t="shared" si="86"/>
        <v>0</v>
      </c>
      <c r="Y149" s="38">
        <f t="shared" si="87"/>
        <v>0</v>
      </c>
      <c r="AA149" s="71">
        <v>144</v>
      </c>
      <c r="AB149" s="33">
        <f t="shared" si="88"/>
        <v>0</v>
      </c>
      <c r="AC149" s="308">
        <f t="shared" si="89"/>
        <v>0</v>
      </c>
      <c r="AD149" s="101">
        <f t="shared" si="90"/>
        <v>0</v>
      </c>
      <c r="AE149" s="101">
        <f t="shared" si="91"/>
        <v>0</v>
      </c>
      <c r="AF149" s="197">
        <f t="shared" si="74"/>
        <v>0</v>
      </c>
      <c r="AG149" s="197">
        <f t="shared" si="75"/>
        <v>0</v>
      </c>
      <c r="AH149" s="197">
        <f t="shared" si="76"/>
        <v>0</v>
      </c>
      <c r="AI149" s="202">
        <f t="shared" si="77"/>
        <v>0</v>
      </c>
      <c r="AK149" s="71">
        <v>144</v>
      </c>
      <c r="AL149" s="33">
        <f t="shared" si="92"/>
        <v>0</v>
      </c>
      <c r="AM149" s="33">
        <f t="shared" si="93"/>
        <v>0</v>
      </c>
      <c r="AN149" s="33">
        <f t="shared" si="94"/>
        <v>0</v>
      </c>
      <c r="AO149" s="33">
        <f t="shared" si="95"/>
        <v>0</v>
      </c>
      <c r="AP149" s="33">
        <f t="shared" si="96"/>
        <v>0</v>
      </c>
      <c r="AQ149" s="197">
        <f t="shared" si="78"/>
        <v>0</v>
      </c>
      <c r="AR149" s="197">
        <f t="shared" si="79"/>
        <v>0</v>
      </c>
      <c r="AS149" s="197">
        <f t="shared" si="80"/>
        <v>0</v>
      </c>
      <c r="AT149" s="197">
        <f t="shared" si="81"/>
        <v>0</v>
      </c>
      <c r="AU149" s="33"/>
      <c r="AV149" s="33"/>
      <c r="AW149" s="33"/>
      <c r="AX149" s="33"/>
      <c r="AY149" s="76"/>
    </row>
    <row r="150" spans="3:51">
      <c r="C150" s="169" t="s">
        <v>25</v>
      </c>
      <c r="D150" s="4">
        <v>0.4</v>
      </c>
      <c r="E150" s="191" t="s">
        <v>229</v>
      </c>
      <c r="F150" s="346">
        <f>IF(OR(Tableau145[[#This Row],[Type]]="Feuillus",Tableau145[[#This Row],[Type]]="Peupliers"),1.56,1.3)</f>
        <v>1.3</v>
      </c>
      <c r="I150" s="55">
        <v>145</v>
      </c>
      <c r="J150" s="33">
        <f t="shared" si="99"/>
        <v>0</v>
      </c>
      <c r="K150" s="33">
        <f t="shared" si="100"/>
        <v>0</v>
      </c>
      <c r="L150" s="33">
        <f t="shared" si="101"/>
        <v>0</v>
      </c>
      <c r="M150" s="33">
        <f t="shared" si="102"/>
        <v>0</v>
      </c>
      <c r="N150" s="33">
        <f t="shared" si="82"/>
        <v>0</v>
      </c>
      <c r="O150" s="34">
        <f t="shared" si="83"/>
        <v>0</v>
      </c>
      <c r="P150" s="55">
        <v>145</v>
      </c>
      <c r="Q150" s="33">
        <f t="shared" si="97"/>
        <v>0</v>
      </c>
      <c r="R150" s="33">
        <f t="shared" si="103"/>
        <v>0</v>
      </c>
      <c r="S150" s="33">
        <f t="shared" si="104"/>
        <v>0</v>
      </c>
      <c r="T150" s="33">
        <f t="shared" si="84"/>
        <v>0</v>
      </c>
      <c r="U150" s="33">
        <f t="shared" si="98"/>
        <v>0</v>
      </c>
      <c r="V150" s="33">
        <f t="shared" si="85"/>
        <v>0</v>
      </c>
      <c r="W150" s="33">
        <v>0</v>
      </c>
      <c r="X150" s="33">
        <f t="shared" si="86"/>
        <v>0</v>
      </c>
      <c r="Y150" s="38">
        <f t="shared" si="87"/>
        <v>0</v>
      </c>
      <c r="AA150" s="71">
        <v>145</v>
      </c>
      <c r="AB150" s="33">
        <f t="shared" si="88"/>
        <v>0</v>
      </c>
      <c r="AC150" s="308">
        <f t="shared" si="89"/>
        <v>0</v>
      </c>
      <c r="AD150" s="101">
        <f t="shared" si="90"/>
        <v>0</v>
      </c>
      <c r="AE150" s="101">
        <f t="shared" si="91"/>
        <v>0</v>
      </c>
      <c r="AF150" s="197">
        <f t="shared" si="74"/>
        <v>0</v>
      </c>
      <c r="AG150" s="197">
        <f t="shared" si="75"/>
        <v>0</v>
      </c>
      <c r="AH150" s="197">
        <f t="shared" si="76"/>
        <v>0</v>
      </c>
      <c r="AI150" s="202">
        <f t="shared" si="77"/>
        <v>0</v>
      </c>
      <c r="AK150" s="71">
        <v>145</v>
      </c>
      <c r="AL150" s="33">
        <f t="shared" si="92"/>
        <v>0</v>
      </c>
      <c r="AM150" s="33">
        <f t="shared" si="93"/>
        <v>0</v>
      </c>
      <c r="AN150" s="33">
        <f t="shared" si="94"/>
        <v>0</v>
      </c>
      <c r="AO150" s="33">
        <f t="shared" si="95"/>
        <v>0</v>
      </c>
      <c r="AP150" s="33">
        <f t="shared" si="96"/>
        <v>0</v>
      </c>
      <c r="AQ150" s="197">
        <f t="shared" si="78"/>
        <v>0</v>
      </c>
      <c r="AR150" s="197">
        <f t="shared" si="79"/>
        <v>0</v>
      </c>
      <c r="AS150" s="197">
        <f t="shared" si="80"/>
        <v>0</v>
      </c>
      <c r="AT150" s="197">
        <f t="shared" si="81"/>
        <v>0</v>
      </c>
      <c r="AU150" s="33"/>
      <c r="AV150" s="33"/>
      <c r="AW150" s="33"/>
      <c r="AX150" s="33"/>
      <c r="AY150" s="76"/>
    </row>
    <row r="151" spans="3:51">
      <c r="C151" s="169" t="s">
        <v>26</v>
      </c>
      <c r="D151" s="4">
        <v>0.6</v>
      </c>
      <c r="E151" s="191" t="s">
        <v>228</v>
      </c>
      <c r="F151" s="346">
        <f>IF(OR(Tableau145[[#This Row],[Type]]="Feuillus",Tableau145[[#This Row],[Type]]="Peupliers"),1.56,1.3)</f>
        <v>1.56</v>
      </c>
      <c r="I151" s="55">
        <v>146</v>
      </c>
      <c r="J151" s="33">
        <f t="shared" si="99"/>
        <v>0</v>
      </c>
      <c r="K151" s="33">
        <f t="shared" si="100"/>
        <v>0</v>
      </c>
      <c r="L151" s="33">
        <f t="shared" si="101"/>
        <v>0</v>
      </c>
      <c r="M151" s="33">
        <f t="shared" si="102"/>
        <v>0</v>
      </c>
      <c r="N151" s="33">
        <f t="shared" si="82"/>
        <v>0</v>
      </c>
      <c r="O151" s="34">
        <f t="shared" si="83"/>
        <v>0</v>
      </c>
      <c r="P151" s="55">
        <v>146</v>
      </c>
      <c r="Q151" s="33">
        <f t="shared" si="97"/>
        <v>0</v>
      </c>
      <c r="R151" s="33">
        <f t="shared" si="103"/>
        <v>0</v>
      </c>
      <c r="S151" s="33">
        <f t="shared" si="104"/>
        <v>0</v>
      </c>
      <c r="T151" s="33">
        <f t="shared" si="84"/>
        <v>0</v>
      </c>
      <c r="U151" s="33">
        <f t="shared" si="98"/>
        <v>0</v>
      </c>
      <c r="V151" s="33">
        <f t="shared" si="85"/>
        <v>0</v>
      </c>
      <c r="W151" s="33">
        <v>0</v>
      </c>
      <c r="X151" s="33">
        <f t="shared" si="86"/>
        <v>0</v>
      </c>
      <c r="Y151" s="38">
        <f t="shared" si="87"/>
        <v>0</v>
      </c>
      <c r="AA151" s="71">
        <v>146</v>
      </c>
      <c r="AB151" s="33">
        <f t="shared" si="88"/>
        <v>0</v>
      </c>
      <c r="AC151" s="308">
        <f t="shared" si="89"/>
        <v>0</v>
      </c>
      <c r="AD151" s="101">
        <f t="shared" si="90"/>
        <v>0</v>
      </c>
      <c r="AE151" s="101">
        <f t="shared" si="91"/>
        <v>0</v>
      </c>
      <c r="AF151" s="197">
        <f t="shared" si="74"/>
        <v>0</v>
      </c>
      <c r="AG151" s="197">
        <f t="shared" si="75"/>
        <v>0</v>
      </c>
      <c r="AH151" s="197">
        <f t="shared" si="76"/>
        <v>0</v>
      </c>
      <c r="AI151" s="202">
        <f t="shared" si="77"/>
        <v>0</v>
      </c>
      <c r="AK151" s="71">
        <v>146</v>
      </c>
      <c r="AL151" s="33">
        <f t="shared" si="92"/>
        <v>0</v>
      </c>
      <c r="AM151" s="33">
        <f t="shared" si="93"/>
        <v>0</v>
      </c>
      <c r="AN151" s="33">
        <f t="shared" si="94"/>
        <v>0</v>
      </c>
      <c r="AO151" s="33">
        <f t="shared" si="95"/>
        <v>0</v>
      </c>
      <c r="AP151" s="33">
        <f t="shared" si="96"/>
        <v>0</v>
      </c>
      <c r="AQ151" s="197">
        <f t="shared" si="78"/>
        <v>0</v>
      </c>
      <c r="AR151" s="197">
        <f t="shared" si="79"/>
        <v>0</v>
      </c>
      <c r="AS151" s="197">
        <f t="shared" si="80"/>
        <v>0</v>
      </c>
      <c r="AT151" s="197">
        <f t="shared" si="81"/>
        <v>0</v>
      </c>
      <c r="AU151" s="33"/>
      <c r="AV151" s="33"/>
      <c r="AW151" s="33"/>
      <c r="AX151" s="33"/>
      <c r="AY151" s="76"/>
    </row>
    <row r="152" spans="3:51">
      <c r="C152" s="169" t="s">
        <v>27</v>
      </c>
      <c r="D152" s="4">
        <v>0.43</v>
      </c>
      <c r="E152" s="191" t="s">
        <v>229</v>
      </c>
      <c r="F152" s="346">
        <f>IF(OR(Tableau145[[#This Row],[Type]]="Feuillus",Tableau145[[#This Row],[Type]]="Peupliers"),1.56,1.3)</f>
        <v>1.3</v>
      </c>
      <c r="I152" s="55">
        <v>147</v>
      </c>
      <c r="J152" s="33">
        <f t="shared" si="99"/>
        <v>0</v>
      </c>
      <c r="K152" s="33">
        <f t="shared" si="100"/>
        <v>0</v>
      </c>
      <c r="L152" s="33">
        <f t="shared" si="101"/>
        <v>0</v>
      </c>
      <c r="M152" s="33">
        <f t="shared" si="102"/>
        <v>0</v>
      </c>
      <c r="N152" s="33">
        <f t="shared" si="82"/>
        <v>0</v>
      </c>
      <c r="O152" s="34">
        <f t="shared" si="83"/>
        <v>0</v>
      </c>
      <c r="P152" s="55">
        <v>147</v>
      </c>
      <c r="Q152" s="33">
        <f t="shared" si="97"/>
        <v>0</v>
      </c>
      <c r="R152" s="33">
        <f t="shared" si="103"/>
        <v>0</v>
      </c>
      <c r="S152" s="33">
        <f t="shared" si="104"/>
        <v>0</v>
      </c>
      <c r="T152" s="33">
        <f t="shared" si="84"/>
        <v>0</v>
      </c>
      <c r="U152" s="33">
        <f t="shared" si="98"/>
        <v>0</v>
      </c>
      <c r="V152" s="33">
        <f t="shared" si="85"/>
        <v>0</v>
      </c>
      <c r="W152" s="33">
        <v>0</v>
      </c>
      <c r="X152" s="33">
        <f t="shared" si="86"/>
        <v>0</v>
      </c>
      <c r="Y152" s="38">
        <f t="shared" si="87"/>
        <v>0</v>
      </c>
      <c r="AA152" s="71">
        <v>147</v>
      </c>
      <c r="AB152" s="33">
        <f t="shared" si="88"/>
        <v>0</v>
      </c>
      <c r="AC152" s="308">
        <f t="shared" si="89"/>
        <v>0</v>
      </c>
      <c r="AD152" s="101">
        <f t="shared" si="90"/>
        <v>0</v>
      </c>
      <c r="AE152" s="101">
        <f t="shared" si="91"/>
        <v>0</v>
      </c>
      <c r="AF152" s="197">
        <f t="shared" si="74"/>
        <v>0</v>
      </c>
      <c r="AG152" s="197">
        <f t="shared" si="75"/>
        <v>0</v>
      </c>
      <c r="AH152" s="197">
        <f t="shared" si="76"/>
        <v>0</v>
      </c>
      <c r="AI152" s="202">
        <f t="shared" si="77"/>
        <v>0</v>
      </c>
      <c r="AK152" s="71">
        <v>147</v>
      </c>
      <c r="AL152" s="33">
        <f t="shared" si="92"/>
        <v>0</v>
      </c>
      <c r="AM152" s="33">
        <f t="shared" si="93"/>
        <v>0</v>
      </c>
      <c r="AN152" s="33">
        <f t="shared" si="94"/>
        <v>0</v>
      </c>
      <c r="AO152" s="33">
        <f t="shared" si="95"/>
        <v>0</v>
      </c>
      <c r="AP152" s="33">
        <f t="shared" si="96"/>
        <v>0</v>
      </c>
      <c r="AQ152" s="197">
        <f t="shared" si="78"/>
        <v>0</v>
      </c>
      <c r="AR152" s="197">
        <f t="shared" si="79"/>
        <v>0</v>
      </c>
      <c r="AS152" s="197">
        <f t="shared" si="80"/>
        <v>0</v>
      </c>
      <c r="AT152" s="197">
        <f t="shared" si="81"/>
        <v>0</v>
      </c>
      <c r="AU152" s="33"/>
      <c r="AV152" s="33"/>
      <c r="AW152" s="33"/>
      <c r="AX152" s="33"/>
      <c r="AY152" s="76"/>
    </row>
    <row r="153" spans="3:51">
      <c r="C153" s="169" t="s">
        <v>28</v>
      </c>
      <c r="D153" s="4">
        <v>0.37</v>
      </c>
      <c r="E153" s="191" t="s">
        <v>229</v>
      </c>
      <c r="F153" s="346">
        <f>IF(OR(Tableau145[[#This Row],[Type]]="Feuillus",Tableau145[[#This Row],[Type]]="Peupliers"),1.56,1.3)</f>
        <v>1.3</v>
      </c>
      <c r="I153" s="55">
        <v>148</v>
      </c>
      <c r="J153" s="33">
        <f t="shared" si="99"/>
        <v>0</v>
      </c>
      <c r="K153" s="33">
        <f t="shared" si="100"/>
        <v>0</v>
      </c>
      <c r="L153" s="33">
        <f t="shared" si="101"/>
        <v>0</v>
      </c>
      <c r="M153" s="33">
        <f t="shared" si="102"/>
        <v>0</v>
      </c>
      <c r="N153" s="33">
        <f t="shared" si="82"/>
        <v>0</v>
      </c>
      <c r="O153" s="34">
        <f t="shared" si="83"/>
        <v>0</v>
      </c>
      <c r="P153" s="55">
        <v>148</v>
      </c>
      <c r="Q153" s="33">
        <f t="shared" si="97"/>
        <v>0</v>
      </c>
      <c r="R153" s="33">
        <f t="shared" si="103"/>
        <v>0</v>
      </c>
      <c r="S153" s="33">
        <f t="shared" si="104"/>
        <v>0</v>
      </c>
      <c r="T153" s="33">
        <f t="shared" si="84"/>
        <v>0</v>
      </c>
      <c r="U153" s="33">
        <f t="shared" si="98"/>
        <v>0</v>
      </c>
      <c r="V153" s="33">
        <f t="shared" si="85"/>
        <v>0</v>
      </c>
      <c r="W153" s="33">
        <v>0</v>
      </c>
      <c r="X153" s="33">
        <f t="shared" si="86"/>
        <v>0</v>
      </c>
      <c r="Y153" s="38">
        <f t="shared" si="87"/>
        <v>0</v>
      </c>
      <c r="AA153" s="71">
        <v>148</v>
      </c>
      <c r="AB153" s="33">
        <f t="shared" si="88"/>
        <v>0</v>
      </c>
      <c r="AC153" s="308">
        <f t="shared" si="89"/>
        <v>0</v>
      </c>
      <c r="AD153" s="101">
        <f t="shared" si="90"/>
        <v>0</v>
      </c>
      <c r="AE153" s="101">
        <f t="shared" si="91"/>
        <v>0</v>
      </c>
      <c r="AF153" s="197">
        <f t="shared" si="74"/>
        <v>0</v>
      </c>
      <c r="AG153" s="197">
        <f t="shared" si="75"/>
        <v>0</v>
      </c>
      <c r="AH153" s="197">
        <f t="shared" si="76"/>
        <v>0</v>
      </c>
      <c r="AI153" s="202">
        <f t="shared" si="77"/>
        <v>0</v>
      </c>
      <c r="AK153" s="71">
        <v>148</v>
      </c>
      <c r="AL153" s="33">
        <f t="shared" si="92"/>
        <v>0</v>
      </c>
      <c r="AM153" s="33">
        <f t="shared" si="93"/>
        <v>0</v>
      </c>
      <c r="AN153" s="33">
        <f t="shared" si="94"/>
        <v>0</v>
      </c>
      <c r="AO153" s="33">
        <f t="shared" si="95"/>
        <v>0</v>
      </c>
      <c r="AP153" s="33">
        <f t="shared" si="96"/>
        <v>0</v>
      </c>
      <c r="AQ153" s="197">
        <f t="shared" si="78"/>
        <v>0</v>
      </c>
      <c r="AR153" s="197">
        <f t="shared" si="79"/>
        <v>0</v>
      </c>
      <c r="AS153" s="197">
        <f t="shared" si="80"/>
        <v>0</v>
      </c>
      <c r="AT153" s="197">
        <f t="shared" si="81"/>
        <v>0</v>
      </c>
      <c r="AU153" s="33"/>
      <c r="AV153" s="33"/>
      <c r="AW153" s="33"/>
      <c r="AX153" s="33"/>
      <c r="AY153" s="76"/>
    </row>
    <row r="154" spans="3:51">
      <c r="C154" s="169" t="s">
        <v>29</v>
      </c>
      <c r="D154" s="4">
        <v>0.36</v>
      </c>
      <c r="E154" s="191" t="s">
        <v>229</v>
      </c>
      <c r="F154" s="346">
        <f>IF(OR(Tableau145[[#This Row],[Type]]="Feuillus",Tableau145[[#This Row],[Type]]="Peupliers"),1.56,1.3)</f>
        <v>1.3</v>
      </c>
      <c r="I154" s="55">
        <v>149</v>
      </c>
      <c r="J154" s="33">
        <f t="shared" si="99"/>
        <v>0</v>
      </c>
      <c r="K154" s="33">
        <f t="shared" si="100"/>
        <v>0</v>
      </c>
      <c r="L154" s="33">
        <f t="shared" si="101"/>
        <v>0</v>
      </c>
      <c r="M154" s="33">
        <f t="shared" si="102"/>
        <v>0</v>
      </c>
      <c r="N154" s="33">
        <f t="shared" si="82"/>
        <v>0</v>
      </c>
      <c r="O154" s="34">
        <f t="shared" si="83"/>
        <v>0</v>
      </c>
      <c r="P154" s="55">
        <v>149</v>
      </c>
      <c r="Q154" s="33">
        <f t="shared" si="97"/>
        <v>0</v>
      </c>
      <c r="R154" s="33">
        <f t="shared" si="103"/>
        <v>0</v>
      </c>
      <c r="S154" s="33">
        <f t="shared" si="104"/>
        <v>0</v>
      </c>
      <c r="T154" s="33">
        <f t="shared" si="84"/>
        <v>0</v>
      </c>
      <c r="U154" s="33">
        <f t="shared" si="98"/>
        <v>0</v>
      </c>
      <c r="V154" s="33">
        <f t="shared" si="85"/>
        <v>0</v>
      </c>
      <c r="W154" s="33">
        <v>0</v>
      </c>
      <c r="X154" s="33">
        <f t="shared" si="86"/>
        <v>0</v>
      </c>
      <c r="Y154" s="38">
        <f t="shared" si="87"/>
        <v>0</v>
      </c>
      <c r="AA154" s="71">
        <v>149</v>
      </c>
      <c r="AB154" s="33">
        <f t="shared" si="88"/>
        <v>0</v>
      </c>
      <c r="AC154" s="308">
        <f t="shared" si="89"/>
        <v>0</v>
      </c>
      <c r="AD154" s="101">
        <f t="shared" si="90"/>
        <v>0</v>
      </c>
      <c r="AE154" s="101">
        <f t="shared" si="91"/>
        <v>0</v>
      </c>
      <c r="AF154" s="197">
        <f t="shared" si="74"/>
        <v>0</v>
      </c>
      <c r="AG154" s="197">
        <f t="shared" si="75"/>
        <v>0</v>
      </c>
      <c r="AH154" s="197">
        <f t="shared" si="76"/>
        <v>0</v>
      </c>
      <c r="AI154" s="202">
        <f t="shared" si="77"/>
        <v>0</v>
      </c>
      <c r="AK154" s="71">
        <v>149</v>
      </c>
      <c r="AL154" s="33">
        <f t="shared" si="92"/>
        <v>0</v>
      </c>
      <c r="AM154" s="33">
        <f t="shared" si="93"/>
        <v>0</v>
      </c>
      <c r="AN154" s="33">
        <f t="shared" si="94"/>
        <v>0</v>
      </c>
      <c r="AO154" s="33">
        <f t="shared" si="95"/>
        <v>0</v>
      </c>
      <c r="AP154" s="33">
        <f t="shared" si="96"/>
        <v>0</v>
      </c>
      <c r="AQ154" s="197">
        <f t="shared" si="78"/>
        <v>0</v>
      </c>
      <c r="AR154" s="197">
        <f t="shared" si="79"/>
        <v>0</v>
      </c>
      <c r="AS154" s="197">
        <f t="shared" si="80"/>
        <v>0</v>
      </c>
      <c r="AT154" s="197">
        <f t="shared" si="81"/>
        <v>0</v>
      </c>
      <c r="AU154" s="33"/>
      <c r="AV154" s="33"/>
      <c r="AW154" s="33"/>
      <c r="AX154" s="33"/>
      <c r="AY154" s="76"/>
    </row>
    <row r="155" spans="3:51">
      <c r="C155" s="169" t="s">
        <v>30</v>
      </c>
      <c r="D155" s="4">
        <v>0.51</v>
      </c>
      <c r="E155" s="191" t="s">
        <v>228</v>
      </c>
      <c r="F155" s="346">
        <f>IF(OR(Tableau145[[#This Row],[Type]]="Feuillus",Tableau145[[#This Row],[Type]]="Peupliers"),1.56,1.3)</f>
        <v>1.56</v>
      </c>
      <c r="I155" s="55">
        <v>150</v>
      </c>
      <c r="J155" s="33">
        <f t="shared" si="99"/>
        <v>0</v>
      </c>
      <c r="K155" s="33">
        <f t="shared" si="100"/>
        <v>0</v>
      </c>
      <c r="L155" s="33">
        <f t="shared" si="101"/>
        <v>0</v>
      </c>
      <c r="M155" s="33">
        <f t="shared" si="102"/>
        <v>0</v>
      </c>
      <c r="N155" s="33">
        <f t="shared" si="82"/>
        <v>0</v>
      </c>
      <c r="O155" s="34">
        <f t="shared" si="83"/>
        <v>0</v>
      </c>
      <c r="P155" s="55">
        <v>150</v>
      </c>
      <c r="Q155" s="33">
        <f t="shared" si="97"/>
        <v>0</v>
      </c>
      <c r="R155" s="33">
        <f t="shared" si="103"/>
        <v>0</v>
      </c>
      <c r="S155" s="33">
        <f t="shared" si="104"/>
        <v>0</v>
      </c>
      <c r="T155" s="33">
        <f t="shared" si="84"/>
        <v>0</v>
      </c>
      <c r="U155" s="33">
        <f t="shared" si="98"/>
        <v>0</v>
      </c>
      <c r="V155" s="33">
        <f t="shared" si="85"/>
        <v>0</v>
      </c>
      <c r="W155" s="33">
        <v>0</v>
      </c>
      <c r="X155" s="33">
        <f t="shared" si="86"/>
        <v>0</v>
      </c>
      <c r="Y155" s="38">
        <f t="shared" si="87"/>
        <v>0</v>
      </c>
      <c r="AA155" s="71">
        <v>150</v>
      </c>
      <c r="AB155" s="33">
        <f t="shared" si="88"/>
        <v>0</v>
      </c>
      <c r="AC155" s="308">
        <f t="shared" si="89"/>
        <v>0</v>
      </c>
      <c r="AD155" s="101">
        <f t="shared" si="90"/>
        <v>0</v>
      </c>
      <c r="AE155" s="101">
        <f t="shared" si="91"/>
        <v>0</v>
      </c>
      <c r="AF155" s="197">
        <f t="shared" ref="AF155:AF205" si="105">IF(OR(AA155&lt;=$F$18,AA155&lt;=30),EXP(-LN(2)/$D$104)*AF154+((1-EXP(-LN(2)/$D$104))/(LN(2)/$D$104))*$AB155*AC155*0.475*$F$19*44/12,)</f>
        <v>0</v>
      </c>
      <c r="AG155" s="197">
        <f t="shared" ref="AG155:AG205" si="106">IF(OR(AA155&lt;=$F$18,AA155&lt;=30),EXP(-LN(2)/$D$106)*AG154+((1-EXP(-LN(2)/$D$106))/(LN(2)/$D$106))*$AB155*AD155*0.475*$F$19*44/12,)</f>
        <v>0</v>
      </c>
      <c r="AH155" s="197">
        <f t="shared" ref="AH155:AH205" si="107">IF(OR(AA155&lt;=$F$18,AA155&lt;=30),EXP(-LN(2)/$D$105)*AH154+((1-EXP(-LN(2)/$D$105))/(LN(2)/$D$105))*$AB155*AE155*0.475*$F$19*44/12,)</f>
        <v>0</v>
      </c>
      <c r="AI155" s="202">
        <f t="shared" ref="AI155:AI205" si="108">IF(OR(AA155&lt;=$F$18,AA155&lt;=30),SUM(AF155:AH155),)</f>
        <v>0</v>
      </c>
      <c r="AK155" s="71">
        <v>150</v>
      </c>
      <c r="AL155" s="33">
        <f t="shared" si="92"/>
        <v>0</v>
      </c>
      <c r="AM155" s="33">
        <f t="shared" si="93"/>
        <v>0</v>
      </c>
      <c r="AN155" s="33">
        <f t="shared" si="94"/>
        <v>0</v>
      </c>
      <c r="AO155" s="33">
        <f t="shared" si="95"/>
        <v>0</v>
      </c>
      <c r="AP155" s="33">
        <f t="shared" si="96"/>
        <v>0</v>
      </c>
      <c r="AQ155" s="197">
        <f t="shared" si="78"/>
        <v>0</v>
      </c>
      <c r="AR155" s="197">
        <f t="shared" si="79"/>
        <v>0</v>
      </c>
      <c r="AS155" s="197">
        <f t="shared" si="80"/>
        <v>0</v>
      </c>
      <c r="AT155" s="197">
        <f t="shared" si="81"/>
        <v>0</v>
      </c>
      <c r="AU155" s="33"/>
      <c r="AV155" s="33"/>
      <c r="AW155" s="33"/>
      <c r="AX155" s="33"/>
      <c r="AY155" s="76"/>
    </row>
    <row r="156" spans="3:51">
      <c r="C156" s="169" t="s">
        <v>31</v>
      </c>
      <c r="D156" s="4">
        <v>0.56000000000000005</v>
      </c>
      <c r="E156" s="191" t="s">
        <v>228</v>
      </c>
      <c r="F156" s="346">
        <f>IF(OR(Tableau145[[#This Row],[Type]]="Feuillus",Tableau145[[#This Row],[Type]]="Peupliers"),1.56,1.3)</f>
        <v>1.56</v>
      </c>
      <c r="I156" s="55">
        <v>151</v>
      </c>
      <c r="J156" s="33">
        <f t="shared" si="99"/>
        <v>0</v>
      </c>
      <c r="K156" s="33">
        <f t="shared" si="100"/>
        <v>0</v>
      </c>
      <c r="L156" s="33">
        <f t="shared" si="101"/>
        <v>0</v>
      </c>
      <c r="M156" s="33">
        <f t="shared" si="102"/>
        <v>0</v>
      </c>
      <c r="N156" s="33">
        <f t="shared" si="82"/>
        <v>0</v>
      </c>
      <c r="O156" s="34">
        <f t="shared" si="83"/>
        <v>0</v>
      </c>
      <c r="P156" s="55">
        <v>151</v>
      </c>
      <c r="Q156" s="33">
        <f t="shared" si="97"/>
        <v>0</v>
      </c>
      <c r="R156" s="33">
        <f t="shared" si="103"/>
        <v>0</v>
      </c>
      <c r="S156" s="33">
        <f t="shared" si="104"/>
        <v>0</v>
      </c>
      <c r="T156" s="33">
        <f t="shared" si="84"/>
        <v>0</v>
      </c>
      <c r="U156" s="33">
        <f t="shared" si="98"/>
        <v>0</v>
      </c>
      <c r="V156" s="33">
        <f t="shared" si="85"/>
        <v>0</v>
      </c>
      <c r="W156" s="33">
        <v>0</v>
      </c>
      <c r="X156" s="33">
        <f t="shared" si="86"/>
        <v>0</v>
      </c>
      <c r="Y156" s="38">
        <f t="shared" si="87"/>
        <v>0</v>
      </c>
      <c r="AA156" s="71">
        <v>151</v>
      </c>
      <c r="AB156" s="33">
        <f t="shared" si="88"/>
        <v>0</v>
      </c>
      <c r="AC156" s="308">
        <f t="shared" si="89"/>
        <v>0</v>
      </c>
      <c r="AD156" s="101">
        <f t="shared" si="90"/>
        <v>0</v>
      </c>
      <c r="AE156" s="101">
        <f t="shared" si="91"/>
        <v>0</v>
      </c>
      <c r="AF156" s="197">
        <f t="shared" si="105"/>
        <v>0</v>
      </c>
      <c r="AG156" s="197">
        <f t="shared" si="106"/>
        <v>0</v>
      </c>
      <c r="AH156" s="197">
        <f t="shared" si="107"/>
        <v>0</v>
      </c>
      <c r="AI156" s="202">
        <f t="shared" si="108"/>
        <v>0</v>
      </c>
      <c r="AK156" s="71">
        <v>151</v>
      </c>
      <c r="AL156" s="33">
        <f t="shared" si="92"/>
        <v>0</v>
      </c>
      <c r="AM156" s="33">
        <f t="shared" si="93"/>
        <v>0</v>
      </c>
      <c r="AN156" s="33">
        <f t="shared" si="94"/>
        <v>0</v>
      </c>
      <c r="AO156" s="33">
        <f t="shared" si="95"/>
        <v>0</v>
      </c>
      <c r="AP156" s="33">
        <f t="shared" si="96"/>
        <v>0</v>
      </c>
      <c r="AQ156" s="197">
        <f t="shared" si="78"/>
        <v>0</v>
      </c>
      <c r="AR156" s="197">
        <f t="shared" si="79"/>
        <v>0</v>
      </c>
      <c r="AS156" s="197">
        <f t="shared" si="80"/>
        <v>0</v>
      </c>
      <c r="AT156" s="197">
        <f t="shared" si="81"/>
        <v>0</v>
      </c>
      <c r="AU156" s="33"/>
      <c r="AV156" s="33"/>
      <c r="AW156" s="33"/>
      <c r="AX156" s="33"/>
      <c r="AY156" s="76"/>
    </row>
    <row r="157" spans="3:51">
      <c r="C157" s="169" t="s">
        <v>32</v>
      </c>
      <c r="D157" s="4">
        <v>0.56000000000000005</v>
      </c>
      <c r="E157" s="191" t="s">
        <v>228</v>
      </c>
      <c r="F157" s="346">
        <f>IF(OR(Tableau145[[#This Row],[Type]]="Feuillus",Tableau145[[#This Row],[Type]]="Peupliers"),1.56,1.3)</f>
        <v>1.56</v>
      </c>
      <c r="I157" s="55">
        <v>152</v>
      </c>
      <c r="J157" s="33">
        <f t="shared" si="99"/>
        <v>0</v>
      </c>
      <c r="K157" s="33">
        <f t="shared" si="100"/>
        <v>0</v>
      </c>
      <c r="L157" s="33">
        <f t="shared" si="101"/>
        <v>0</v>
      </c>
      <c r="M157" s="33">
        <f t="shared" si="102"/>
        <v>0</v>
      </c>
      <c r="N157" s="33">
        <f t="shared" si="82"/>
        <v>0</v>
      </c>
      <c r="O157" s="34">
        <f t="shared" si="83"/>
        <v>0</v>
      </c>
      <c r="P157" s="55">
        <v>152</v>
      </c>
      <c r="Q157" s="33">
        <f t="shared" si="97"/>
        <v>0</v>
      </c>
      <c r="R157" s="33">
        <f t="shared" si="103"/>
        <v>0</v>
      </c>
      <c r="S157" s="33">
        <f t="shared" si="104"/>
        <v>0</v>
      </c>
      <c r="T157" s="33">
        <f t="shared" si="84"/>
        <v>0</v>
      </c>
      <c r="U157" s="33">
        <f t="shared" si="98"/>
        <v>0</v>
      </c>
      <c r="V157" s="33">
        <f t="shared" si="85"/>
        <v>0</v>
      </c>
      <c r="W157" s="33">
        <v>0</v>
      </c>
      <c r="X157" s="33">
        <f t="shared" si="86"/>
        <v>0</v>
      </c>
      <c r="Y157" s="38">
        <f t="shared" si="87"/>
        <v>0</v>
      </c>
      <c r="AA157" s="71">
        <v>152</v>
      </c>
      <c r="AB157" s="33">
        <f t="shared" si="88"/>
        <v>0</v>
      </c>
      <c r="AC157" s="308">
        <f t="shared" si="89"/>
        <v>0</v>
      </c>
      <c r="AD157" s="101">
        <f t="shared" si="90"/>
        <v>0</v>
      </c>
      <c r="AE157" s="101">
        <f t="shared" si="91"/>
        <v>0</v>
      </c>
      <c r="AF157" s="197">
        <f t="shared" si="105"/>
        <v>0</v>
      </c>
      <c r="AG157" s="197">
        <f t="shared" si="106"/>
        <v>0</v>
      </c>
      <c r="AH157" s="197">
        <f t="shared" si="107"/>
        <v>0</v>
      </c>
      <c r="AI157" s="202">
        <f t="shared" si="108"/>
        <v>0</v>
      </c>
      <c r="AK157" s="71">
        <v>152</v>
      </c>
      <c r="AL157" s="33">
        <f t="shared" si="92"/>
        <v>0</v>
      </c>
      <c r="AM157" s="33">
        <f t="shared" si="93"/>
        <v>0</v>
      </c>
      <c r="AN157" s="33">
        <f t="shared" si="94"/>
        <v>0</v>
      </c>
      <c r="AO157" s="33">
        <f t="shared" si="95"/>
        <v>0</v>
      </c>
      <c r="AP157" s="33">
        <f t="shared" si="96"/>
        <v>0</v>
      </c>
      <c r="AQ157" s="197">
        <f t="shared" si="78"/>
        <v>0</v>
      </c>
      <c r="AR157" s="197">
        <f t="shared" si="79"/>
        <v>0</v>
      </c>
      <c r="AS157" s="197">
        <f t="shared" si="80"/>
        <v>0</v>
      </c>
      <c r="AT157" s="197">
        <f t="shared" si="81"/>
        <v>0</v>
      </c>
      <c r="AU157" s="33"/>
      <c r="AV157" s="33"/>
      <c r="AW157" s="33"/>
      <c r="AX157" s="33"/>
      <c r="AY157" s="76"/>
    </row>
    <row r="158" spans="3:51">
      <c r="C158" s="169" t="s">
        <v>33</v>
      </c>
      <c r="D158" s="4">
        <v>0.48</v>
      </c>
      <c r="E158" s="191" t="s">
        <v>228</v>
      </c>
      <c r="F158" s="346">
        <f>IF(OR(Tableau145[[#This Row],[Type]]="Feuillus",Tableau145[[#This Row],[Type]]="Peupliers"),1.56,1.3)</f>
        <v>1.56</v>
      </c>
      <c r="I158" s="55">
        <v>153</v>
      </c>
      <c r="J158" s="33">
        <f t="shared" si="99"/>
        <v>0</v>
      </c>
      <c r="K158" s="33">
        <f t="shared" si="100"/>
        <v>0</v>
      </c>
      <c r="L158" s="33">
        <f t="shared" si="101"/>
        <v>0</v>
      </c>
      <c r="M158" s="33">
        <f t="shared" si="102"/>
        <v>0</v>
      </c>
      <c r="N158" s="33">
        <f t="shared" si="82"/>
        <v>0</v>
      </c>
      <c r="O158" s="34">
        <f t="shared" si="83"/>
        <v>0</v>
      </c>
      <c r="P158" s="55">
        <v>153</v>
      </c>
      <c r="Q158" s="33">
        <f t="shared" si="97"/>
        <v>0</v>
      </c>
      <c r="R158" s="33">
        <f t="shared" si="103"/>
        <v>0</v>
      </c>
      <c r="S158" s="33">
        <f t="shared" si="104"/>
        <v>0</v>
      </c>
      <c r="T158" s="33">
        <f t="shared" si="84"/>
        <v>0</v>
      </c>
      <c r="U158" s="33">
        <f t="shared" si="98"/>
        <v>0</v>
      </c>
      <c r="V158" s="33">
        <f t="shared" si="85"/>
        <v>0</v>
      </c>
      <c r="W158" s="33">
        <v>0</v>
      </c>
      <c r="X158" s="33">
        <f t="shared" si="86"/>
        <v>0</v>
      </c>
      <c r="Y158" s="38">
        <f t="shared" si="87"/>
        <v>0</v>
      </c>
      <c r="AA158" s="71">
        <v>153</v>
      </c>
      <c r="AB158" s="33">
        <f t="shared" si="88"/>
        <v>0</v>
      </c>
      <c r="AC158" s="308">
        <f t="shared" si="89"/>
        <v>0</v>
      </c>
      <c r="AD158" s="101">
        <f t="shared" si="90"/>
        <v>0</v>
      </c>
      <c r="AE158" s="101">
        <f t="shared" si="91"/>
        <v>0</v>
      </c>
      <c r="AF158" s="197">
        <f t="shared" si="105"/>
        <v>0</v>
      </c>
      <c r="AG158" s="197">
        <f t="shared" si="106"/>
        <v>0</v>
      </c>
      <c r="AH158" s="197">
        <f t="shared" si="107"/>
        <v>0</v>
      </c>
      <c r="AI158" s="202">
        <f t="shared" si="108"/>
        <v>0</v>
      </c>
      <c r="AK158" s="71">
        <v>153</v>
      </c>
      <c r="AL158" s="33">
        <f t="shared" si="92"/>
        <v>0</v>
      </c>
      <c r="AM158" s="33">
        <f t="shared" si="93"/>
        <v>0</v>
      </c>
      <c r="AN158" s="33">
        <f t="shared" si="94"/>
        <v>0</v>
      </c>
      <c r="AO158" s="33">
        <f t="shared" si="95"/>
        <v>0</v>
      </c>
      <c r="AP158" s="33">
        <f t="shared" si="96"/>
        <v>0</v>
      </c>
      <c r="AQ158" s="197">
        <f t="shared" si="78"/>
        <v>0</v>
      </c>
      <c r="AR158" s="197">
        <f t="shared" si="79"/>
        <v>0</v>
      </c>
      <c r="AS158" s="197">
        <f t="shared" si="80"/>
        <v>0</v>
      </c>
      <c r="AT158" s="197">
        <f t="shared" si="81"/>
        <v>0</v>
      </c>
      <c r="AU158" s="33"/>
      <c r="AV158" s="33"/>
      <c r="AW158" s="33"/>
      <c r="AX158" s="33"/>
      <c r="AY158" s="76"/>
    </row>
    <row r="159" spans="3:51">
      <c r="C159" s="169" t="s">
        <v>34</v>
      </c>
      <c r="D159" s="4">
        <v>0.55000000000000004</v>
      </c>
      <c r="E159" s="191" t="s">
        <v>228</v>
      </c>
      <c r="F159" s="346">
        <f>IF(OR(Tableau145[[#This Row],[Type]]="Feuillus",Tableau145[[#This Row],[Type]]="Peupliers"),1.56,1.3)</f>
        <v>1.56</v>
      </c>
      <c r="I159" s="55">
        <v>154</v>
      </c>
      <c r="J159" s="33">
        <f t="shared" si="99"/>
        <v>0</v>
      </c>
      <c r="K159" s="33">
        <f t="shared" si="100"/>
        <v>0</v>
      </c>
      <c r="L159" s="33">
        <f t="shared" si="101"/>
        <v>0</v>
      </c>
      <c r="M159" s="33">
        <f t="shared" si="102"/>
        <v>0</v>
      </c>
      <c r="N159" s="33">
        <f t="shared" si="82"/>
        <v>0</v>
      </c>
      <c r="O159" s="34">
        <f t="shared" si="83"/>
        <v>0</v>
      </c>
      <c r="P159" s="55">
        <v>154</v>
      </c>
      <c r="Q159" s="33">
        <f t="shared" si="97"/>
        <v>0</v>
      </c>
      <c r="R159" s="33">
        <f t="shared" si="103"/>
        <v>0</v>
      </c>
      <c r="S159" s="33">
        <f t="shared" si="104"/>
        <v>0</v>
      </c>
      <c r="T159" s="33">
        <f t="shared" si="84"/>
        <v>0</v>
      </c>
      <c r="U159" s="33">
        <f t="shared" si="98"/>
        <v>0</v>
      </c>
      <c r="V159" s="33">
        <f t="shared" si="85"/>
        <v>0</v>
      </c>
      <c r="W159" s="33">
        <v>0</v>
      </c>
      <c r="X159" s="33">
        <f t="shared" si="86"/>
        <v>0</v>
      </c>
      <c r="Y159" s="38">
        <f t="shared" si="87"/>
        <v>0</v>
      </c>
      <c r="AA159" s="71">
        <v>154</v>
      </c>
      <c r="AB159" s="33">
        <f t="shared" si="88"/>
        <v>0</v>
      </c>
      <c r="AC159" s="308">
        <f t="shared" si="89"/>
        <v>0</v>
      </c>
      <c r="AD159" s="101">
        <f t="shared" si="90"/>
        <v>0</v>
      </c>
      <c r="AE159" s="101">
        <f t="shared" si="91"/>
        <v>0</v>
      </c>
      <c r="AF159" s="197">
        <f t="shared" si="105"/>
        <v>0</v>
      </c>
      <c r="AG159" s="197">
        <f t="shared" si="106"/>
        <v>0</v>
      </c>
      <c r="AH159" s="197">
        <f t="shared" si="107"/>
        <v>0</v>
      </c>
      <c r="AI159" s="202">
        <f t="shared" si="108"/>
        <v>0</v>
      </c>
      <c r="AK159" s="71">
        <v>154</v>
      </c>
      <c r="AL159" s="33">
        <f t="shared" si="92"/>
        <v>0</v>
      </c>
      <c r="AM159" s="33">
        <f t="shared" si="93"/>
        <v>0</v>
      </c>
      <c r="AN159" s="33">
        <f t="shared" si="94"/>
        <v>0</v>
      </c>
      <c r="AO159" s="33">
        <f t="shared" si="95"/>
        <v>0</v>
      </c>
      <c r="AP159" s="33">
        <f t="shared" si="96"/>
        <v>0</v>
      </c>
      <c r="AQ159" s="197">
        <f t="shared" si="78"/>
        <v>0</v>
      </c>
      <c r="AR159" s="197">
        <f t="shared" si="79"/>
        <v>0</v>
      </c>
      <c r="AS159" s="197">
        <f t="shared" si="80"/>
        <v>0</v>
      </c>
      <c r="AT159" s="197">
        <f t="shared" si="81"/>
        <v>0</v>
      </c>
      <c r="AU159" s="33"/>
      <c r="AV159" s="33"/>
      <c r="AW159" s="33"/>
      <c r="AX159" s="33"/>
      <c r="AY159" s="76"/>
    </row>
    <row r="160" spans="3:51">
      <c r="C160" s="169" t="s">
        <v>35</v>
      </c>
      <c r="D160" s="4">
        <v>0.56000000000000005</v>
      </c>
      <c r="E160" s="191" t="s">
        <v>228</v>
      </c>
      <c r="F160" s="346">
        <f>IF(OR(Tableau145[[#This Row],[Type]]="Feuillus",Tableau145[[#This Row],[Type]]="Peupliers"),1.56,1.3)</f>
        <v>1.56</v>
      </c>
      <c r="I160" s="55">
        <v>155</v>
      </c>
      <c r="J160" s="33">
        <f t="shared" si="99"/>
        <v>0</v>
      </c>
      <c r="K160" s="33">
        <f t="shared" si="100"/>
        <v>0</v>
      </c>
      <c r="L160" s="33">
        <f t="shared" si="101"/>
        <v>0</v>
      </c>
      <c r="M160" s="33">
        <f t="shared" si="102"/>
        <v>0</v>
      </c>
      <c r="N160" s="33">
        <f t="shared" si="82"/>
        <v>0</v>
      </c>
      <c r="O160" s="34">
        <f t="shared" si="83"/>
        <v>0</v>
      </c>
      <c r="P160" s="55">
        <v>155</v>
      </c>
      <c r="Q160" s="33">
        <f t="shared" si="97"/>
        <v>0</v>
      </c>
      <c r="R160" s="33">
        <f t="shared" si="103"/>
        <v>0</v>
      </c>
      <c r="S160" s="33">
        <f t="shared" si="104"/>
        <v>0</v>
      </c>
      <c r="T160" s="33">
        <f t="shared" si="84"/>
        <v>0</v>
      </c>
      <c r="U160" s="33">
        <f t="shared" si="98"/>
        <v>0</v>
      </c>
      <c r="V160" s="33">
        <f t="shared" si="85"/>
        <v>0</v>
      </c>
      <c r="W160" s="33">
        <v>0</v>
      </c>
      <c r="X160" s="33">
        <f t="shared" si="86"/>
        <v>0</v>
      </c>
      <c r="Y160" s="38">
        <f t="shared" si="87"/>
        <v>0</v>
      </c>
      <c r="AA160" s="71">
        <v>155</v>
      </c>
      <c r="AB160" s="33">
        <f t="shared" si="88"/>
        <v>0</v>
      </c>
      <c r="AC160" s="308">
        <f t="shared" si="89"/>
        <v>0</v>
      </c>
      <c r="AD160" s="101">
        <f t="shared" si="90"/>
        <v>0</v>
      </c>
      <c r="AE160" s="101">
        <f t="shared" si="91"/>
        <v>0</v>
      </c>
      <c r="AF160" s="197">
        <f t="shared" si="105"/>
        <v>0</v>
      </c>
      <c r="AG160" s="197">
        <f t="shared" si="106"/>
        <v>0</v>
      </c>
      <c r="AH160" s="197">
        <f t="shared" si="107"/>
        <v>0</v>
      </c>
      <c r="AI160" s="202">
        <f t="shared" si="108"/>
        <v>0</v>
      </c>
      <c r="AK160" s="71">
        <v>155</v>
      </c>
      <c r="AL160" s="33">
        <f t="shared" si="92"/>
        <v>0</v>
      </c>
      <c r="AM160" s="33">
        <f t="shared" si="93"/>
        <v>0</v>
      </c>
      <c r="AN160" s="33">
        <f t="shared" si="94"/>
        <v>0</v>
      </c>
      <c r="AO160" s="33">
        <f t="shared" si="95"/>
        <v>0</v>
      </c>
      <c r="AP160" s="33">
        <f t="shared" si="96"/>
        <v>0</v>
      </c>
      <c r="AQ160" s="197">
        <f t="shared" si="78"/>
        <v>0</v>
      </c>
      <c r="AR160" s="197">
        <f t="shared" si="79"/>
        <v>0</v>
      </c>
      <c r="AS160" s="197">
        <f t="shared" si="80"/>
        <v>0</v>
      </c>
      <c r="AT160" s="197">
        <f t="shared" si="81"/>
        <v>0</v>
      </c>
      <c r="AU160" s="33"/>
      <c r="AV160" s="33"/>
      <c r="AW160" s="33"/>
      <c r="AX160" s="33"/>
      <c r="AY160" s="76"/>
    </row>
    <row r="161" spans="3:51">
      <c r="C161" s="169" t="s">
        <v>36</v>
      </c>
      <c r="D161" s="4">
        <v>0.57999999999999996</v>
      </c>
      <c r="E161" s="191" t="s">
        <v>228</v>
      </c>
      <c r="F161" s="346">
        <f>IF(OR(Tableau145[[#This Row],[Type]]="Feuillus",Tableau145[[#This Row],[Type]]="Peupliers"),1.56,1.3)</f>
        <v>1.56</v>
      </c>
      <c r="I161" s="55">
        <v>156</v>
      </c>
      <c r="J161" s="33">
        <f t="shared" si="99"/>
        <v>0</v>
      </c>
      <c r="K161" s="33">
        <f t="shared" si="100"/>
        <v>0</v>
      </c>
      <c r="L161" s="33">
        <f t="shared" si="101"/>
        <v>0</v>
      </c>
      <c r="M161" s="33">
        <f t="shared" si="102"/>
        <v>0</v>
      </c>
      <c r="N161" s="33">
        <f t="shared" si="82"/>
        <v>0</v>
      </c>
      <c r="O161" s="34">
        <f t="shared" si="83"/>
        <v>0</v>
      </c>
      <c r="P161" s="55">
        <v>156</v>
      </c>
      <c r="Q161" s="33">
        <f t="shared" si="97"/>
        <v>0</v>
      </c>
      <c r="R161" s="33">
        <f t="shared" si="103"/>
        <v>0</v>
      </c>
      <c r="S161" s="33">
        <f t="shared" si="104"/>
        <v>0</v>
      </c>
      <c r="T161" s="33">
        <f t="shared" si="84"/>
        <v>0</v>
      </c>
      <c r="U161" s="33">
        <f t="shared" si="98"/>
        <v>0</v>
      </c>
      <c r="V161" s="33">
        <f t="shared" si="85"/>
        <v>0</v>
      </c>
      <c r="W161" s="33">
        <v>0</v>
      </c>
      <c r="X161" s="33">
        <f t="shared" si="86"/>
        <v>0</v>
      </c>
      <c r="Y161" s="38">
        <f t="shared" si="87"/>
        <v>0</v>
      </c>
      <c r="AA161" s="71">
        <v>156</v>
      </c>
      <c r="AB161" s="33">
        <f t="shared" si="88"/>
        <v>0</v>
      </c>
      <c r="AC161" s="308">
        <f t="shared" si="89"/>
        <v>0</v>
      </c>
      <c r="AD161" s="101">
        <f t="shared" si="90"/>
        <v>0</v>
      </c>
      <c r="AE161" s="101">
        <f t="shared" si="91"/>
        <v>0</v>
      </c>
      <c r="AF161" s="197">
        <f t="shared" si="105"/>
        <v>0</v>
      </c>
      <c r="AG161" s="197">
        <f t="shared" si="106"/>
        <v>0</v>
      </c>
      <c r="AH161" s="197">
        <f t="shared" si="107"/>
        <v>0</v>
      </c>
      <c r="AI161" s="202">
        <f t="shared" si="108"/>
        <v>0</v>
      </c>
      <c r="AK161" s="71">
        <v>156</v>
      </c>
      <c r="AL161" s="33">
        <f t="shared" si="92"/>
        <v>0</v>
      </c>
      <c r="AM161" s="33">
        <f t="shared" si="93"/>
        <v>0</v>
      </c>
      <c r="AN161" s="33">
        <f t="shared" si="94"/>
        <v>0</v>
      </c>
      <c r="AO161" s="33">
        <f t="shared" si="95"/>
        <v>0</v>
      </c>
      <c r="AP161" s="33">
        <f t="shared" si="96"/>
        <v>0</v>
      </c>
      <c r="AQ161" s="197">
        <f t="shared" si="78"/>
        <v>0</v>
      </c>
      <c r="AR161" s="197">
        <f t="shared" si="79"/>
        <v>0</v>
      </c>
      <c r="AS161" s="197">
        <f t="shared" si="80"/>
        <v>0</v>
      </c>
      <c r="AT161" s="197">
        <f t="shared" si="81"/>
        <v>0</v>
      </c>
      <c r="AU161" s="33"/>
      <c r="AV161" s="33"/>
      <c r="AW161" s="33"/>
      <c r="AX161" s="33"/>
      <c r="AY161" s="76"/>
    </row>
    <row r="162" spans="3:51">
      <c r="C162" s="169" t="s">
        <v>37</v>
      </c>
      <c r="D162" s="4">
        <v>0.57999999999999996</v>
      </c>
      <c r="E162" s="191" t="s">
        <v>229</v>
      </c>
      <c r="F162" s="346">
        <f>IF(OR(Tableau145[[#This Row],[Type]]="Feuillus",Tableau145[[#This Row],[Type]]="Peupliers"),1.56,1.3)</f>
        <v>1.3</v>
      </c>
      <c r="I162" s="55">
        <v>157</v>
      </c>
      <c r="J162" s="33">
        <f t="shared" si="99"/>
        <v>0</v>
      </c>
      <c r="K162" s="33">
        <f t="shared" si="100"/>
        <v>0</v>
      </c>
      <c r="L162" s="33">
        <f t="shared" si="101"/>
        <v>0</v>
      </c>
      <c r="M162" s="33">
        <f t="shared" si="102"/>
        <v>0</v>
      </c>
      <c r="N162" s="33">
        <f t="shared" si="82"/>
        <v>0</v>
      </c>
      <c r="O162" s="34">
        <f t="shared" si="83"/>
        <v>0</v>
      </c>
      <c r="P162" s="55">
        <v>157</v>
      </c>
      <c r="Q162" s="33">
        <f t="shared" si="97"/>
        <v>0</v>
      </c>
      <c r="R162" s="33">
        <f t="shared" si="103"/>
        <v>0</v>
      </c>
      <c r="S162" s="33">
        <f t="shared" si="104"/>
        <v>0</v>
      </c>
      <c r="T162" s="33">
        <f t="shared" si="84"/>
        <v>0</v>
      </c>
      <c r="U162" s="33">
        <f t="shared" si="98"/>
        <v>0</v>
      </c>
      <c r="V162" s="33">
        <f t="shared" si="85"/>
        <v>0</v>
      </c>
      <c r="W162" s="33">
        <v>0</v>
      </c>
      <c r="X162" s="33">
        <f t="shared" si="86"/>
        <v>0</v>
      </c>
      <c r="Y162" s="38">
        <f t="shared" si="87"/>
        <v>0</v>
      </c>
      <c r="AA162" s="71">
        <v>157</v>
      </c>
      <c r="AB162" s="33">
        <f t="shared" si="88"/>
        <v>0</v>
      </c>
      <c r="AC162" s="308">
        <f t="shared" si="89"/>
        <v>0</v>
      </c>
      <c r="AD162" s="101">
        <f t="shared" si="90"/>
        <v>0</v>
      </c>
      <c r="AE162" s="101">
        <f t="shared" si="91"/>
        <v>0</v>
      </c>
      <c r="AF162" s="197">
        <f t="shared" si="105"/>
        <v>0</v>
      </c>
      <c r="AG162" s="197">
        <f t="shared" si="106"/>
        <v>0</v>
      </c>
      <c r="AH162" s="197">
        <f t="shared" si="107"/>
        <v>0</v>
      </c>
      <c r="AI162" s="202">
        <f t="shared" si="108"/>
        <v>0</v>
      </c>
      <c r="AK162" s="71">
        <v>157</v>
      </c>
      <c r="AL162" s="33">
        <f t="shared" si="92"/>
        <v>0</v>
      </c>
      <c r="AM162" s="33">
        <f t="shared" si="93"/>
        <v>0</v>
      </c>
      <c r="AN162" s="33">
        <f t="shared" si="94"/>
        <v>0</v>
      </c>
      <c r="AO162" s="33">
        <f t="shared" si="95"/>
        <v>0</v>
      </c>
      <c r="AP162" s="33">
        <f t="shared" si="96"/>
        <v>0</v>
      </c>
      <c r="AQ162" s="197">
        <f t="shared" si="78"/>
        <v>0</v>
      </c>
      <c r="AR162" s="197">
        <f t="shared" si="79"/>
        <v>0</v>
      </c>
      <c r="AS162" s="197">
        <f t="shared" si="80"/>
        <v>0</v>
      </c>
      <c r="AT162" s="197">
        <f t="shared" si="81"/>
        <v>0</v>
      </c>
      <c r="AU162" s="33"/>
      <c r="AV162" s="33"/>
      <c r="AW162" s="33"/>
      <c r="AX162" s="33"/>
      <c r="AY162" s="76"/>
    </row>
    <row r="163" spans="3:51">
      <c r="C163" s="169" t="s">
        <v>38</v>
      </c>
      <c r="D163" s="4">
        <v>0.48</v>
      </c>
      <c r="E163" s="191" t="s">
        <v>229</v>
      </c>
      <c r="F163" s="346">
        <f>IF(OR(Tableau145[[#This Row],[Type]]="Feuillus",Tableau145[[#This Row],[Type]]="Peupliers"),1.56,1.3)</f>
        <v>1.3</v>
      </c>
      <c r="I163" s="55">
        <v>158</v>
      </c>
      <c r="J163" s="33">
        <f t="shared" si="99"/>
        <v>0</v>
      </c>
      <c r="K163" s="33">
        <f t="shared" si="100"/>
        <v>0</v>
      </c>
      <c r="L163" s="33">
        <f t="shared" si="101"/>
        <v>0</v>
      </c>
      <c r="M163" s="33">
        <f t="shared" si="102"/>
        <v>0</v>
      </c>
      <c r="N163" s="33">
        <f t="shared" si="82"/>
        <v>0</v>
      </c>
      <c r="O163" s="34">
        <f t="shared" si="83"/>
        <v>0</v>
      </c>
      <c r="P163" s="55">
        <v>158</v>
      </c>
      <c r="Q163" s="33">
        <f t="shared" si="97"/>
        <v>0</v>
      </c>
      <c r="R163" s="33">
        <f t="shared" si="103"/>
        <v>0</v>
      </c>
      <c r="S163" s="33">
        <f t="shared" si="104"/>
        <v>0</v>
      </c>
      <c r="T163" s="33">
        <f t="shared" si="84"/>
        <v>0</v>
      </c>
      <c r="U163" s="33">
        <f t="shared" si="98"/>
        <v>0</v>
      </c>
      <c r="V163" s="33">
        <f t="shared" si="85"/>
        <v>0</v>
      </c>
      <c r="W163" s="33">
        <v>0</v>
      </c>
      <c r="X163" s="33">
        <f t="shared" si="86"/>
        <v>0</v>
      </c>
      <c r="Y163" s="38">
        <f t="shared" si="87"/>
        <v>0</v>
      </c>
      <c r="AA163" s="71">
        <v>158</v>
      </c>
      <c r="AB163" s="33">
        <f t="shared" si="88"/>
        <v>0</v>
      </c>
      <c r="AC163" s="308">
        <f t="shared" si="89"/>
        <v>0</v>
      </c>
      <c r="AD163" s="101">
        <f t="shared" si="90"/>
        <v>0</v>
      </c>
      <c r="AE163" s="101">
        <f t="shared" si="91"/>
        <v>0</v>
      </c>
      <c r="AF163" s="197">
        <f t="shared" si="105"/>
        <v>0</v>
      </c>
      <c r="AG163" s="197">
        <f t="shared" si="106"/>
        <v>0</v>
      </c>
      <c r="AH163" s="197">
        <f t="shared" si="107"/>
        <v>0</v>
      </c>
      <c r="AI163" s="202">
        <f t="shared" si="108"/>
        <v>0</v>
      </c>
      <c r="AK163" s="71">
        <v>158</v>
      </c>
      <c r="AL163" s="33">
        <f t="shared" si="92"/>
        <v>0</v>
      </c>
      <c r="AM163" s="33">
        <f t="shared" si="93"/>
        <v>0</v>
      </c>
      <c r="AN163" s="33">
        <f t="shared" si="94"/>
        <v>0</v>
      </c>
      <c r="AO163" s="33">
        <f t="shared" si="95"/>
        <v>0</v>
      </c>
      <c r="AP163" s="33">
        <f t="shared" si="96"/>
        <v>0</v>
      </c>
      <c r="AQ163" s="197">
        <f t="shared" si="78"/>
        <v>0</v>
      </c>
      <c r="AR163" s="197">
        <f t="shared" si="79"/>
        <v>0</v>
      </c>
      <c r="AS163" s="197">
        <f t="shared" si="80"/>
        <v>0</v>
      </c>
      <c r="AT163" s="197">
        <f t="shared" si="81"/>
        <v>0</v>
      </c>
      <c r="AU163" s="33"/>
      <c r="AV163" s="33"/>
      <c r="AW163" s="33"/>
      <c r="AX163" s="33"/>
      <c r="AY163" s="76"/>
    </row>
    <row r="164" spans="3:51">
      <c r="C164" s="169" t="s">
        <v>39</v>
      </c>
      <c r="D164" s="4">
        <v>0.42</v>
      </c>
      <c r="E164" s="191" t="s">
        <v>229</v>
      </c>
      <c r="F164" s="346">
        <f>IF(OR(Tableau145[[#This Row],[Type]]="Feuillus",Tableau145[[#This Row],[Type]]="Peupliers"),1.56,1.3)</f>
        <v>1.3</v>
      </c>
      <c r="I164" s="55">
        <v>159</v>
      </c>
      <c r="J164" s="33">
        <f t="shared" si="99"/>
        <v>0</v>
      </c>
      <c r="K164" s="33">
        <f t="shared" si="100"/>
        <v>0</v>
      </c>
      <c r="L164" s="33">
        <f t="shared" si="101"/>
        <v>0</v>
      </c>
      <c r="M164" s="33">
        <f t="shared" si="102"/>
        <v>0</v>
      </c>
      <c r="N164" s="33">
        <f t="shared" si="82"/>
        <v>0</v>
      </c>
      <c r="O164" s="34">
        <f t="shared" si="83"/>
        <v>0</v>
      </c>
      <c r="P164" s="55">
        <v>159</v>
      </c>
      <c r="Q164" s="33">
        <f t="shared" si="97"/>
        <v>0</v>
      </c>
      <c r="R164" s="33">
        <f t="shared" si="103"/>
        <v>0</v>
      </c>
      <c r="S164" s="33">
        <f t="shared" si="104"/>
        <v>0</v>
      </c>
      <c r="T164" s="33">
        <f t="shared" si="84"/>
        <v>0</v>
      </c>
      <c r="U164" s="33">
        <f t="shared" si="98"/>
        <v>0</v>
      </c>
      <c r="V164" s="33">
        <f t="shared" si="85"/>
        <v>0</v>
      </c>
      <c r="W164" s="33">
        <v>0</v>
      </c>
      <c r="X164" s="33">
        <f t="shared" si="86"/>
        <v>0</v>
      </c>
      <c r="Y164" s="38">
        <f t="shared" si="87"/>
        <v>0</v>
      </c>
      <c r="AA164" s="71">
        <v>159</v>
      </c>
      <c r="AB164" s="33">
        <f t="shared" si="88"/>
        <v>0</v>
      </c>
      <c r="AC164" s="308">
        <f t="shared" si="89"/>
        <v>0</v>
      </c>
      <c r="AD164" s="101">
        <f t="shared" si="90"/>
        <v>0</v>
      </c>
      <c r="AE164" s="101">
        <f t="shared" si="91"/>
        <v>0</v>
      </c>
      <c r="AF164" s="197">
        <f t="shared" si="105"/>
        <v>0</v>
      </c>
      <c r="AG164" s="197">
        <f t="shared" si="106"/>
        <v>0</v>
      </c>
      <c r="AH164" s="197">
        <f t="shared" si="107"/>
        <v>0</v>
      </c>
      <c r="AI164" s="202">
        <f t="shared" si="108"/>
        <v>0</v>
      </c>
      <c r="AK164" s="71">
        <v>159</v>
      </c>
      <c r="AL164" s="33">
        <f t="shared" si="92"/>
        <v>0</v>
      </c>
      <c r="AM164" s="33">
        <f t="shared" si="93"/>
        <v>0</v>
      </c>
      <c r="AN164" s="33">
        <f t="shared" si="94"/>
        <v>0</v>
      </c>
      <c r="AO164" s="33">
        <f t="shared" si="95"/>
        <v>0</v>
      </c>
      <c r="AP164" s="33">
        <f t="shared" si="96"/>
        <v>0</v>
      </c>
      <c r="AQ164" s="197">
        <f t="shared" ref="AQ164:AQ205" si="109">IF($AK164&lt;=$F$18,$AL164*AM164,)</f>
        <v>0</v>
      </c>
      <c r="AR164" s="197">
        <f t="shared" ref="AR164:AR205" si="110">IF($AK164&lt;=$F$18,$AL164*AN164,)</f>
        <v>0</v>
      </c>
      <c r="AS164" s="197">
        <f t="shared" ref="AS164:AS205" si="111">IF($AK164&lt;=$F$18,$AL164*AO164,)</f>
        <v>0</v>
      </c>
      <c r="AT164" s="197">
        <f t="shared" ref="AT164:AT205" si="112">IF($AK164&lt;=$F$18,$AL164*AP164,)</f>
        <v>0</v>
      </c>
      <c r="AU164" s="33"/>
      <c r="AV164" s="33"/>
      <c r="AW164" s="33"/>
      <c r="AX164" s="33"/>
      <c r="AY164" s="76"/>
    </row>
    <row r="165" spans="3:51">
      <c r="C165" s="169" t="s">
        <v>40</v>
      </c>
      <c r="D165" s="4">
        <v>0.5</v>
      </c>
      <c r="E165" s="191" t="s">
        <v>228</v>
      </c>
      <c r="F165" s="346">
        <f>IF(OR(Tableau145[[#This Row],[Type]]="Feuillus",Tableau145[[#This Row],[Type]]="Peupliers"),1.56,1.3)</f>
        <v>1.56</v>
      </c>
      <c r="I165" s="55">
        <v>160</v>
      </c>
      <c r="J165" s="33">
        <f t="shared" si="99"/>
        <v>0</v>
      </c>
      <c r="K165" s="33">
        <f t="shared" si="100"/>
        <v>0</v>
      </c>
      <c r="L165" s="33">
        <f t="shared" si="101"/>
        <v>0</v>
      </c>
      <c r="M165" s="33">
        <f t="shared" si="102"/>
        <v>0</v>
      </c>
      <c r="N165" s="33">
        <f t="shared" si="82"/>
        <v>0</v>
      </c>
      <c r="O165" s="34">
        <f t="shared" si="83"/>
        <v>0</v>
      </c>
      <c r="P165" s="55">
        <v>160</v>
      </c>
      <c r="Q165" s="33">
        <f t="shared" si="97"/>
        <v>0</v>
      </c>
      <c r="R165" s="33">
        <f t="shared" si="103"/>
        <v>0</v>
      </c>
      <c r="S165" s="33">
        <f t="shared" si="104"/>
        <v>0</v>
      </c>
      <c r="T165" s="33">
        <f t="shared" si="84"/>
        <v>0</v>
      </c>
      <c r="U165" s="33">
        <f t="shared" si="98"/>
        <v>0</v>
      </c>
      <c r="V165" s="33">
        <f t="shared" si="85"/>
        <v>0</v>
      </c>
      <c r="W165" s="33">
        <v>0</v>
      </c>
      <c r="X165" s="33">
        <f t="shared" si="86"/>
        <v>0</v>
      </c>
      <c r="Y165" s="38">
        <f t="shared" si="87"/>
        <v>0</v>
      </c>
      <c r="AA165" s="71">
        <v>160</v>
      </c>
      <c r="AB165" s="33">
        <f t="shared" si="88"/>
        <v>0</v>
      </c>
      <c r="AC165" s="308">
        <f t="shared" si="89"/>
        <v>0</v>
      </c>
      <c r="AD165" s="101">
        <f t="shared" si="90"/>
        <v>0</v>
      </c>
      <c r="AE165" s="101">
        <f t="shared" si="91"/>
        <v>0</v>
      </c>
      <c r="AF165" s="197">
        <f t="shared" si="105"/>
        <v>0</v>
      </c>
      <c r="AG165" s="197">
        <f t="shared" si="106"/>
        <v>0</v>
      </c>
      <c r="AH165" s="197">
        <f t="shared" si="107"/>
        <v>0</v>
      </c>
      <c r="AI165" s="202">
        <f t="shared" si="108"/>
        <v>0</v>
      </c>
      <c r="AK165" s="71">
        <v>160</v>
      </c>
      <c r="AL165" s="33">
        <f t="shared" si="92"/>
        <v>0</v>
      </c>
      <c r="AM165" s="33">
        <f t="shared" si="93"/>
        <v>0</v>
      </c>
      <c r="AN165" s="33">
        <f t="shared" si="94"/>
        <v>0</v>
      </c>
      <c r="AO165" s="33">
        <f t="shared" si="95"/>
        <v>0</v>
      </c>
      <c r="AP165" s="33">
        <f t="shared" si="96"/>
        <v>0</v>
      </c>
      <c r="AQ165" s="197">
        <f t="shared" si="109"/>
        <v>0</v>
      </c>
      <c r="AR165" s="197">
        <f t="shared" si="110"/>
        <v>0</v>
      </c>
      <c r="AS165" s="197">
        <f t="shared" si="111"/>
        <v>0</v>
      </c>
      <c r="AT165" s="197">
        <f t="shared" si="112"/>
        <v>0</v>
      </c>
      <c r="AU165" s="33"/>
      <c r="AV165" s="33"/>
      <c r="AW165" s="33"/>
      <c r="AX165" s="33"/>
      <c r="AY165" s="76"/>
    </row>
    <row r="166" spans="3:51">
      <c r="C166" s="169" t="s">
        <v>41</v>
      </c>
      <c r="D166" s="4">
        <v>0.55000000000000004</v>
      </c>
      <c r="E166" s="191" t="s">
        <v>228</v>
      </c>
      <c r="F166" s="346">
        <f>IF(OR(Tableau145[[#This Row],[Type]]="Feuillus",Tableau145[[#This Row],[Type]]="Peupliers"),1.56,1.3)</f>
        <v>1.56</v>
      </c>
      <c r="I166" s="55">
        <v>161</v>
      </c>
      <c r="J166" s="33">
        <f t="shared" si="99"/>
        <v>0</v>
      </c>
      <c r="K166" s="33">
        <f t="shared" si="100"/>
        <v>0</v>
      </c>
      <c r="L166" s="33">
        <f t="shared" si="101"/>
        <v>0</v>
      </c>
      <c r="M166" s="33">
        <f t="shared" si="102"/>
        <v>0</v>
      </c>
      <c r="N166" s="33">
        <f t="shared" si="82"/>
        <v>0</v>
      </c>
      <c r="O166" s="34">
        <f t="shared" si="83"/>
        <v>0</v>
      </c>
      <c r="P166" s="55">
        <v>161</v>
      </c>
      <c r="Q166" s="33">
        <f t="shared" si="97"/>
        <v>0</v>
      </c>
      <c r="R166" s="33">
        <f t="shared" si="103"/>
        <v>0</v>
      </c>
      <c r="S166" s="33">
        <f t="shared" si="104"/>
        <v>0</v>
      </c>
      <c r="T166" s="33">
        <f t="shared" si="84"/>
        <v>0</v>
      </c>
      <c r="U166" s="33">
        <f t="shared" si="98"/>
        <v>0</v>
      </c>
      <c r="V166" s="33">
        <f t="shared" si="85"/>
        <v>0</v>
      </c>
      <c r="W166" s="33">
        <v>0</v>
      </c>
      <c r="X166" s="33">
        <f t="shared" si="86"/>
        <v>0</v>
      </c>
      <c r="Y166" s="38">
        <f t="shared" si="87"/>
        <v>0</v>
      </c>
      <c r="AA166" s="71">
        <v>161</v>
      </c>
      <c r="AB166" s="33">
        <f t="shared" si="88"/>
        <v>0</v>
      </c>
      <c r="AC166" s="308">
        <f t="shared" si="89"/>
        <v>0</v>
      </c>
      <c r="AD166" s="101">
        <f t="shared" si="90"/>
        <v>0</v>
      </c>
      <c r="AE166" s="101">
        <f t="shared" si="91"/>
        <v>0</v>
      </c>
      <c r="AF166" s="197">
        <f t="shared" si="105"/>
        <v>0</v>
      </c>
      <c r="AG166" s="197">
        <f t="shared" si="106"/>
        <v>0</v>
      </c>
      <c r="AH166" s="197">
        <f t="shared" si="107"/>
        <v>0</v>
      </c>
      <c r="AI166" s="202">
        <f t="shared" si="108"/>
        <v>0</v>
      </c>
      <c r="AK166" s="71">
        <v>161</v>
      </c>
      <c r="AL166" s="33">
        <f t="shared" si="92"/>
        <v>0</v>
      </c>
      <c r="AM166" s="33">
        <f t="shared" si="93"/>
        <v>0</v>
      </c>
      <c r="AN166" s="33">
        <f t="shared" si="94"/>
        <v>0</v>
      </c>
      <c r="AO166" s="33">
        <f t="shared" si="95"/>
        <v>0</v>
      </c>
      <c r="AP166" s="33">
        <f t="shared" si="96"/>
        <v>0</v>
      </c>
      <c r="AQ166" s="197">
        <f t="shared" si="109"/>
        <v>0</v>
      </c>
      <c r="AR166" s="197">
        <f t="shared" si="110"/>
        <v>0</v>
      </c>
      <c r="AS166" s="197">
        <f t="shared" si="111"/>
        <v>0</v>
      </c>
      <c r="AT166" s="197">
        <f t="shared" si="112"/>
        <v>0</v>
      </c>
      <c r="AU166" s="33"/>
      <c r="AV166" s="33"/>
      <c r="AW166" s="33"/>
      <c r="AX166" s="33"/>
      <c r="AY166" s="76"/>
    </row>
    <row r="167" spans="3:51">
      <c r="C167" s="169" t="s">
        <v>42</v>
      </c>
      <c r="D167" s="4">
        <v>0.53</v>
      </c>
      <c r="E167" s="191" t="s">
        <v>228</v>
      </c>
      <c r="F167" s="346">
        <f>IF(OR(Tableau145[[#This Row],[Type]]="Feuillus",Tableau145[[#This Row],[Type]]="Peupliers"),1.56,1.3)</f>
        <v>1.56</v>
      </c>
      <c r="I167" s="55">
        <v>162</v>
      </c>
      <c r="J167" s="33">
        <f t="shared" si="99"/>
        <v>0</v>
      </c>
      <c r="K167" s="33">
        <f t="shared" si="100"/>
        <v>0</v>
      </c>
      <c r="L167" s="33">
        <f t="shared" si="101"/>
        <v>0</v>
      </c>
      <c r="M167" s="33">
        <f t="shared" si="102"/>
        <v>0</v>
      </c>
      <c r="N167" s="33">
        <f t="shared" si="82"/>
        <v>0</v>
      </c>
      <c r="O167" s="34">
        <f t="shared" si="83"/>
        <v>0</v>
      </c>
      <c r="P167" s="55">
        <v>162</v>
      </c>
      <c r="Q167" s="33">
        <f t="shared" si="97"/>
        <v>0</v>
      </c>
      <c r="R167" s="33">
        <f t="shared" si="103"/>
        <v>0</v>
      </c>
      <c r="S167" s="33">
        <f t="shared" si="104"/>
        <v>0</v>
      </c>
      <c r="T167" s="33">
        <f t="shared" si="84"/>
        <v>0</v>
      </c>
      <c r="U167" s="33">
        <f t="shared" si="98"/>
        <v>0</v>
      </c>
      <c r="V167" s="33">
        <f t="shared" si="85"/>
        <v>0</v>
      </c>
      <c r="W167" s="33">
        <v>0</v>
      </c>
      <c r="X167" s="33">
        <f t="shared" si="86"/>
        <v>0</v>
      </c>
      <c r="Y167" s="38">
        <f t="shared" si="87"/>
        <v>0</v>
      </c>
      <c r="AA167" s="71">
        <v>162</v>
      </c>
      <c r="AB167" s="33">
        <f t="shared" si="88"/>
        <v>0</v>
      </c>
      <c r="AC167" s="308">
        <f t="shared" si="89"/>
        <v>0</v>
      </c>
      <c r="AD167" s="101">
        <f t="shared" si="90"/>
        <v>0</v>
      </c>
      <c r="AE167" s="101">
        <f t="shared" si="91"/>
        <v>0</v>
      </c>
      <c r="AF167" s="197">
        <f t="shared" si="105"/>
        <v>0</v>
      </c>
      <c r="AG167" s="197">
        <f t="shared" si="106"/>
        <v>0</v>
      </c>
      <c r="AH167" s="197">
        <f t="shared" si="107"/>
        <v>0</v>
      </c>
      <c r="AI167" s="202">
        <f t="shared" si="108"/>
        <v>0</v>
      </c>
      <c r="AK167" s="71">
        <v>162</v>
      </c>
      <c r="AL167" s="33">
        <f t="shared" si="92"/>
        <v>0</v>
      </c>
      <c r="AM167" s="33">
        <f t="shared" si="93"/>
        <v>0</v>
      </c>
      <c r="AN167" s="33">
        <f t="shared" si="94"/>
        <v>0</v>
      </c>
      <c r="AO167" s="33">
        <f t="shared" si="95"/>
        <v>0</v>
      </c>
      <c r="AP167" s="33">
        <f t="shared" si="96"/>
        <v>0</v>
      </c>
      <c r="AQ167" s="197">
        <f t="shared" si="109"/>
        <v>0</v>
      </c>
      <c r="AR167" s="197">
        <f t="shared" si="110"/>
        <v>0</v>
      </c>
      <c r="AS167" s="197">
        <f t="shared" si="111"/>
        <v>0</v>
      </c>
      <c r="AT167" s="197">
        <f t="shared" si="112"/>
        <v>0</v>
      </c>
      <c r="AU167" s="33"/>
      <c r="AV167" s="33"/>
      <c r="AW167" s="33"/>
      <c r="AX167" s="33"/>
      <c r="AY167" s="76"/>
    </row>
    <row r="168" spans="3:51">
      <c r="C168" s="169" t="s">
        <v>43</v>
      </c>
      <c r="D168" s="4">
        <v>0.52</v>
      </c>
      <c r="E168" s="191" t="s">
        <v>228</v>
      </c>
      <c r="F168" s="346">
        <f>IF(OR(Tableau145[[#This Row],[Type]]="Feuillus",Tableau145[[#This Row],[Type]]="Peupliers"),1.56,1.3)</f>
        <v>1.56</v>
      </c>
      <c r="I168" s="55">
        <v>163</v>
      </c>
      <c r="J168" s="33">
        <f t="shared" si="99"/>
        <v>0</v>
      </c>
      <c r="K168" s="33">
        <f t="shared" si="100"/>
        <v>0</v>
      </c>
      <c r="L168" s="33">
        <f t="shared" si="101"/>
        <v>0</v>
      </c>
      <c r="M168" s="33">
        <f t="shared" si="102"/>
        <v>0</v>
      </c>
      <c r="N168" s="33">
        <f t="shared" si="82"/>
        <v>0</v>
      </c>
      <c r="O168" s="34">
        <f t="shared" si="83"/>
        <v>0</v>
      </c>
      <c r="P168" s="55">
        <v>163</v>
      </c>
      <c r="Q168" s="33">
        <f t="shared" si="97"/>
        <v>0</v>
      </c>
      <c r="R168" s="33">
        <f t="shared" si="103"/>
        <v>0</v>
      </c>
      <c r="S168" s="33">
        <f t="shared" si="104"/>
        <v>0</v>
      </c>
      <c r="T168" s="33">
        <f t="shared" si="84"/>
        <v>0</v>
      </c>
      <c r="U168" s="33">
        <f t="shared" si="98"/>
        <v>0</v>
      </c>
      <c r="V168" s="33">
        <f t="shared" si="85"/>
        <v>0</v>
      </c>
      <c r="W168" s="33">
        <v>0</v>
      </c>
      <c r="X168" s="33">
        <f t="shared" si="86"/>
        <v>0</v>
      </c>
      <c r="Y168" s="38">
        <f t="shared" si="87"/>
        <v>0</v>
      </c>
      <c r="AA168" s="71">
        <v>163</v>
      </c>
      <c r="AB168" s="33">
        <f t="shared" si="88"/>
        <v>0</v>
      </c>
      <c r="AC168" s="308">
        <f t="shared" si="89"/>
        <v>0</v>
      </c>
      <c r="AD168" s="101">
        <f t="shared" si="90"/>
        <v>0</v>
      </c>
      <c r="AE168" s="101">
        <f t="shared" si="91"/>
        <v>0</v>
      </c>
      <c r="AF168" s="197">
        <f t="shared" si="105"/>
        <v>0</v>
      </c>
      <c r="AG168" s="197">
        <f t="shared" si="106"/>
        <v>0</v>
      </c>
      <c r="AH168" s="197">
        <f t="shared" si="107"/>
        <v>0</v>
      </c>
      <c r="AI168" s="202">
        <f t="shared" si="108"/>
        <v>0</v>
      </c>
      <c r="AK168" s="71">
        <v>163</v>
      </c>
      <c r="AL168" s="33">
        <f t="shared" si="92"/>
        <v>0</v>
      </c>
      <c r="AM168" s="33">
        <f t="shared" si="93"/>
        <v>0</v>
      </c>
      <c r="AN168" s="33">
        <f t="shared" si="94"/>
        <v>0</v>
      </c>
      <c r="AO168" s="33">
        <f t="shared" si="95"/>
        <v>0</v>
      </c>
      <c r="AP168" s="33">
        <f t="shared" si="96"/>
        <v>0</v>
      </c>
      <c r="AQ168" s="197">
        <f t="shared" si="109"/>
        <v>0</v>
      </c>
      <c r="AR168" s="197">
        <f t="shared" si="110"/>
        <v>0</v>
      </c>
      <c r="AS168" s="197">
        <f t="shared" si="111"/>
        <v>0</v>
      </c>
      <c r="AT168" s="197">
        <f t="shared" si="112"/>
        <v>0</v>
      </c>
      <c r="AU168" s="33"/>
      <c r="AV168" s="33"/>
      <c r="AW168" s="33"/>
      <c r="AX168" s="33"/>
      <c r="AY168" s="76"/>
    </row>
    <row r="169" spans="3:51">
      <c r="C169" s="169" t="s">
        <v>44</v>
      </c>
      <c r="D169" s="4">
        <v>0.52</v>
      </c>
      <c r="E169" s="191" t="s">
        <v>228</v>
      </c>
      <c r="F169" s="346">
        <f>IF(OR(Tableau145[[#This Row],[Type]]="Feuillus",Tableau145[[#This Row],[Type]]="Peupliers"),1.56,1.3)</f>
        <v>1.56</v>
      </c>
      <c r="I169" s="55">
        <v>164</v>
      </c>
      <c r="J169" s="33">
        <f t="shared" si="99"/>
        <v>0</v>
      </c>
      <c r="K169" s="33">
        <f t="shared" si="100"/>
        <v>0</v>
      </c>
      <c r="L169" s="33">
        <f t="shared" si="101"/>
        <v>0</v>
      </c>
      <c r="M169" s="33">
        <f t="shared" si="102"/>
        <v>0</v>
      </c>
      <c r="N169" s="33">
        <f t="shared" si="82"/>
        <v>0</v>
      </c>
      <c r="O169" s="34">
        <f t="shared" si="83"/>
        <v>0</v>
      </c>
      <c r="P169" s="55">
        <v>164</v>
      </c>
      <c r="Q169" s="33">
        <f t="shared" si="97"/>
        <v>0</v>
      </c>
      <c r="R169" s="33">
        <f t="shared" si="103"/>
        <v>0</v>
      </c>
      <c r="S169" s="33">
        <f t="shared" si="104"/>
        <v>0</v>
      </c>
      <c r="T169" s="33">
        <f t="shared" si="84"/>
        <v>0</v>
      </c>
      <c r="U169" s="33">
        <f t="shared" si="98"/>
        <v>0</v>
      </c>
      <c r="V169" s="33">
        <f t="shared" si="85"/>
        <v>0</v>
      </c>
      <c r="W169" s="33">
        <v>0</v>
      </c>
      <c r="X169" s="33">
        <f t="shared" si="86"/>
        <v>0</v>
      </c>
      <c r="Y169" s="38">
        <f t="shared" si="87"/>
        <v>0</v>
      </c>
      <c r="AA169" s="71">
        <v>164</v>
      </c>
      <c r="AB169" s="33">
        <f t="shared" si="88"/>
        <v>0</v>
      </c>
      <c r="AC169" s="308">
        <f t="shared" si="89"/>
        <v>0</v>
      </c>
      <c r="AD169" s="101">
        <f t="shared" si="90"/>
        <v>0</v>
      </c>
      <c r="AE169" s="101">
        <f t="shared" si="91"/>
        <v>0</v>
      </c>
      <c r="AF169" s="197">
        <f t="shared" si="105"/>
        <v>0</v>
      </c>
      <c r="AG169" s="197">
        <f t="shared" si="106"/>
        <v>0</v>
      </c>
      <c r="AH169" s="197">
        <f t="shared" si="107"/>
        <v>0</v>
      </c>
      <c r="AI169" s="202">
        <f t="shared" si="108"/>
        <v>0</v>
      </c>
      <c r="AK169" s="71">
        <v>164</v>
      </c>
      <c r="AL169" s="33">
        <f t="shared" si="92"/>
        <v>0</v>
      </c>
      <c r="AM169" s="33">
        <f t="shared" si="93"/>
        <v>0</v>
      </c>
      <c r="AN169" s="33">
        <f t="shared" si="94"/>
        <v>0</v>
      </c>
      <c r="AO169" s="33">
        <f t="shared" si="95"/>
        <v>0</v>
      </c>
      <c r="AP169" s="33">
        <f t="shared" si="96"/>
        <v>0</v>
      </c>
      <c r="AQ169" s="197">
        <f t="shared" si="109"/>
        <v>0</v>
      </c>
      <c r="AR169" s="197">
        <f t="shared" si="110"/>
        <v>0</v>
      </c>
      <c r="AS169" s="197">
        <f t="shared" si="111"/>
        <v>0</v>
      </c>
      <c r="AT169" s="197">
        <f t="shared" si="112"/>
        <v>0</v>
      </c>
      <c r="AU169" s="33"/>
      <c r="AV169" s="33"/>
      <c r="AW169" s="33"/>
      <c r="AX169" s="33"/>
      <c r="AY169" s="76"/>
    </row>
    <row r="170" spans="3:51">
      <c r="C170" s="169" t="s">
        <v>45</v>
      </c>
      <c r="D170" s="4">
        <v>0.75</v>
      </c>
      <c r="E170" s="191" t="s">
        <v>228</v>
      </c>
      <c r="F170" s="346">
        <f>IF(OR(Tableau145[[#This Row],[Type]]="Feuillus",Tableau145[[#This Row],[Type]]="Peupliers"),1.56,1.3)</f>
        <v>1.56</v>
      </c>
      <c r="I170" s="55">
        <v>165</v>
      </c>
      <c r="J170" s="33">
        <f t="shared" si="99"/>
        <v>0</v>
      </c>
      <c r="K170" s="33">
        <f t="shared" si="100"/>
        <v>0</v>
      </c>
      <c r="L170" s="33">
        <f t="shared" si="101"/>
        <v>0</v>
      </c>
      <c r="M170" s="33">
        <f t="shared" si="102"/>
        <v>0</v>
      </c>
      <c r="N170" s="33">
        <f t="shared" si="82"/>
        <v>0</v>
      </c>
      <c r="O170" s="34">
        <f t="shared" si="83"/>
        <v>0</v>
      </c>
      <c r="P170" s="55">
        <v>165</v>
      </c>
      <c r="Q170" s="33">
        <f t="shared" si="97"/>
        <v>0</v>
      </c>
      <c r="R170" s="33">
        <f t="shared" si="103"/>
        <v>0</v>
      </c>
      <c r="S170" s="33">
        <f t="shared" si="104"/>
        <v>0</v>
      </c>
      <c r="T170" s="33">
        <f t="shared" si="84"/>
        <v>0</v>
      </c>
      <c r="U170" s="33">
        <f t="shared" si="98"/>
        <v>0</v>
      </c>
      <c r="V170" s="33">
        <f t="shared" si="85"/>
        <v>0</v>
      </c>
      <c r="W170" s="33">
        <v>0</v>
      </c>
      <c r="X170" s="33">
        <f t="shared" si="86"/>
        <v>0</v>
      </c>
      <c r="Y170" s="38">
        <f t="shared" si="87"/>
        <v>0</v>
      </c>
      <c r="AA170" s="71">
        <v>165</v>
      </c>
      <c r="AB170" s="33">
        <f t="shared" si="88"/>
        <v>0</v>
      </c>
      <c r="AC170" s="308">
        <f t="shared" si="89"/>
        <v>0</v>
      </c>
      <c r="AD170" s="101">
        <f t="shared" si="90"/>
        <v>0</v>
      </c>
      <c r="AE170" s="101">
        <f t="shared" si="91"/>
        <v>0</v>
      </c>
      <c r="AF170" s="197">
        <f t="shared" si="105"/>
        <v>0</v>
      </c>
      <c r="AG170" s="197">
        <f t="shared" si="106"/>
        <v>0</v>
      </c>
      <c r="AH170" s="197">
        <f t="shared" si="107"/>
        <v>0</v>
      </c>
      <c r="AI170" s="202">
        <f t="shared" si="108"/>
        <v>0</v>
      </c>
      <c r="AK170" s="71">
        <v>165</v>
      </c>
      <c r="AL170" s="33">
        <f t="shared" si="92"/>
        <v>0</v>
      </c>
      <c r="AM170" s="33">
        <f t="shared" si="93"/>
        <v>0</v>
      </c>
      <c r="AN170" s="33">
        <f t="shared" si="94"/>
        <v>0</v>
      </c>
      <c r="AO170" s="33">
        <f t="shared" si="95"/>
        <v>0</v>
      </c>
      <c r="AP170" s="33">
        <f t="shared" si="96"/>
        <v>0</v>
      </c>
      <c r="AQ170" s="197">
        <f t="shared" si="109"/>
        <v>0</v>
      </c>
      <c r="AR170" s="197">
        <f t="shared" si="110"/>
        <v>0</v>
      </c>
      <c r="AS170" s="197">
        <f t="shared" si="111"/>
        <v>0</v>
      </c>
      <c r="AT170" s="197">
        <f t="shared" si="112"/>
        <v>0</v>
      </c>
      <c r="AU170" s="33"/>
      <c r="AV170" s="33"/>
      <c r="AW170" s="33"/>
      <c r="AX170" s="33"/>
      <c r="AY170" s="76"/>
    </row>
    <row r="171" spans="3:51">
      <c r="C171" s="169" t="s">
        <v>46</v>
      </c>
      <c r="D171" s="4">
        <v>0.52</v>
      </c>
      <c r="E171" s="191" t="s">
        <v>228</v>
      </c>
      <c r="F171" s="346">
        <f>IF(OR(Tableau145[[#This Row],[Type]]="Feuillus",Tableau145[[#This Row],[Type]]="Peupliers"),1.56,1.3)</f>
        <v>1.56</v>
      </c>
      <c r="I171" s="55">
        <v>166</v>
      </c>
      <c r="J171" s="33">
        <f t="shared" si="99"/>
        <v>0</v>
      </c>
      <c r="K171" s="33">
        <f t="shared" si="100"/>
        <v>0</v>
      </c>
      <c r="L171" s="33">
        <f t="shared" si="101"/>
        <v>0</v>
      </c>
      <c r="M171" s="33">
        <f t="shared" si="102"/>
        <v>0</v>
      </c>
      <c r="N171" s="33">
        <f t="shared" si="82"/>
        <v>0</v>
      </c>
      <c r="O171" s="34">
        <f t="shared" si="83"/>
        <v>0</v>
      </c>
      <c r="P171" s="55">
        <v>166</v>
      </c>
      <c r="Q171" s="33">
        <f t="shared" si="97"/>
        <v>0</v>
      </c>
      <c r="R171" s="33">
        <f t="shared" si="103"/>
        <v>0</v>
      </c>
      <c r="S171" s="33">
        <f t="shared" si="104"/>
        <v>0</v>
      </c>
      <c r="T171" s="33">
        <f t="shared" si="84"/>
        <v>0</v>
      </c>
      <c r="U171" s="33">
        <f t="shared" si="98"/>
        <v>0</v>
      </c>
      <c r="V171" s="33">
        <f t="shared" si="85"/>
        <v>0</v>
      </c>
      <c r="W171" s="33">
        <v>0</v>
      </c>
      <c r="X171" s="33">
        <f t="shared" si="86"/>
        <v>0</v>
      </c>
      <c r="Y171" s="38">
        <f t="shared" si="87"/>
        <v>0</v>
      </c>
      <c r="AA171" s="71">
        <v>166</v>
      </c>
      <c r="AB171" s="33">
        <f t="shared" si="88"/>
        <v>0</v>
      </c>
      <c r="AC171" s="308">
        <f t="shared" si="89"/>
        <v>0</v>
      </c>
      <c r="AD171" s="101">
        <f t="shared" si="90"/>
        <v>0</v>
      </c>
      <c r="AE171" s="101">
        <f t="shared" si="91"/>
        <v>0</v>
      </c>
      <c r="AF171" s="197">
        <f t="shared" si="105"/>
        <v>0</v>
      </c>
      <c r="AG171" s="197">
        <f t="shared" si="106"/>
        <v>0</v>
      </c>
      <c r="AH171" s="197">
        <f t="shared" si="107"/>
        <v>0</v>
      </c>
      <c r="AI171" s="202">
        <f t="shared" si="108"/>
        <v>0</v>
      </c>
      <c r="AK171" s="71">
        <v>166</v>
      </c>
      <c r="AL171" s="33">
        <f t="shared" si="92"/>
        <v>0</v>
      </c>
      <c r="AM171" s="33">
        <f t="shared" si="93"/>
        <v>0</v>
      </c>
      <c r="AN171" s="33">
        <f t="shared" si="94"/>
        <v>0</v>
      </c>
      <c r="AO171" s="33">
        <f t="shared" si="95"/>
        <v>0</v>
      </c>
      <c r="AP171" s="33">
        <f t="shared" si="96"/>
        <v>0</v>
      </c>
      <c r="AQ171" s="197">
        <f t="shared" si="109"/>
        <v>0</v>
      </c>
      <c r="AR171" s="197">
        <f t="shared" si="110"/>
        <v>0</v>
      </c>
      <c r="AS171" s="197">
        <f t="shared" si="111"/>
        <v>0</v>
      </c>
      <c r="AT171" s="197">
        <f t="shared" si="112"/>
        <v>0</v>
      </c>
      <c r="AU171" s="33"/>
      <c r="AV171" s="33"/>
      <c r="AW171" s="33"/>
      <c r="AX171" s="33"/>
      <c r="AY171" s="76"/>
    </row>
    <row r="172" spans="3:51">
      <c r="C172" s="169" t="s">
        <v>47</v>
      </c>
      <c r="D172" s="4">
        <v>0.35</v>
      </c>
      <c r="E172" s="191" t="s">
        <v>230</v>
      </c>
      <c r="F172" s="346">
        <f>IF(OR(Tableau145[[#This Row],[Type]]="Feuillus",Tableau145[[#This Row],[Type]]="Peupliers"),1.56,1.3)</f>
        <v>1.56</v>
      </c>
      <c r="I172" s="55">
        <v>167</v>
      </c>
      <c r="J172" s="33">
        <f t="shared" si="99"/>
        <v>0</v>
      </c>
      <c r="K172" s="33">
        <f t="shared" si="100"/>
        <v>0</v>
      </c>
      <c r="L172" s="33">
        <f t="shared" si="101"/>
        <v>0</v>
      </c>
      <c r="M172" s="33">
        <f t="shared" si="102"/>
        <v>0</v>
      </c>
      <c r="N172" s="33">
        <f t="shared" si="82"/>
        <v>0</v>
      </c>
      <c r="O172" s="34">
        <f t="shared" si="83"/>
        <v>0</v>
      </c>
      <c r="P172" s="55">
        <v>167</v>
      </c>
      <c r="Q172" s="33">
        <f t="shared" si="97"/>
        <v>0</v>
      </c>
      <c r="R172" s="33">
        <f t="shared" si="103"/>
        <v>0</v>
      </c>
      <c r="S172" s="33">
        <f t="shared" si="104"/>
        <v>0</v>
      </c>
      <c r="T172" s="33">
        <f t="shared" si="84"/>
        <v>0</v>
      </c>
      <c r="U172" s="33">
        <f t="shared" si="98"/>
        <v>0</v>
      </c>
      <c r="V172" s="33">
        <f t="shared" si="85"/>
        <v>0</v>
      </c>
      <c r="W172" s="33">
        <v>0</v>
      </c>
      <c r="X172" s="33">
        <f t="shared" si="86"/>
        <v>0</v>
      </c>
      <c r="Y172" s="38">
        <f t="shared" si="87"/>
        <v>0</v>
      </c>
      <c r="AA172" s="71">
        <v>167</v>
      </c>
      <c r="AB172" s="33">
        <f t="shared" si="88"/>
        <v>0</v>
      </c>
      <c r="AC172" s="308">
        <f t="shared" si="89"/>
        <v>0</v>
      </c>
      <c r="AD172" s="101">
        <f t="shared" si="90"/>
        <v>0</v>
      </c>
      <c r="AE172" s="101">
        <f t="shared" si="91"/>
        <v>0</v>
      </c>
      <c r="AF172" s="197">
        <f t="shared" si="105"/>
        <v>0</v>
      </c>
      <c r="AG172" s="197">
        <f t="shared" si="106"/>
        <v>0</v>
      </c>
      <c r="AH172" s="197">
        <f t="shared" si="107"/>
        <v>0</v>
      </c>
      <c r="AI172" s="202">
        <f t="shared" si="108"/>
        <v>0</v>
      </c>
      <c r="AK172" s="71">
        <v>167</v>
      </c>
      <c r="AL172" s="33">
        <f t="shared" si="92"/>
        <v>0</v>
      </c>
      <c r="AM172" s="33">
        <f t="shared" si="93"/>
        <v>0</v>
      </c>
      <c r="AN172" s="33">
        <f t="shared" si="94"/>
        <v>0</v>
      </c>
      <c r="AO172" s="33">
        <f t="shared" si="95"/>
        <v>0</v>
      </c>
      <c r="AP172" s="33">
        <f t="shared" si="96"/>
        <v>0</v>
      </c>
      <c r="AQ172" s="197">
        <f t="shared" si="109"/>
        <v>0</v>
      </c>
      <c r="AR172" s="197">
        <f t="shared" si="110"/>
        <v>0</v>
      </c>
      <c r="AS172" s="197">
        <f t="shared" si="111"/>
        <v>0</v>
      </c>
      <c r="AT172" s="197">
        <f t="shared" si="112"/>
        <v>0</v>
      </c>
      <c r="AU172" s="33"/>
      <c r="AV172" s="33"/>
      <c r="AW172" s="33"/>
      <c r="AX172" s="33"/>
      <c r="AY172" s="76"/>
    </row>
    <row r="173" spans="3:51">
      <c r="C173" s="169" t="s">
        <v>48</v>
      </c>
      <c r="D173" s="4">
        <v>0.37</v>
      </c>
      <c r="E173" s="191" t="s">
        <v>228</v>
      </c>
      <c r="F173" s="346">
        <f>IF(OR(Tableau145[[#This Row],[Type]]="Feuillus",Tableau145[[#This Row],[Type]]="Peupliers"),1.56,1.3)</f>
        <v>1.56</v>
      </c>
      <c r="I173" s="55">
        <v>168</v>
      </c>
      <c r="J173" s="33">
        <f t="shared" si="99"/>
        <v>0</v>
      </c>
      <c r="K173" s="33">
        <f t="shared" si="100"/>
        <v>0</v>
      </c>
      <c r="L173" s="33">
        <f t="shared" si="101"/>
        <v>0</v>
      </c>
      <c r="M173" s="33">
        <f t="shared" si="102"/>
        <v>0</v>
      </c>
      <c r="N173" s="33">
        <f t="shared" si="82"/>
        <v>0</v>
      </c>
      <c r="O173" s="34">
        <f t="shared" si="83"/>
        <v>0</v>
      </c>
      <c r="P173" s="55">
        <v>168</v>
      </c>
      <c r="Q173" s="33">
        <f t="shared" si="97"/>
        <v>0</v>
      </c>
      <c r="R173" s="33">
        <f t="shared" si="103"/>
        <v>0</v>
      </c>
      <c r="S173" s="33">
        <f t="shared" si="104"/>
        <v>0</v>
      </c>
      <c r="T173" s="33">
        <f t="shared" si="84"/>
        <v>0</v>
      </c>
      <c r="U173" s="33">
        <f t="shared" si="98"/>
        <v>0</v>
      </c>
      <c r="V173" s="33">
        <f t="shared" si="85"/>
        <v>0</v>
      </c>
      <c r="W173" s="33">
        <v>0</v>
      </c>
      <c r="X173" s="33">
        <f t="shared" si="86"/>
        <v>0</v>
      </c>
      <c r="Y173" s="38">
        <f t="shared" si="87"/>
        <v>0</v>
      </c>
      <c r="AA173" s="71">
        <v>168</v>
      </c>
      <c r="AB173" s="33">
        <f t="shared" si="88"/>
        <v>0</v>
      </c>
      <c r="AC173" s="308">
        <f t="shared" si="89"/>
        <v>0</v>
      </c>
      <c r="AD173" s="101">
        <f t="shared" si="90"/>
        <v>0</v>
      </c>
      <c r="AE173" s="101">
        <f t="shared" si="91"/>
        <v>0</v>
      </c>
      <c r="AF173" s="197">
        <f t="shared" si="105"/>
        <v>0</v>
      </c>
      <c r="AG173" s="197">
        <f t="shared" si="106"/>
        <v>0</v>
      </c>
      <c r="AH173" s="197">
        <f t="shared" si="107"/>
        <v>0</v>
      </c>
      <c r="AI173" s="202">
        <f t="shared" si="108"/>
        <v>0</v>
      </c>
      <c r="AK173" s="71">
        <v>168</v>
      </c>
      <c r="AL173" s="33">
        <f t="shared" si="92"/>
        <v>0</v>
      </c>
      <c r="AM173" s="33">
        <f t="shared" si="93"/>
        <v>0</v>
      </c>
      <c r="AN173" s="33">
        <f t="shared" si="94"/>
        <v>0</v>
      </c>
      <c r="AO173" s="33">
        <f t="shared" si="95"/>
        <v>0</v>
      </c>
      <c r="AP173" s="33">
        <f t="shared" si="96"/>
        <v>0</v>
      </c>
      <c r="AQ173" s="197">
        <f t="shared" si="109"/>
        <v>0</v>
      </c>
      <c r="AR173" s="197">
        <f t="shared" si="110"/>
        <v>0</v>
      </c>
      <c r="AS173" s="197">
        <f t="shared" si="111"/>
        <v>0</v>
      </c>
      <c r="AT173" s="197">
        <f t="shared" si="112"/>
        <v>0</v>
      </c>
      <c r="AU173" s="33"/>
      <c r="AV173" s="33"/>
      <c r="AW173" s="33"/>
      <c r="AX173" s="33"/>
      <c r="AY173" s="76"/>
    </row>
    <row r="174" spans="3:51">
      <c r="C174" s="169" t="s">
        <v>49</v>
      </c>
      <c r="D174" s="4">
        <v>0.45</v>
      </c>
      <c r="E174" s="191" t="s">
        <v>229</v>
      </c>
      <c r="F174" s="346">
        <f>IF(OR(Tableau145[[#This Row],[Type]]="Feuillus",Tableau145[[#This Row],[Type]]="Peupliers"),1.56,1.3)</f>
        <v>1.3</v>
      </c>
      <c r="I174" s="55">
        <v>169</v>
      </c>
      <c r="J174" s="33">
        <f t="shared" si="99"/>
        <v>0</v>
      </c>
      <c r="K174" s="33">
        <f t="shared" si="100"/>
        <v>0</v>
      </c>
      <c r="L174" s="33">
        <f t="shared" si="101"/>
        <v>0</v>
      </c>
      <c r="M174" s="33">
        <f t="shared" si="102"/>
        <v>0</v>
      </c>
      <c r="N174" s="33">
        <f t="shared" si="82"/>
        <v>0</v>
      </c>
      <c r="O174" s="34">
        <f t="shared" si="83"/>
        <v>0</v>
      </c>
      <c r="P174" s="55">
        <v>169</v>
      </c>
      <c r="Q174" s="33">
        <f t="shared" si="97"/>
        <v>0</v>
      </c>
      <c r="R174" s="33">
        <f t="shared" si="103"/>
        <v>0</v>
      </c>
      <c r="S174" s="33">
        <f t="shared" si="104"/>
        <v>0</v>
      </c>
      <c r="T174" s="33">
        <f t="shared" si="84"/>
        <v>0</v>
      </c>
      <c r="U174" s="33">
        <f t="shared" si="98"/>
        <v>0</v>
      </c>
      <c r="V174" s="33">
        <f t="shared" si="85"/>
        <v>0</v>
      </c>
      <c r="W174" s="33">
        <v>0</v>
      </c>
      <c r="X174" s="33">
        <f t="shared" si="86"/>
        <v>0</v>
      </c>
      <c r="Y174" s="38">
        <f t="shared" si="87"/>
        <v>0</v>
      </c>
      <c r="AA174" s="71">
        <v>169</v>
      </c>
      <c r="AB174" s="33">
        <f t="shared" si="88"/>
        <v>0</v>
      </c>
      <c r="AC174" s="308">
        <f t="shared" si="89"/>
        <v>0</v>
      </c>
      <c r="AD174" s="101">
        <f t="shared" si="90"/>
        <v>0</v>
      </c>
      <c r="AE174" s="101">
        <f t="shared" si="91"/>
        <v>0</v>
      </c>
      <c r="AF174" s="197">
        <f t="shared" si="105"/>
        <v>0</v>
      </c>
      <c r="AG174" s="197">
        <f t="shared" si="106"/>
        <v>0</v>
      </c>
      <c r="AH174" s="197">
        <f t="shared" si="107"/>
        <v>0</v>
      </c>
      <c r="AI174" s="202">
        <f t="shared" si="108"/>
        <v>0</v>
      </c>
      <c r="AK174" s="71">
        <v>169</v>
      </c>
      <c r="AL174" s="33">
        <f t="shared" si="92"/>
        <v>0</v>
      </c>
      <c r="AM174" s="33">
        <f t="shared" si="93"/>
        <v>0</v>
      </c>
      <c r="AN174" s="33">
        <f t="shared" si="94"/>
        <v>0</v>
      </c>
      <c r="AO174" s="33">
        <f t="shared" si="95"/>
        <v>0</v>
      </c>
      <c r="AP174" s="33">
        <f t="shared" si="96"/>
        <v>0</v>
      </c>
      <c r="AQ174" s="197">
        <f t="shared" si="109"/>
        <v>0</v>
      </c>
      <c r="AR174" s="197">
        <f t="shared" si="110"/>
        <v>0</v>
      </c>
      <c r="AS174" s="197">
        <f t="shared" si="111"/>
        <v>0</v>
      </c>
      <c r="AT174" s="197">
        <f t="shared" si="112"/>
        <v>0</v>
      </c>
      <c r="AU174" s="33"/>
      <c r="AV174" s="33"/>
      <c r="AW174" s="33"/>
      <c r="AX174" s="33"/>
      <c r="AY174" s="76"/>
    </row>
    <row r="175" spans="3:51">
      <c r="C175" s="169" t="s">
        <v>50</v>
      </c>
      <c r="D175" s="4">
        <v>0.39</v>
      </c>
      <c r="E175" s="191" t="s">
        <v>229</v>
      </c>
      <c r="F175" s="346">
        <f>IF(OR(Tableau145[[#This Row],[Type]]="Feuillus",Tableau145[[#This Row],[Type]]="Peupliers"),1.56,1.3)</f>
        <v>1.3</v>
      </c>
      <c r="I175" s="55">
        <v>170</v>
      </c>
      <c r="J175" s="33">
        <f t="shared" si="99"/>
        <v>0</v>
      </c>
      <c r="K175" s="33">
        <f t="shared" si="100"/>
        <v>0</v>
      </c>
      <c r="L175" s="33">
        <f t="shared" si="101"/>
        <v>0</v>
      </c>
      <c r="M175" s="33">
        <f t="shared" si="102"/>
        <v>0</v>
      </c>
      <c r="N175" s="33">
        <f t="shared" si="82"/>
        <v>0</v>
      </c>
      <c r="O175" s="34">
        <f t="shared" si="83"/>
        <v>0</v>
      </c>
      <c r="P175" s="55">
        <v>170</v>
      </c>
      <c r="Q175" s="33">
        <f t="shared" si="97"/>
        <v>0</v>
      </c>
      <c r="R175" s="33">
        <f t="shared" si="103"/>
        <v>0</v>
      </c>
      <c r="S175" s="33">
        <f t="shared" si="104"/>
        <v>0</v>
      </c>
      <c r="T175" s="33">
        <f t="shared" si="84"/>
        <v>0</v>
      </c>
      <c r="U175" s="33">
        <f t="shared" si="98"/>
        <v>0</v>
      </c>
      <c r="V175" s="33">
        <f t="shared" si="85"/>
        <v>0</v>
      </c>
      <c r="W175" s="33">
        <v>0</v>
      </c>
      <c r="X175" s="33">
        <f t="shared" si="86"/>
        <v>0</v>
      </c>
      <c r="Y175" s="38">
        <f t="shared" si="87"/>
        <v>0</v>
      </c>
      <c r="AA175" s="71">
        <v>170</v>
      </c>
      <c r="AB175" s="33">
        <f t="shared" si="88"/>
        <v>0</v>
      </c>
      <c r="AC175" s="308">
        <f t="shared" si="89"/>
        <v>0</v>
      </c>
      <c r="AD175" s="101">
        <f t="shared" si="90"/>
        <v>0</v>
      </c>
      <c r="AE175" s="101">
        <f t="shared" si="91"/>
        <v>0</v>
      </c>
      <c r="AF175" s="197">
        <f t="shared" si="105"/>
        <v>0</v>
      </c>
      <c r="AG175" s="197">
        <f t="shared" si="106"/>
        <v>0</v>
      </c>
      <c r="AH175" s="197">
        <f t="shared" si="107"/>
        <v>0</v>
      </c>
      <c r="AI175" s="202">
        <f t="shared" si="108"/>
        <v>0</v>
      </c>
      <c r="AK175" s="71">
        <v>170</v>
      </c>
      <c r="AL175" s="33">
        <f t="shared" si="92"/>
        <v>0</v>
      </c>
      <c r="AM175" s="33">
        <f t="shared" si="93"/>
        <v>0</v>
      </c>
      <c r="AN175" s="33">
        <f t="shared" si="94"/>
        <v>0</v>
      </c>
      <c r="AO175" s="33">
        <f t="shared" si="95"/>
        <v>0</v>
      </c>
      <c r="AP175" s="33">
        <f t="shared" si="96"/>
        <v>0</v>
      </c>
      <c r="AQ175" s="197">
        <f t="shared" si="109"/>
        <v>0</v>
      </c>
      <c r="AR175" s="197">
        <f t="shared" si="110"/>
        <v>0</v>
      </c>
      <c r="AS175" s="197">
        <f t="shared" si="111"/>
        <v>0</v>
      </c>
      <c r="AT175" s="197">
        <f t="shared" si="112"/>
        <v>0</v>
      </c>
      <c r="AU175" s="33"/>
      <c r="AV175" s="33"/>
      <c r="AW175" s="33"/>
      <c r="AX175" s="33"/>
      <c r="AY175" s="76"/>
    </row>
    <row r="176" spans="3:51">
      <c r="C176" s="169" t="s">
        <v>51</v>
      </c>
      <c r="D176" s="4">
        <v>0.44</v>
      </c>
      <c r="E176" s="191" t="s">
        <v>229</v>
      </c>
      <c r="F176" s="346">
        <f>IF(OR(Tableau145[[#This Row],[Type]]="Feuillus",Tableau145[[#This Row],[Type]]="Peupliers"),1.56,1.3)</f>
        <v>1.3</v>
      </c>
      <c r="I176" s="55">
        <v>171</v>
      </c>
      <c r="J176" s="33">
        <f t="shared" si="99"/>
        <v>0</v>
      </c>
      <c r="K176" s="33">
        <f t="shared" si="100"/>
        <v>0</v>
      </c>
      <c r="L176" s="33">
        <f t="shared" si="101"/>
        <v>0</v>
      </c>
      <c r="M176" s="33">
        <f t="shared" si="102"/>
        <v>0</v>
      </c>
      <c r="N176" s="33">
        <f t="shared" si="82"/>
        <v>0</v>
      </c>
      <c r="O176" s="34">
        <f t="shared" si="83"/>
        <v>0</v>
      </c>
      <c r="P176" s="55">
        <v>171</v>
      </c>
      <c r="Q176" s="33">
        <f t="shared" si="97"/>
        <v>0</v>
      </c>
      <c r="R176" s="33">
        <f t="shared" si="103"/>
        <v>0</v>
      </c>
      <c r="S176" s="33">
        <f t="shared" si="104"/>
        <v>0</v>
      </c>
      <c r="T176" s="33">
        <f t="shared" si="84"/>
        <v>0</v>
      </c>
      <c r="U176" s="33">
        <f t="shared" si="98"/>
        <v>0</v>
      </c>
      <c r="V176" s="33">
        <f t="shared" si="85"/>
        <v>0</v>
      </c>
      <c r="W176" s="33">
        <v>0</v>
      </c>
      <c r="X176" s="33">
        <f t="shared" si="86"/>
        <v>0</v>
      </c>
      <c r="Y176" s="38">
        <f t="shared" si="87"/>
        <v>0</v>
      </c>
      <c r="AA176" s="71">
        <v>171</v>
      </c>
      <c r="AB176" s="33">
        <f t="shared" si="88"/>
        <v>0</v>
      </c>
      <c r="AC176" s="308">
        <f t="shared" si="89"/>
        <v>0</v>
      </c>
      <c r="AD176" s="101">
        <f t="shared" si="90"/>
        <v>0</v>
      </c>
      <c r="AE176" s="101">
        <f t="shared" si="91"/>
        <v>0</v>
      </c>
      <c r="AF176" s="197">
        <f t="shared" si="105"/>
        <v>0</v>
      </c>
      <c r="AG176" s="197">
        <f t="shared" si="106"/>
        <v>0</v>
      </c>
      <c r="AH176" s="197">
        <f t="shared" si="107"/>
        <v>0</v>
      </c>
      <c r="AI176" s="202">
        <f t="shared" si="108"/>
        <v>0</v>
      </c>
      <c r="AK176" s="71">
        <v>171</v>
      </c>
      <c r="AL176" s="33">
        <f t="shared" si="92"/>
        <v>0</v>
      </c>
      <c r="AM176" s="33">
        <f t="shared" si="93"/>
        <v>0</v>
      </c>
      <c r="AN176" s="33">
        <f t="shared" si="94"/>
        <v>0</v>
      </c>
      <c r="AO176" s="33">
        <f t="shared" si="95"/>
        <v>0</v>
      </c>
      <c r="AP176" s="33">
        <f t="shared" si="96"/>
        <v>0</v>
      </c>
      <c r="AQ176" s="197">
        <f t="shared" si="109"/>
        <v>0</v>
      </c>
      <c r="AR176" s="197">
        <f t="shared" si="110"/>
        <v>0</v>
      </c>
      <c r="AS176" s="197">
        <f t="shared" si="111"/>
        <v>0</v>
      </c>
      <c r="AT176" s="197">
        <f t="shared" si="112"/>
        <v>0</v>
      </c>
      <c r="AU176" s="33"/>
      <c r="AV176" s="33"/>
      <c r="AW176" s="33"/>
      <c r="AX176" s="33"/>
      <c r="AY176" s="76"/>
    </row>
    <row r="177" spans="3:51">
      <c r="C177" s="169" t="s">
        <v>52</v>
      </c>
      <c r="D177" s="4">
        <v>0.46</v>
      </c>
      <c r="E177" s="191" t="s">
        <v>229</v>
      </c>
      <c r="F177" s="346">
        <f>IF(OR(Tableau145[[#This Row],[Type]]="Feuillus",Tableau145[[#This Row],[Type]]="Peupliers"),1.56,1.3)</f>
        <v>1.3</v>
      </c>
      <c r="I177" s="55">
        <v>172</v>
      </c>
      <c r="J177" s="33">
        <f t="shared" si="99"/>
        <v>0</v>
      </c>
      <c r="K177" s="33">
        <f t="shared" si="100"/>
        <v>0</v>
      </c>
      <c r="L177" s="33">
        <f t="shared" si="101"/>
        <v>0</v>
      </c>
      <c r="M177" s="33">
        <f t="shared" si="102"/>
        <v>0</v>
      </c>
      <c r="N177" s="33">
        <f t="shared" si="82"/>
        <v>0</v>
      </c>
      <c r="O177" s="34">
        <f t="shared" si="83"/>
        <v>0</v>
      </c>
      <c r="P177" s="55">
        <v>172</v>
      </c>
      <c r="Q177" s="33">
        <f t="shared" si="97"/>
        <v>0</v>
      </c>
      <c r="R177" s="33">
        <f t="shared" si="103"/>
        <v>0</v>
      </c>
      <c r="S177" s="33">
        <f t="shared" si="104"/>
        <v>0</v>
      </c>
      <c r="T177" s="33">
        <f t="shared" si="84"/>
        <v>0</v>
      </c>
      <c r="U177" s="33">
        <f t="shared" si="98"/>
        <v>0</v>
      </c>
      <c r="V177" s="33">
        <f t="shared" si="85"/>
        <v>0</v>
      </c>
      <c r="W177" s="33">
        <v>0</v>
      </c>
      <c r="X177" s="33">
        <f t="shared" si="86"/>
        <v>0</v>
      </c>
      <c r="Y177" s="38">
        <f t="shared" si="87"/>
        <v>0</v>
      </c>
      <c r="AA177" s="71">
        <v>172</v>
      </c>
      <c r="AB177" s="33">
        <f t="shared" si="88"/>
        <v>0</v>
      </c>
      <c r="AC177" s="308">
        <f t="shared" si="89"/>
        <v>0</v>
      </c>
      <c r="AD177" s="101">
        <f t="shared" si="90"/>
        <v>0</v>
      </c>
      <c r="AE177" s="101">
        <f t="shared" si="91"/>
        <v>0</v>
      </c>
      <c r="AF177" s="197">
        <f t="shared" si="105"/>
        <v>0</v>
      </c>
      <c r="AG177" s="197">
        <f t="shared" si="106"/>
        <v>0</v>
      </c>
      <c r="AH177" s="197">
        <f t="shared" si="107"/>
        <v>0</v>
      </c>
      <c r="AI177" s="202">
        <f t="shared" si="108"/>
        <v>0</v>
      </c>
      <c r="AK177" s="71">
        <v>172</v>
      </c>
      <c r="AL177" s="33">
        <f t="shared" si="92"/>
        <v>0</v>
      </c>
      <c r="AM177" s="33">
        <f t="shared" si="93"/>
        <v>0</v>
      </c>
      <c r="AN177" s="33">
        <f t="shared" si="94"/>
        <v>0</v>
      </c>
      <c r="AO177" s="33">
        <f t="shared" si="95"/>
        <v>0</v>
      </c>
      <c r="AP177" s="33">
        <f t="shared" si="96"/>
        <v>0</v>
      </c>
      <c r="AQ177" s="197">
        <f t="shared" si="109"/>
        <v>0</v>
      </c>
      <c r="AR177" s="197">
        <f t="shared" si="110"/>
        <v>0</v>
      </c>
      <c r="AS177" s="197">
        <f t="shared" si="111"/>
        <v>0</v>
      </c>
      <c r="AT177" s="197">
        <f t="shared" si="112"/>
        <v>0</v>
      </c>
      <c r="AU177" s="33"/>
      <c r="AV177" s="33"/>
      <c r="AW177" s="33"/>
      <c r="AX177" s="33"/>
      <c r="AY177" s="76"/>
    </row>
    <row r="178" spans="3:51" ht="30">
      <c r="C178" s="169" t="s">
        <v>53</v>
      </c>
      <c r="D178" s="4">
        <v>0.46</v>
      </c>
      <c r="E178" s="191" t="s">
        <v>231</v>
      </c>
      <c r="F178" s="346">
        <f>IF(OR(Tableau145[[#This Row],[Type]]="Feuillus",Tableau145[[#This Row],[Type]]="Peupliers"),1.56,1.3)</f>
        <v>1.3</v>
      </c>
      <c r="I178" s="55">
        <v>173</v>
      </c>
      <c r="J178" s="33">
        <f t="shared" si="99"/>
        <v>0</v>
      </c>
      <c r="K178" s="33">
        <f t="shared" si="100"/>
        <v>0</v>
      </c>
      <c r="L178" s="33">
        <f t="shared" si="101"/>
        <v>0</v>
      </c>
      <c r="M178" s="33">
        <f t="shared" si="102"/>
        <v>0</v>
      </c>
      <c r="N178" s="33">
        <f t="shared" si="82"/>
        <v>0</v>
      </c>
      <c r="O178" s="34">
        <f t="shared" si="83"/>
        <v>0</v>
      </c>
      <c r="P178" s="55">
        <v>173</v>
      </c>
      <c r="Q178" s="33">
        <f t="shared" si="97"/>
        <v>0</v>
      </c>
      <c r="R178" s="33">
        <f t="shared" si="103"/>
        <v>0</v>
      </c>
      <c r="S178" s="33">
        <f t="shared" si="104"/>
        <v>0</v>
      </c>
      <c r="T178" s="33">
        <f t="shared" si="84"/>
        <v>0</v>
      </c>
      <c r="U178" s="33">
        <f t="shared" si="98"/>
        <v>0</v>
      </c>
      <c r="V178" s="33">
        <f t="shared" si="85"/>
        <v>0</v>
      </c>
      <c r="W178" s="33">
        <v>0</v>
      </c>
      <c r="X178" s="33">
        <f t="shared" si="86"/>
        <v>0</v>
      </c>
      <c r="Y178" s="38">
        <f t="shared" si="87"/>
        <v>0</v>
      </c>
      <c r="AA178" s="71">
        <v>173</v>
      </c>
      <c r="AB178" s="33">
        <f t="shared" si="88"/>
        <v>0</v>
      </c>
      <c r="AC178" s="308">
        <f t="shared" si="89"/>
        <v>0</v>
      </c>
      <c r="AD178" s="101">
        <f t="shared" si="90"/>
        <v>0</v>
      </c>
      <c r="AE178" s="101">
        <f t="shared" si="91"/>
        <v>0</v>
      </c>
      <c r="AF178" s="197">
        <f t="shared" si="105"/>
        <v>0</v>
      </c>
      <c r="AG178" s="197">
        <f t="shared" si="106"/>
        <v>0</v>
      </c>
      <c r="AH178" s="197">
        <f t="shared" si="107"/>
        <v>0</v>
      </c>
      <c r="AI178" s="202">
        <f t="shared" si="108"/>
        <v>0</v>
      </c>
      <c r="AK178" s="71">
        <v>173</v>
      </c>
      <c r="AL178" s="33">
        <f t="shared" si="92"/>
        <v>0</v>
      </c>
      <c r="AM178" s="33">
        <f t="shared" si="93"/>
        <v>0</v>
      </c>
      <c r="AN178" s="33">
        <f t="shared" si="94"/>
        <v>0</v>
      </c>
      <c r="AO178" s="33">
        <f t="shared" si="95"/>
        <v>0</v>
      </c>
      <c r="AP178" s="33">
        <f t="shared" si="96"/>
        <v>0</v>
      </c>
      <c r="AQ178" s="197">
        <f t="shared" si="109"/>
        <v>0</v>
      </c>
      <c r="AR178" s="197">
        <f t="shared" si="110"/>
        <v>0</v>
      </c>
      <c r="AS178" s="197">
        <f t="shared" si="111"/>
        <v>0</v>
      </c>
      <c r="AT178" s="197">
        <f t="shared" si="112"/>
        <v>0</v>
      </c>
      <c r="AU178" s="33"/>
      <c r="AV178" s="33"/>
      <c r="AW178" s="33"/>
      <c r="AX178" s="33"/>
      <c r="AY178" s="76"/>
    </row>
    <row r="179" spans="3:51">
      <c r="C179" s="169" t="s">
        <v>54</v>
      </c>
      <c r="D179" s="4">
        <v>0.44</v>
      </c>
      <c r="E179" s="191" t="s">
        <v>229</v>
      </c>
      <c r="F179" s="346">
        <f>IF(OR(Tableau145[[#This Row],[Type]]="Feuillus",Tableau145[[#This Row],[Type]]="Peupliers"),1.56,1.3)</f>
        <v>1.3</v>
      </c>
      <c r="I179" s="55">
        <v>174</v>
      </c>
      <c r="J179" s="33">
        <f t="shared" si="99"/>
        <v>0</v>
      </c>
      <c r="K179" s="33">
        <f t="shared" si="100"/>
        <v>0</v>
      </c>
      <c r="L179" s="33">
        <f t="shared" si="101"/>
        <v>0</v>
      </c>
      <c r="M179" s="33">
        <f t="shared" si="102"/>
        <v>0</v>
      </c>
      <c r="N179" s="33">
        <f t="shared" si="82"/>
        <v>0</v>
      </c>
      <c r="O179" s="34">
        <f t="shared" si="83"/>
        <v>0</v>
      </c>
      <c r="P179" s="55">
        <v>174</v>
      </c>
      <c r="Q179" s="33">
        <f t="shared" si="97"/>
        <v>0</v>
      </c>
      <c r="R179" s="33">
        <f t="shared" si="103"/>
        <v>0</v>
      </c>
      <c r="S179" s="33">
        <f t="shared" si="104"/>
        <v>0</v>
      </c>
      <c r="T179" s="33">
        <f t="shared" si="84"/>
        <v>0</v>
      </c>
      <c r="U179" s="33">
        <f t="shared" si="98"/>
        <v>0</v>
      </c>
      <c r="V179" s="33">
        <f t="shared" si="85"/>
        <v>0</v>
      </c>
      <c r="W179" s="33">
        <v>0</v>
      </c>
      <c r="X179" s="33">
        <f t="shared" si="86"/>
        <v>0</v>
      </c>
      <c r="Y179" s="38">
        <f t="shared" si="87"/>
        <v>0</v>
      </c>
      <c r="AA179" s="71">
        <v>174</v>
      </c>
      <c r="AB179" s="33">
        <f t="shared" si="88"/>
        <v>0</v>
      </c>
      <c r="AC179" s="308">
        <f t="shared" si="89"/>
        <v>0</v>
      </c>
      <c r="AD179" s="101">
        <f t="shared" si="90"/>
        <v>0</v>
      </c>
      <c r="AE179" s="101">
        <f t="shared" si="91"/>
        <v>0</v>
      </c>
      <c r="AF179" s="197">
        <f t="shared" si="105"/>
        <v>0</v>
      </c>
      <c r="AG179" s="197">
        <f t="shared" si="106"/>
        <v>0</v>
      </c>
      <c r="AH179" s="197">
        <f t="shared" si="107"/>
        <v>0</v>
      </c>
      <c r="AI179" s="202">
        <f t="shared" si="108"/>
        <v>0</v>
      </c>
      <c r="AK179" s="71">
        <v>174</v>
      </c>
      <c r="AL179" s="33">
        <f t="shared" si="92"/>
        <v>0</v>
      </c>
      <c r="AM179" s="33">
        <f t="shared" si="93"/>
        <v>0</v>
      </c>
      <c r="AN179" s="33">
        <f t="shared" si="94"/>
        <v>0</v>
      </c>
      <c r="AO179" s="33">
        <f t="shared" si="95"/>
        <v>0</v>
      </c>
      <c r="AP179" s="33">
        <f t="shared" si="96"/>
        <v>0</v>
      </c>
      <c r="AQ179" s="197">
        <f t="shared" si="109"/>
        <v>0</v>
      </c>
      <c r="AR179" s="197">
        <f t="shared" si="110"/>
        <v>0</v>
      </c>
      <c r="AS179" s="197">
        <f t="shared" si="111"/>
        <v>0</v>
      </c>
      <c r="AT179" s="197">
        <f t="shared" si="112"/>
        <v>0</v>
      </c>
      <c r="AU179" s="33"/>
      <c r="AV179" s="33"/>
      <c r="AW179" s="33"/>
      <c r="AX179" s="33"/>
      <c r="AY179" s="76"/>
    </row>
    <row r="180" spans="3:51">
      <c r="C180" s="169" t="s">
        <v>55</v>
      </c>
      <c r="D180" s="4">
        <v>0.46</v>
      </c>
      <c r="E180" s="191" t="s">
        <v>229</v>
      </c>
      <c r="F180" s="346">
        <f>IF(OR(Tableau145[[#This Row],[Type]]="Feuillus",Tableau145[[#This Row],[Type]]="Peupliers"),1.56,1.3)</f>
        <v>1.3</v>
      </c>
      <c r="I180" s="55">
        <v>175</v>
      </c>
      <c r="J180" s="33">
        <f t="shared" si="99"/>
        <v>0</v>
      </c>
      <c r="K180" s="33">
        <f t="shared" si="100"/>
        <v>0</v>
      </c>
      <c r="L180" s="33">
        <f t="shared" si="101"/>
        <v>0</v>
      </c>
      <c r="M180" s="33">
        <f t="shared" si="102"/>
        <v>0</v>
      </c>
      <c r="N180" s="33">
        <f t="shared" si="82"/>
        <v>0</v>
      </c>
      <c r="O180" s="34">
        <f t="shared" si="83"/>
        <v>0</v>
      </c>
      <c r="P180" s="55">
        <v>175</v>
      </c>
      <c r="Q180" s="33">
        <f t="shared" si="97"/>
        <v>0</v>
      </c>
      <c r="R180" s="33">
        <f t="shared" si="103"/>
        <v>0</v>
      </c>
      <c r="S180" s="33">
        <f t="shared" si="104"/>
        <v>0</v>
      </c>
      <c r="T180" s="33">
        <f t="shared" si="84"/>
        <v>0</v>
      </c>
      <c r="U180" s="33">
        <f t="shared" si="98"/>
        <v>0</v>
      </c>
      <c r="V180" s="33">
        <f t="shared" si="85"/>
        <v>0</v>
      </c>
      <c r="W180" s="33">
        <v>0</v>
      </c>
      <c r="X180" s="33">
        <f t="shared" si="86"/>
        <v>0</v>
      </c>
      <c r="Y180" s="38">
        <f t="shared" si="87"/>
        <v>0</v>
      </c>
      <c r="AA180" s="71">
        <v>175</v>
      </c>
      <c r="AB180" s="33">
        <f t="shared" si="88"/>
        <v>0</v>
      </c>
      <c r="AC180" s="308">
        <f t="shared" si="89"/>
        <v>0</v>
      </c>
      <c r="AD180" s="101">
        <f t="shared" si="90"/>
        <v>0</v>
      </c>
      <c r="AE180" s="101">
        <f t="shared" si="91"/>
        <v>0</v>
      </c>
      <c r="AF180" s="197">
        <f t="shared" si="105"/>
        <v>0</v>
      </c>
      <c r="AG180" s="197">
        <f t="shared" si="106"/>
        <v>0</v>
      </c>
      <c r="AH180" s="197">
        <f t="shared" si="107"/>
        <v>0</v>
      </c>
      <c r="AI180" s="202">
        <f t="shared" si="108"/>
        <v>0</v>
      </c>
      <c r="AK180" s="71">
        <v>175</v>
      </c>
      <c r="AL180" s="33">
        <f t="shared" si="92"/>
        <v>0</v>
      </c>
      <c r="AM180" s="33">
        <f t="shared" si="93"/>
        <v>0</v>
      </c>
      <c r="AN180" s="33">
        <f t="shared" si="94"/>
        <v>0</v>
      </c>
      <c r="AO180" s="33">
        <f t="shared" si="95"/>
        <v>0</v>
      </c>
      <c r="AP180" s="33">
        <f t="shared" si="96"/>
        <v>0</v>
      </c>
      <c r="AQ180" s="197">
        <f t="shared" si="109"/>
        <v>0</v>
      </c>
      <c r="AR180" s="197">
        <f t="shared" si="110"/>
        <v>0</v>
      </c>
      <c r="AS180" s="197">
        <f t="shared" si="111"/>
        <v>0</v>
      </c>
      <c r="AT180" s="197">
        <f t="shared" si="112"/>
        <v>0</v>
      </c>
      <c r="AU180" s="33"/>
      <c r="AV180" s="33"/>
      <c r="AW180" s="33"/>
      <c r="AX180" s="33"/>
      <c r="AY180" s="76"/>
    </row>
    <row r="181" spans="3:51">
      <c r="C181" s="169" t="s">
        <v>56</v>
      </c>
      <c r="D181" s="4">
        <v>0.48</v>
      </c>
      <c r="E181" s="191" t="s">
        <v>229</v>
      </c>
      <c r="F181" s="346">
        <f>IF(OR(Tableau145[[#This Row],[Type]]="Feuillus",Tableau145[[#This Row],[Type]]="Peupliers"),1.56,1.3)</f>
        <v>1.3</v>
      </c>
      <c r="I181" s="55">
        <v>176</v>
      </c>
      <c r="J181" s="33">
        <f t="shared" si="99"/>
        <v>0</v>
      </c>
      <c r="K181" s="33">
        <f t="shared" si="100"/>
        <v>0</v>
      </c>
      <c r="L181" s="33">
        <f t="shared" si="101"/>
        <v>0</v>
      </c>
      <c r="M181" s="33">
        <f t="shared" si="102"/>
        <v>0</v>
      </c>
      <c r="N181" s="33">
        <f t="shared" si="82"/>
        <v>0</v>
      </c>
      <c r="O181" s="34">
        <f t="shared" si="83"/>
        <v>0</v>
      </c>
      <c r="P181" s="55">
        <v>176</v>
      </c>
      <c r="Q181" s="33">
        <f t="shared" si="97"/>
        <v>0</v>
      </c>
      <c r="R181" s="33">
        <f t="shared" si="103"/>
        <v>0</v>
      </c>
      <c r="S181" s="33">
        <f t="shared" si="104"/>
        <v>0</v>
      </c>
      <c r="T181" s="33">
        <f t="shared" si="84"/>
        <v>0</v>
      </c>
      <c r="U181" s="33">
        <f t="shared" si="98"/>
        <v>0</v>
      </c>
      <c r="V181" s="33">
        <f t="shared" si="85"/>
        <v>0</v>
      </c>
      <c r="W181" s="33">
        <v>0</v>
      </c>
      <c r="X181" s="33">
        <f t="shared" si="86"/>
        <v>0</v>
      </c>
      <c r="Y181" s="38">
        <f t="shared" si="87"/>
        <v>0</v>
      </c>
      <c r="AA181" s="71">
        <v>176</v>
      </c>
      <c r="AB181" s="33">
        <f t="shared" si="88"/>
        <v>0</v>
      </c>
      <c r="AC181" s="308">
        <f t="shared" si="89"/>
        <v>0</v>
      </c>
      <c r="AD181" s="101">
        <f t="shared" si="90"/>
        <v>0</v>
      </c>
      <c r="AE181" s="101">
        <f t="shared" si="91"/>
        <v>0</v>
      </c>
      <c r="AF181" s="197">
        <f t="shared" si="105"/>
        <v>0</v>
      </c>
      <c r="AG181" s="197">
        <f t="shared" si="106"/>
        <v>0</v>
      </c>
      <c r="AH181" s="197">
        <f t="shared" si="107"/>
        <v>0</v>
      </c>
      <c r="AI181" s="202">
        <f t="shared" si="108"/>
        <v>0</v>
      </c>
      <c r="AK181" s="71">
        <v>176</v>
      </c>
      <c r="AL181" s="33">
        <f t="shared" si="92"/>
        <v>0</v>
      </c>
      <c r="AM181" s="33">
        <f t="shared" si="93"/>
        <v>0</v>
      </c>
      <c r="AN181" s="33">
        <f t="shared" si="94"/>
        <v>0</v>
      </c>
      <c r="AO181" s="33">
        <f t="shared" si="95"/>
        <v>0</v>
      </c>
      <c r="AP181" s="33">
        <f t="shared" si="96"/>
        <v>0</v>
      </c>
      <c r="AQ181" s="197">
        <f t="shared" si="109"/>
        <v>0</v>
      </c>
      <c r="AR181" s="197">
        <f t="shared" si="110"/>
        <v>0</v>
      </c>
      <c r="AS181" s="197">
        <f t="shared" si="111"/>
        <v>0</v>
      </c>
      <c r="AT181" s="197">
        <f t="shared" si="112"/>
        <v>0</v>
      </c>
      <c r="AU181" s="33"/>
      <c r="AV181" s="33"/>
      <c r="AW181" s="33"/>
      <c r="AX181" s="33"/>
      <c r="AY181" s="76"/>
    </row>
    <row r="182" spans="3:51">
      <c r="C182" s="169" t="s">
        <v>57</v>
      </c>
      <c r="D182" s="4">
        <v>0.44</v>
      </c>
      <c r="E182" s="191" t="s">
        <v>229</v>
      </c>
      <c r="F182" s="346">
        <f>IF(OR(Tableau145[[#This Row],[Type]]="Feuillus",Tableau145[[#This Row],[Type]]="Peupliers"),1.56,1.3)</f>
        <v>1.3</v>
      </c>
      <c r="I182" s="55">
        <v>177</v>
      </c>
      <c r="J182" s="33">
        <f t="shared" si="99"/>
        <v>0</v>
      </c>
      <c r="K182" s="33">
        <f t="shared" si="100"/>
        <v>0</v>
      </c>
      <c r="L182" s="33">
        <f t="shared" si="101"/>
        <v>0</v>
      </c>
      <c r="M182" s="33">
        <f t="shared" si="102"/>
        <v>0</v>
      </c>
      <c r="N182" s="33">
        <f t="shared" si="82"/>
        <v>0</v>
      </c>
      <c r="O182" s="34">
        <f t="shared" si="83"/>
        <v>0</v>
      </c>
      <c r="P182" s="55">
        <v>177</v>
      </c>
      <c r="Q182" s="33">
        <f t="shared" si="97"/>
        <v>0</v>
      </c>
      <c r="R182" s="33">
        <f t="shared" si="103"/>
        <v>0</v>
      </c>
      <c r="S182" s="33">
        <f t="shared" si="104"/>
        <v>0</v>
      </c>
      <c r="T182" s="33">
        <f t="shared" si="84"/>
        <v>0</v>
      </c>
      <c r="U182" s="33">
        <f t="shared" si="98"/>
        <v>0</v>
      </c>
      <c r="V182" s="33">
        <f t="shared" si="85"/>
        <v>0</v>
      </c>
      <c r="W182" s="33">
        <v>0</v>
      </c>
      <c r="X182" s="33">
        <f t="shared" si="86"/>
        <v>0</v>
      </c>
      <c r="Y182" s="38">
        <f t="shared" si="87"/>
        <v>0</v>
      </c>
      <c r="AA182" s="71">
        <v>177</v>
      </c>
      <c r="AB182" s="33">
        <f t="shared" si="88"/>
        <v>0</v>
      </c>
      <c r="AC182" s="308">
        <f t="shared" si="89"/>
        <v>0</v>
      </c>
      <c r="AD182" s="101">
        <f t="shared" si="90"/>
        <v>0</v>
      </c>
      <c r="AE182" s="101">
        <f t="shared" si="91"/>
        <v>0</v>
      </c>
      <c r="AF182" s="197">
        <f t="shared" si="105"/>
        <v>0</v>
      </c>
      <c r="AG182" s="197">
        <f t="shared" si="106"/>
        <v>0</v>
      </c>
      <c r="AH182" s="197">
        <f t="shared" si="107"/>
        <v>0</v>
      </c>
      <c r="AI182" s="202">
        <f t="shared" si="108"/>
        <v>0</v>
      </c>
      <c r="AK182" s="71">
        <v>177</v>
      </c>
      <c r="AL182" s="33">
        <f t="shared" si="92"/>
        <v>0</v>
      </c>
      <c r="AM182" s="33">
        <f t="shared" si="93"/>
        <v>0</v>
      </c>
      <c r="AN182" s="33">
        <f t="shared" si="94"/>
        <v>0</v>
      </c>
      <c r="AO182" s="33">
        <f t="shared" si="95"/>
        <v>0</v>
      </c>
      <c r="AP182" s="33">
        <f t="shared" si="96"/>
        <v>0</v>
      </c>
      <c r="AQ182" s="197">
        <f t="shared" si="109"/>
        <v>0</v>
      </c>
      <c r="AR182" s="197">
        <f t="shared" si="110"/>
        <v>0</v>
      </c>
      <c r="AS182" s="197">
        <f t="shared" si="111"/>
        <v>0</v>
      </c>
      <c r="AT182" s="197">
        <f t="shared" si="112"/>
        <v>0</v>
      </c>
      <c r="AU182" s="33"/>
      <c r="AV182" s="33"/>
      <c r="AW182" s="33"/>
      <c r="AX182" s="33"/>
      <c r="AY182" s="76"/>
    </row>
    <row r="183" spans="3:51">
      <c r="C183" s="169" t="s">
        <v>58</v>
      </c>
      <c r="D183" s="4">
        <v>0.34</v>
      </c>
      <c r="E183" s="191" t="s">
        <v>229</v>
      </c>
      <c r="F183" s="346">
        <f>IF(OR(Tableau145[[#This Row],[Type]]="Feuillus",Tableau145[[#This Row],[Type]]="Peupliers"),1.56,1.3)</f>
        <v>1.3</v>
      </c>
      <c r="I183" s="55">
        <v>178</v>
      </c>
      <c r="J183" s="33">
        <f t="shared" si="99"/>
        <v>0</v>
      </c>
      <c r="K183" s="33">
        <f t="shared" si="100"/>
        <v>0</v>
      </c>
      <c r="L183" s="33">
        <f t="shared" si="101"/>
        <v>0</v>
      </c>
      <c r="M183" s="33">
        <f t="shared" si="102"/>
        <v>0</v>
      </c>
      <c r="N183" s="33">
        <f t="shared" si="82"/>
        <v>0</v>
      </c>
      <c r="O183" s="34">
        <f t="shared" si="83"/>
        <v>0</v>
      </c>
      <c r="P183" s="55">
        <v>178</v>
      </c>
      <c r="Q183" s="33">
        <f t="shared" si="97"/>
        <v>0</v>
      </c>
      <c r="R183" s="33">
        <f t="shared" si="103"/>
        <v>0</v>
      </c>
      <c r="S183" s="33">
        <f t="shared" si="104"/>
        <v>0</v>
      </c>
      <c r="T183" s="33">
        <f t="shared" si="84"/>
        <v>0</v>
      </c>
      <c r="U183" s="33">
        <f t="shared" si="98"/>
        <v>0</v>
      </c>
      <c r="V183" s="33">
        <f t="shared" si="85"/>
        <v>0</v>
      </c>
      <c r="W183" s="33">
        <v>0</v>
      </c>
      <c r="X183" s="33">
        <f t="shared" si="86"/>
        <v>0</v>
      </c>
      <c r="Y183" s="38">
        <f t="shared" si="87"/>
        <v>0</v>
      </c>
      <c r="AA183" s="71">
        <v>178</v>
      </c>
      <c r="AB183" s="33">
        <f t="shared" si="88"/>
        <v>0</v>
      </c>
      <c r="AC183" s="308">
        <f t="shared" si="89"/>
        <v>0</v>
      </c>
      <c r="AD183" s="101">
        <f t="shared" si="90"/>
        <v>0</v>
      </c>
      <c r="AE183" s="101">
        <f t="shared" si="91"/>
        <v>0</v>
      </c>
      <c r="AF183" s="197">
        <f t="shared" si="105"/>
        <v>0</v>
      </c>
      <c r="AG183" s="197">
        <f t="shared" si="106"/>
        <v>0</v>
      </c>
      <c r="AH183" s="197">
        <f t="shared" si="107"/>
        <v>0</v>
      </c>
      <c r="AI183" s="202">
        <f t="shared" si="108"/>
        <v>0</v>
      </c>
      <c r="AK183" s="71">
        <v>178</v>
      </c>
      <c r="AL183" s="33">
        <f t="shared" si="92"/>
        <v>0</v>
      </c>
      <c r="AM183" s="33">
        <f t="shared" si="93"/>
        <v>0</v>
      </c>
      <c r="AN183" s="33">
        <f t="shared" si="94"/>
        <v>0</v>
      </c>
      <c r="AO183" s="33">
        <f t="shared" si="95"/>
        <v>0</v>
      </c>
      <c r="AP183" s="33">
        <f t="shared" si="96"/>
        <v>0</v>
      </c>
      <c r="AQ183" s="197">
        <f t="shared" si="109"/>
        <v>0</v>
      </c>
      <c r="AR183" s="197">
        <f t="shared" si="110"/>
        <v>0</v>
      </c>
      <c r="AS183" s="197">
        <f t="shared" si="111"/>
        <v>0</v>
      </c>
      <c r="AT183" s="197">
        <f t="shared" si="112"/>
        <v>0</v>
      </c>
      <c r="AU183" s="33"/>
      <c r="AV183" s="33"/>
      <c r="AW183" s="33"/>
      <c r="AX183" s="33"/>
      <c r="AY183" s="76"/>
    </row>
    <row r="184" spans="3:51">
      <c r="C184" s="169" t="s">
        <v>59</v>
      </c>
      <c r="D184" s="4">
        <v>0.5</v>
      </c>
      <c r="E184" s="191" t="s">
        <v>228</v>
      </c>
      <c r="F184" s="346">
        <f>IF(OR(Tableau145[[#This Row],[Type]]="Feuillus",Tableau145[[#This Row],[Type]]="Peupliers"),1.56,1.3)</f>
        <v>1.56</v>
      </c>
      <c r="I184" s="55">
        <v>179</v>
      </c>
      <c r="J184" s="33">
        <f t="shared" si="99"/>
        <v>0</v>
      </c>
      <c r="K184" s="33">
        <f t="shared" si="100"/>
        <v>0</v>
      </c>
      <c r="L184" s="33">
        <f t="shared" si="101"/>
        <v>0</v>
      </c>
      <c r="M184" s="33">
        <f t="shared" si="102"/>
        <v>0</v>
      </c>
      <c r="N184" s="33">
        <f t="shared" si="82"/>
        <v>0</v>
      </c>
      <c r="O184" s="34">
        <f t="shared" si="83"/>
        <v>0</v>
      </c>
      <c r="P184" s="55">
        <v>179</v>
      </c>
      <c r="Q184" s="33">
        <f t="shared" si="97"/>
        <v>0</v>
      </c>
      <c r="R184" s="33">
        <f t="shared" si="103"/>
        <v>0</v>
      </c>
      <c r="S184" s="33">
        <f t="shared" si="104"/>
        <v>0</v>
      </c>
      <c r="T184" s="33">
        <f t="shared" si="84"/>
        <v>0</v>
      </c>
      <c r="U184" s="33">
        <f t="shared" si="98"/>
        <v>0</v>
      </c>
      <c r="V184" s="33">
        <f t="shared" si="85"/>
        <v>0</v>
      </c>
      <c r="W184" s="33">
        <v>0</v>
      </c>
      <c r="X184" s="33">
        <f t="shared" si="86"/>
        <v>0</v>
      </c>
      <c r="Y184" s="38">
        <f t="shared" si="87"/>
        <v>0</v>
      </c>
      <c r="AA184" s="71">
        <v>179</v>
      </c>
      <c r="AB184" s="33">
        <f t="shared" si="88"/>
        <v>0</v>
      </c>
      <c r="AC184" s="308">
        <f t="shared" si="89"/>
        <v>0</v>
      </c>
      <c r="AD184" s="101">
        <f t="shared" si="90"/>
        <v>0</v>
      </c>
      <c r="AE184" s="101">
        <f t="shared" si="91"/>
        <v>0</v>
      </c>
      <c r="AF184" s="197">
        <f t="shared" si="105"/>
        <v>0</v>
      </c>
      <c r="AG184" s="197">
        <f t="shared" si="106"/>
        <v>0</v>
      </c>
      <c r="AH184" s="197">
        <f t="shared" si="107"/>
        <v>0</v>
      </c>
      <c r="AI184" s="202">
        <f t="shared" si="108"/>
        <v>0</v>
      </c>
      <c r="AK184" s="71">
        <v>179</v>
      </c>
      <c r="AL184" s="33">
        <f t="shared" si="92"/>
        <v>0</v>
      </c>
      <c r="AM184" s="33">
        <f t="shared" si="93"/>
        <v>0</v>
      </c>
      <c r="AN184" s="33">
        <f t="shared" si="94"/>
        <v>0</v>
      </c>
      <c r="AO184" s="33">
        <f t="shared" si="95"/>
        <v>0</v>
      </c>
      <c r="AP184" s="33">
        <f t="shared" si="96"/>
        <v>0</v>
      </c>
      <c r="AQ184" s="197">
        <f t="shared" si="109"/>
        <v>0</v>
      </c>
      <c r="AR184" s="197">
        <f t="shared" si="110"/>
        <v>0</v>
      </c>
      <c r="AS184" s="197">
        <f t="shared" si="111"/>
        <v>0</v>
      </c>
      <c r="AT184" s="197">
        <f t="shared" si="112"/>
        <v>0</v>
      </c>
      <c r="AU184" s="33"/>
      <c r="AV184" s="33"/>
      <c r="AW184" s="33"/>
      <c r="AX184" s="33"/>
      <c r="AY184" s="76"/>
    </row>
    <row r="185" spans="3:51">
      <c r="C185" s="169" t="s">
        <v>60</v>
      </c>
      <c r="D185" s="4">
        <v>0.57999999999999996</v>
      </c>
      <c r="E185" s="191" t="s">
        <v>228</v>
      </c>
      <c r="F185" s="346">
        <f>IF(OR(Tableau145[[#This Row],[Type]]="Feuillus",Tableau145[[#This Row],[Type]]="Peupliers"),1.56,1.3)</f>
        <v>1.56</v>
      </c>
      <c r="I185" s="55">
        <v>180</v>
      </c>
      <c r="J185" s="33">
        <f t="shared" si="99"/>
        <v>0</v>
      </c>
      <c r="K185" s="33">
        <f t="shared" si="100"/>
        <v>0</v>
      </c>
      <c r="L185" s="33">
        <f t="shared" si="101"/>
        <v>0</v>
      </c>
      <c r="M185" s="33">
        <f t="shared" si="102"/>
        <v>0</v>
      </c>
      <c r="N185" s="33">
        <f t="shared" si="82"/>
        <v>0</v>
      </c>
      <c r="O185" s="34">
        <f t="shared" si="83"/>
        <v>0</v>
      </c>
      <c r="P185" s="55">
        <v>180</v>
      </c>
      <c r="Q185" s="33">
        <f t="shared" si="97"/>
        <v>0</v>
      </c>
      <c r="R185" s="33">
        <f t="shared" si="103"/>
        <v>0</v>
      </c>
      <c r="S185" s="33">
        <f t="shared" si="104"/>
        <v>0</v>
      </c>
      <c r="T185" s="33">
        <f t="shared" si="84"/>
        <v>0</v>
      </c>
      <c r="U185" s="33">
        <f t="shared" si="98"/>
        <v>0</v>
      </c>
      <c r="V185" s="33">
        <f t="shared" si="85"/>
        <v>0</v>
      </c>
      <c r="W185" s="33">
        <v>0</v>
      </c>
      <c r="X185" s="33">
        <f t="shared" si="86"/>
        <v>0</v>
      </c>
      <c r="Y185" s="38">
        <f t="shared" si="87"/>
        <v>0</v>
      </c>
      <c r="AA185" s="71">
        <v>180</v>
      </c>
      <c r="AB185" s="33">
        <f t="shared" si="88"/>
        <v>0</v>
      </c>
      <c r="AC185" s="308">
        <f t="shared" si="89"/>
        <v>0</v>
      </c>
      <c r="AD185" s="101">
        <f t="shared" si="90"/>
        <v>0</v>
      </c>
      <c r="AE185" s="101">
        <f t="shared" si="91"/>
        <v>0</v>
      </c>
      <c r="AF185" s="197">
        <f t="shared" si="105"/>
        <v>0</v>
      </c>
      <c r="AG185" s="197">
        <f t="shared" si="106"/>
        <v>0</v>
      </c>
      <c r="AH185" s="197">
        <f t="shared" si="107"/>
        <v>0</v>
      </c>
      <c r="AI185" s="202">
        <f t="shared" si="108"/>
        <v>0</v>
      </c>
      <c r="AK185" s="71">
        <v>180</v>
      </c>
      <c r="AL185" s="33">
        <f t="shared" si="92"/>
        <v>0</v>
      </c>
      <c r="AM185" s="33">
        <f t="shared" si="93"/>
        <v>0</v>
      </c>
      <c r="AN185" s="33">
        <f t="shared" si="94"/>
        <v>0</v>
      </c>
      <c r="AO185" s="33">
        <f t="shared" si="95"/>
        <v>0</v>
      </c>
      <c r="AP185" s="33">
        <f t="shared" si="96"/>
        <v>0</v>
      </c>
      <c r="AQ185" s="197">
        <f t="shared" si="109"/>
        <v>0</v>
      </c>
      <c r="AR185" s="197">
        <f t="shared" si="110"/>
        <v>0</v>
      </c>
      <c r="AS185" s="197">
        <f t="shared" si="111"/>
        <v>0</v>
      </c>
      <c r="AT185" s="197">
        <f t="shared" si="112"/>
        <v>0</v>
      </c>
      <c r="AU185" s="33"/>
      <c r="AV185" s="33"/>
      <c r="AW185" s="33"/>
      <c r="AX185" s="33"/>
      <c r="AY185" s="76"/>
    </row>
    <row r="186" spans="3:51">
      <c r="C186" s="169" t="s">
        <v>61</v>
      </c>
      <c r="D186" s="4">
        <v>0.37</v>
      </c>
      <c r="E186" s="191" t="s">
        <v>229</v>
      </c>
      <c r="F186" s="346">
        <f>IF(OR(Tableau145[[#This Row],[Type]]="Feuillus",Tableau145[[#This Row],[Type]]="Peupliers"),1.56,1.3)</f>
        <v>1.3</v>
      </c>
      <c r="I186" s="55">
        <v>181</v>
      </c>
      <c r="J186" s="33">
        <f t="shared" si="99"/>
        <v>0</v>
      </c>
      <c r="K186" s="33">
        <f t="shared" si="100"/>
        <v>0</v>
      </c>
      <c r="L186" s="33">
        <f t="shared" si="101"/>
        <v>0</v>
      </c>
      <c r="M186" s="33">
        <f t="shared" si="102"/>
        <v>0</v>
      </c>
      <c r="N186" s="33">
        <f t="shared" si="82"/>
        <v>0</v>
      </c>
      <c r="O186" s="34">
        <f t="shared" si="83"/>
        <v>0</v>
      </c>
      <c r="P186" s="55">
        <v>181</v>
      </c>
      <c r="Q186" s="33">
        <f t="shared" si="97"/>
        <v>0</v>
      </c>
      <c r="R186" s="33">
        <f t="shared" si="103"/>
        <v>0</v>
      </c>
      <c r="S186" s="33">
        <f t="shared" si="104"/>
        <v>0</v>
      </c>
      <c r="T186" s="33">
        <f t="shared" si="84"/>
        <v>0</v>
      </c>
      <c r="U186" s="33">
        <f t="shared" si="98"/>
        <v>0</v>
      </c>
      <c r="V186" s="33">
        <f t="shared" si="85"/>
        <v>0</v>
      </c>
      <c r="W186" s="33">
        <v>0</v>
      </c>
      <c r="X186" s="33">
        <f t="shared" si="86"/>
        <v>0</v>
      </c>
      <c r="Y186" s="38">
        <f t="shared" si="87"/>
        <v>0</v>
      </c>
      <c r="AA186" s="71">
        <v>181</v>
      </c>
      <c r="AB186" s="33">
        <f t="shared" si="88"/>
        <v>0</v>
      </c>
      <c r="AC186" s="308">
        <f t="shared" si="89"/>
        <v>0</v>
      </c>
      <c r="AD186" s="101">
        <f t="shared" si="90"/>
        <v>0</v>
      </c>
      <c r="AE186" s="101">
        <f t="shared" si="91"/>
        <v>0</v>
      </c>
      <c r="AF186" s="197">
        <f t="shared" si="105"/>
        <v>0</v>
      </c>
      <c r="AG186" s="197">
        <f t="shared" si="106"/>
        <v>0</v>
      </c>
      <c r="AH186" s="197">
        <f t="shared" si="107"/>
        <v>0</v>
      </c>
      <c r="AI186" s="202">
        <f t="shared" si="108"/>
        <v>0</v>
      </c>
      <c r="AK186" s="71">
        <v>181</v>
      </c>
      <c r="AL186" s="33">
        <f t="shared" si="92"/>
        <v>0</v>
      </c>
      <c r="AM186" s="33">
        <f t="shared" si="93"/>
        <v>0</v>
      </c>
      <c r="AN186" s="33">
        <f t="shared" si="94"/>
        <v>0</v>
      </c>
      <c r="AO186" s="33">
        <f t="shared" si="95"/>
        <v>0</v>
      </c>
      <c r="AP186" s="33">
        <f t="shared" si="96"/>
        <v>0</v>
      </c>
      <c r="AQ186" s="197">
        <f t="shared" si="109"/>
        <v>0</v>
      </c>
      <c r="AR186" s="197">
        <f t="shared" si="110"/>
        <v>0</v>
      </c>
      <c r="AS186" s="197">
        <f t="shared" si="111"/>
        <v>0</v>
      </c>
      <c r="AT186" s="197">
        <f t="shared" si="112"/>
        <v>0</v>
      </c>
      <c r="AU186" s="33"/>
      <c r="AV186" s="33"/>
      <c r="AW186" s="33"/>
      <c r="AX186" s="33"/>
      <c r="AY186" s="76"/>
    </row>
    <row r="187" spans="3:51">
      <c r="C187" s="169" t="s">
        <v>62</v>
      </c>
      <c r="D187" s="4">
        <v>0.37</v>
      </c>
      <c r="E187" s="191" t="s">
        <v>229</v>
      </c>
      <c r="F187" s="346">
        <f>IF(OR(Tableau145[[#This Row],[Type]]="Feuillus",Tableau145[[#This Row],[Type]]="Peupliers"),1.56,1.3)</f>
        <v>1.3</v>
      </c>
      <c r="I187" s="55">
        <v>182</v>
      </c>
      <c r="J187" s="33">
        <f t="shared" si="99"/>
        <v>0</v>
      </c>
      <c r="K187" s="33">
        <f t="shared" si="100"/>
        <v>0</v>
      </c>
      <c r="L187" s="33">
        <f t="shared" si="101"/>
        <v>0</v>
      </c>
      <c r="M187" s="33">
        <f t="shared" si="102"/>
        <v>0</v>
      </c>
      <c r="N187" s="33">
        <f t="shared" si="82"/>
        <v>0</v>
      </c>
      <c r="O187" s="34">
        <f t="shared" si="83"/>
        <v>0</v>
      </c>
      <c r="P187" s="55">
        <v>182</v>
      </c>
      <c r="Q187" s="33">
        <f t="shared" si="97"/>
        <v>0</v>
      </c>
      <c r="R187" s="33">
        <f t="shared" si="103"/>
        <v>0</v>
      </c>
      <c r="S187" s="33">
        <f t="shared" si="104"/>
        <v>0</v>
      </c>
      <c r="T187" s="33">
        <f t="shared" si="84"/>
        <v>0</v>
      </c>
      <c r="U187" s="33">
        <f t="shared" si="98"/>
        <v>0</v>
      </c>
      <c r="V187" s="33">
        <f t="shared" si="85"/>
        <v>0</v>
      </c>
      <c r="W187" s="33">
        <v>0</v>
      </c>
      <c r="X187" s="33">
        <f t="shared" si="86"/>
        <v>0</v>
      </c>
      <c r="Y187" s="38">
        <f t="shared" si="87"/>
        <v>0</v>
      </c>
      <c r="AA187" s="71">
        <v>182</v>
      </c>
      <c r="AB187" s="33">
        <f t="shared" si="88"/>
        <v>0</v>
      </c>
      <c r="AC187" s="308">
        <f t="shared" si="89"/>
        <v>0</v>
      </c>
      <c r="AD187" s="101">
        <f t="shared" si="90"/>
        <v>0</v>
      </c>
      <c r="AE187" s="101">
        <f t="shared" si="91"/>
        <v>0</v>
      </c>
      <c r="AF187" s="197">
        <f t="shared" si="105"/>
        <v>0</v>
      </c>
      <c r="AG187" s="197">
        <f t="shared" si="106"/>
        <v>0</v>
      </c>
      <c r="AH187" s="197">
        <f t="shared" si="107"/>
        <v>0</v>
      </c>
      <c r="AI187" s="202">
        <f t="shared" si="108"/>
        <v>0</v>
      </c>
      <c r="AK187" s="71">
        <v>182</v>
      </c>
      <c r="AL187" s="33">
        <f t="shared" si="92"/>
        <v>0</v>
      </c>
      <c r="AM187" s="33">
        <f t="shared" si="93"/>
        <v>0</v>
      </c>
      <c r="AN187" s="33">
        <f t="shared" si="94"/>
        <v>0</v>
      </c>
      <c r="AO187" s="33">
        <f t="shared" si="95"/>
        <v>0</v>
      </c>
      <c r="AP187" s="33">
        <f t="shared" si="96"/>
        <v>0</v>
      </c>
      <c r="AQ187" s="197">
        <f t="shared" si="109"/>
        <v>0</v>
      </c>
      <c r="AR187" s="197">
        <f t="shared" si="110"/>
        <v>0</v>
      </c>
      <c r="AS187" s="197">
        <f t="shared" si="111"/>
        <v>0</v>
      </c>
      <c r="AT187" s="197">
        <f t="shared" si="112"/>
        <v>0</v>
      </c>
      <c r="AU187" s="33"/>
      <c r="AV187" s="33"/>
      <c r="AW187" s="33"/>
      <c r="AX187" s="33"/>
      <c r="AY187" s="76"/>
    </row>
    <row r="188" spans="3:51">
      <c r="C188" s="169" t="s">
        <v>63</v>
      </c>
      <c r="D188" s="4">
        <v>0.38</v>
      </c>
      <c r="E188" s="191" t="s">
        <v>229</v>
      </c>
      <c r="F188" s="346">
        <f>IF(OR(Tableau145[[#This Row],[Type]]="Feuillus",Tableau145[[#This Row],[Type]]="Peupliers"),1.56,1.3)</f>
        <v>1.3</v>
      </c>
      <c r="I188" s="55">
        <v>183</v>
      </c>
      <c r="J188" s="33">
        <f t="shared" si="99"/>
        <v>0</v>
      </c>
      <c r="K188" s="33">
        <f t="shared" si="100"/>
        <v>0</v>
      </c>
      <c r="L188" s="33">
        <f t="shared" si="101"/>
        <v>0</v>
      </c>
      <c r="M188" s="33">
        <f t="shared" si="102"/>
        <v>0</v>
      </c>
      <c r="N188" s="33">
        <f t="shared" si="82"/>
        <v>0</v>
      </c>
      <c r="O188" s="34">
        <f t="shared" si="83"/>
        <v>0</v>
      </c>
      <c r="P188" s="55">
        <v>183</v>
      </c>
      <c r="Q188" s="33">
        <f t="shared" si="97"/>
        <v>0</v>
      </c>
      <c r="R188" s="33">
        <f t="shared" si="103"/>
        <v>0</v>
      </c>
      <c r="S188" s="33">
        <f t="shared" si="104"/>
        <v>0</v>
      </c>
      <c r="T188" s="33">
        <f t="shared" si="84"/>
        <v>0</v>
      </c>
      <c r="U188" s="33">
        <f t="shared" si="98"/>
        <v>0</v>
      </c>
      <c r="V188" s="33">
        <f t="shared" si="85"/>
        <v>0</v>
      </c>
      <c r="W188" s="33">
        <v>0</v>
      </c>
      <c r="X188" s="33">
        <f t="shared" si="86"/>
        <v>0</v>
      </c>
      <c r="Y188" s="38">
        <f t="shared" si="87"/>
        <v>0</v>
      </c>
      <c r="AA188" s="71">
        <v>183</v>
      </c>
      <c r="AB188" s="33">
        <f t="shared" si="88"/>
        <v>0</v>
      </c>
      <c r="AC188" s="308">
        <f t="shared" si="89"/>
        <v>0</v>
      </c>
      <c r="AD188" s="101">
        <f t="shared" si="90"/>
        <v>0</v>
      </c>
      <c r="AE188" s="101">
        <f t="shared" si="91"/>
        <v>0</v>
      </c>
      <c r="AF188" s="197">
        <f t="shared" si="105"/>
        <v>0</v>
      </c>
      <c r="AG188" s="197">
        <f t="shared" si="106"/>
        <v>0</v>
      </c>
      <c r="AH188" s="197">
        <f t="shared" si="107"/>
        <v>0</v>
      </c>
      <c r="AI188" s="202">
        <f t="shared" si="108"/>
        <v>0</v>
      </c>
      <c r="AK188" s="71">
        <v>183</v>
      </c>
      <c r="AL188" s="33">
        <f t="shared" si="92"/>
        <v>0</v>
      </c>
      <c r="AM188" s="33">
        <f t="shared" si="93"/>
        <v>0</v>
      </c>
      <c r="AN188" s="33">
        <f t="shared" si="94"/>
        <v>0</v>
      </c>
      <c r="AO188" s="33">
        <f t="shared" si="95"/>
        <v>0</v>
      </c>
      <c r="AP188" s="33">
        <f t="shared" si="96"/>
        <v>0</v>
      </c>
      <c r="AQ188" s="197">
        <f t="shared" si="109"/>
        <v>0</v>
      </c>
      <c r="AR188" s="197">
        <f t="shared" si="110"/>
        <v>0</v>
      </c>
      <c r="AS188" s="197">
        <f t="shared" si="111"/>
        <v>0</v>
      </c>
      <c r="AT188" s="197">
        <f t="shared" si="112"/>
        <v>0</v>
      </c>
      <c r="AU188" s="33"/>
      <c r="AV188" s="33"/>
      <c r="AW188" s="33"/>
      <c r="AX188" s="33"/>
      <c r="AY188" s="76"/>
    </row>
    <row r="189" spans="3:51">
      <c r="C189" s="169" t="s">
        <v>64</v>
      </c>
      <c r="D189" s="4">
        <v>0.36</v>
      </c>
      <c r="E189" s="191" t="s">
        <v>229</v>
      </c>
      <c r="F189" s="346">
        <f>IF(OR(Tableau145[[#This Row],[Type]]="Feuillus",Tableau145[[#This Row],[Type]]="Peupliers"),1.56,1.3)</f>
        <v>1.3</v>
      </c>
      <c r="I189" s="55">
        <v>184</v>
      </c>
      <c r="J189" s="33">
        <f t="shared" si="99"/>
        <v>0</v>
      </c>
      <c r="K189" s="33">
        <f t="shared" si="100"/>
        <v>0</v>
      </c>
      <c r="L189" s="33">
        <f t="shared" si="101"/>
        <v>0</v>
      </c>
      <c r="M189" s="33">
        <f t="shared" si="102"/>
        <v>0</v>
      </c>
      <c r="N189" s="33">
        <f t="shared" si="82"/>
        <v>0</v>
      </c>
      <c r="O189" s="34">
        <f t="shared" si="83"/>
        <v>0</v>
      </c>
      <c r="P189" s="55">
        <v>184</v>
      </c>
      <c r="Q189" s="33">
        <f t="shared" si="97"/>
        <v>0</v>
      </c>
      <c r="R189" s="33">
        <f t="shared" si="103"/>
        <v>0</v>
      </c>
      <c r="S189" s="33">
        <f t="shared" si="104"/>
        <v>0</v>
      </c>
      <c r="T189" s="33">
        <f t="shared" si="84"/>
        <v>0</v>
      </c>
      <c r="U189" s="33">
        <f t="shared" si="98"/>
        <v>0</v>
      </c>
      <c r="V189" s="33">
        <f t="shared" si="85"/>
        <v>0</v>
      </c>
      <c r="W189" s="33">
        <v>0</v>
      </c>
      <c r="X189" s="33">
        <f t="shared" si="86"/>
        <v>0</v>
      </c>
      <c r="Y189" s="38">
        <f t="shared" si="87"/>
        <v>0</v>
      </c>
      <c r="AA189" s="71">
        <v>184</v>
      </c>
      <c r="AB189" s="33">
        <f t="shared" si="88"/>
        <v>0</v>
      </c>
      <c r="AC189" s="308">
        <f t="shared" si="89"/>
        <v>0</v>
      </c>
      <c r="AD189" s="101">
        <f t="shared" si="90"/>
        <v>0</v>
      </c>
      <c r="AE189" s="101">
        <f t="shared" si="91"/>
        <v>0</v>
      </c>
      <c r="AF189" s="197">
        <f t="shared" si="105"/>
        <v>0</v>
      </c>
      <c r="AG189" s="197">
        <f t="shared" si="106"/>
        <v>0</v>
      </c>
      <c r="AH189" s="197">
        <f t="shared" si="107"/>
        <v>0</v>
      </c>
      <c r="AI189" s="202">
        <f t="shared" si="108"/>
        <v>0</v>
      </c>
      <c r="AK189" s="71">
        <v>184</v>
      </c>
      <c r="AL189" s="33">
        <f t="shared" si="92"/>
        <v>0</v>
      </c>
      <c r="AM189" s="33">
        <f t="shared" si="93"/>
        <v>0</v>
      </c>
      <c r="AN189" s="33">
        <f t="shared" si="94"/>
        <v>0</v>
      </c>
      <c r="AO189" s="33">
        <f t="shared" si="95"/>
        <v>0</v>
      </c>
      <c r="AP189" s="33">
        <f t="shared" si="96"/>
        <v>0</v>
      </c>
      <c r="AQ189" s="197">
        <f t="shared" si="109"/>
        <v>0</v>
      </c>
      <c r="AR189" s="197">
        <f t="shared" si="110"/>
        <v>0</v>
      </c>
      <c r="AS189" s="197">
        <f t="shared" si="111"/>
        <v>0</v>
      </c>
      <c r="AT189" s="197">
        <f t="shared" si="112"/>
        <v>0</v>
      </c>
      <c r="AU189" s="33"/>
      <c r="AV189" s="33"/>
      <c r="AW189" s="33"/>
      <c r="AX189" s="33"/>
      <c r="AY189" s="76"/>
    </row>
    <row r="190" spans="3:51">
      <c r="C190" s="169" t="s">
        <v>65</v>
      </c>
      <c r="D190" s="4">
        <v>0.37</v>
      </c>
      <c r="E190" s="191" t="s">
        <v>228</v>
      </c>
      <c r="F190" s="346">
        <f>IF(OR(Tableau145[[#This Row],[Type]]="Feuillus",Tableau145[[#This Row],[Type]]="Peupliers"),1.56,1.3)</f>
        <v>1.56</v>
      </c>
      <c r="I190" s="55">
        <v>185</v>
      </c>
      <c r="J190" s="33">
        <f t="shared" si="99"/>
        <v>0</v>
      </c>
      <c r="K190" s="33">
        <f t="shared" si="100"/>
        <v>0</v>
      </c>
      <c r="L190" s="33">
        <f t="shared" si="101"/>
        <v>0</v>
      </c>
      <c r="M190" s="33">
        <f t="shared" si="102"/>
        <v>0</v>
      </c>
      <c r="N190" s="33">
        <f t="shared" si="82"/>
        <v>0</v>
      </c>
      <c r="O190" s="34">
        <f t="shared" si="83"/>
        <v>0</v>
      </c>
      <c r="P190" s="55">
        <v>185</v>
      </c>
      <c r="Q190" s="33">
        <f t="shared" si="97"/>
        <v>0</v>
      </c>
      <c r="R190" s="33">
        <f t="shared" si="103"/>
        <v>0</v>
      </c>
      <c r="S190" s="33">
        <f t="shared" si="104"/>
        <v>0</v>
      </c>
      <c r="T190" s="33">
        <f t="shared" si="84"/>
        <v>0</v>
      </c>
      <c r="U190" s="33">
        <f t="shared" si="98"/>
        <v>0</v>
      </c>
      <c r="V190" s="33">
        <f t="shared" si="85"/>
        <v>0</v>
      </c>
      <c r="W190" s="33">
        <v>0</v>
      </c>
      <c r="X190" s="33">
        <f t="shared" si="86"/>
        <v>0</v>
      </c>
      <c r="Y190" s="38">
        <f t="shared" si="87"/>
        <v>0</v>
      </c>
      <c r="AA190" s="71">
        <v>185</v>
      </c>
      <c r="AB190" s="33">
        <f t="shared" si="88"/>
        <v>0</v>
      </c>
      <c r="AC190" s="308">
        <f t="shared" si="89"/>
        <v>0</v>
      </c>
      <c r="AD190" s="101">
        <f t="shared" si="90"/>
        <v>0</v>
      </c>
      <c r="AE190" s="101">
        <f t="shared" si="91"/>
        <v>0</v>
      </c>
      <c r="AF190" s="197">
        <f t="shared" si="105"/>
        <v>0</v>
      </c>
      <c r="AG190" s="197">
        <f t="shared" si="106"/>
        <v>0</v>
      </c>
      <c r="AH190" s="197">
        <f t="shared" si="107"/>
        <v>0</v>
      </c>
      <c r="AI190" s="202">
        <f t="shared" si="108"/>
        <v>0</v>
      </c>
      <c r="AK190" s="71">
        <v>185</v>
      </c>
      <c r="AL190" s="33">
        <f t="shared" si="92"/>
        <v>0</v>
      </c>
      <c r="AM190" s="33">
        <f t="shared" si="93"/>
        <v>0</v>
      </c>
      <c r="AN190" s="33">
        <f t="shared" si="94"/>
        <v>0</v>
      </c>
      <c r="AO190" s="33">
        <f t="shared" si="95"/>
        <v>0</v>
      </c>
      <c r="AP190" s="33">
        <f t="shared" si="96"/>
        <v>0</v>
      </c>
      <c r="AQ190" s="197">
        <f t="shared" si="109"/>
        <v>0</v>
      </c>
      <c r="AR190" s="197">
        <f t="shared" si="110"/>
        <v>0</v>
      </c>
      <c r="AS190" s="197">
        <f t="shared" si="111"/>
        <v>0</v>
      </c>
      <c r="AT190" s="197">
        <f t="shared" si="112"/>
        <v>0</v>
      </c>
      <c r="AU190" s="33"/>
      <c r="AV190" s="33"/>
      <c r="AW190" s="33"/>
      <c r="AX190" s="33"/>
      <c r="AY190" s="76"/>
    </row>
    <row r="191" spans="3:51">
      <c r="C191" s="169" t="s">
        <v>66</v>
      </c>
      <c r="D191" s="4">
        <v>0.53</v>
      </c>
      <c r="E191" s="191" t="s">
        <v>228</v>
      </c>
      <c r="F191" s="346">
        <f>IF(OR(Tableau145[[#This Row],[Type]]="Feuillus",Tableau145[[#This Row],[Type]]="Peupliers"),1.56,1.3)</f>
        <v>1.56</v>
      </c>
      <c r="I191" s="55">
        <v>186</v>
      </c>
      <c r="J191" s="33">
        <f t="shared" si="99"/>
        <v>0</v>
      </c>
      <c r="K191" s="33">
        <f t="shared" si="100"/>
        <v>0</v>
      </c>
      <c r="L191" s="33">
        <f t="shared" si="101"/>
        <v>0</v>
      </c>
      <c r="M191" s="33">
        <f t="shared" si="102"/>
        <v>0</v>
      </c>
      <c r="N191" s="33">
        <f t="shared" si="82"/>
        <v>0</v>
      </c>
      <c r="O191" s="34">
        <f t="shared" si="83"/>
        <v>0</v>
      </c>
      <c r="P191" s="55">
        <v>186</v>
      </c>
      <c r="Q191" s="33">
        <f t="shared" si="97"/>
        <v>0</v>
      </c>
      <c r="R191" s="33">
        <f t="shared" si="103"/>
        <v>0</v>
      </c>
      <c r="S191" s="33">
        <f t="shared" si="104"/>
        <v>0</v>
      </c>
      <c r="T191" s="33">
        <f t="shared" si="84"/>
        <v>0</v>
      </c>
      <c r="U191" s="33">
        <f t="shared" si="98"/>
        <v>0</v>
      </c>
      <c r="V191" s="33">
        <f t="shared" si="85"/>
        <v>0</v>
      </c>
      <c r="W191" s="33">
        <v>0</v>
      </c>
      <c r="X191" s="33">
        <f t="shared" si="86"/>
        <v>0</v>
      </c>
      <c r="Y191" s="38">
        <f t="shared" si="87"/>
        <v>0</v>
      </c>
      <c r="AA191" s="71">
        <v>186</v>
      </c>
      <c r="AB191" s="33">
        <f t="shared" si="88"/>
        <v>0</v>
      </c>
      <c r="AC191" s="308">
        <f t="shared" si="89"/>
        <v>0</v>
      </c>
      <c r="AD191" s="101">
        <f t="shared" si="90"/>
        <v>0</v>
      </c>
      <c r="AE191" s="101">
        <f t="shared" si="91"/>
        <v>0</v>
      </c>
      <c r="AF191" s="197">
        <f t="shared" si="105"/>
        <v>0</v>
      </c>
      <c r="AG191" s="197">
        <f t="shared" si="106"/>
        <v>0</v>
      </c>
      <c r="AH191" s="197">
        <f t="shared" si="107"/>
        <v>0</v>
      </c>
      <c r="AI191" s="202">
        <f t="shared" si="108"/>
        <v>0</v>
      </c>
      <c r="AK191" s="71">
        <v>186</v>
      </c>
      <c r="AL191" s="33">
        <f t="shared" si="92"/>
        <v>0</v>
      </c>
      <c r="AM191" s="33">
        <f t="shared" si="93"/>
        <v>0</v>
      </c>
      <c r="AN191" s="33">
        <f t="shared" si="94"/>
        <v>0</v>
      </c>
      <c r="AO191" s="33">
        <f t="shared" si="95"/>
        <v>0</v>
      </c>
      <c r="AP191" s="33">
        <f t="shared" si="96"/>
        <v>0</v>
      </c>
      <c r="AQ191" s="197">
        <f t="shared" si="109"/>
        <v>0</v>
      </c>
      <c r="AR191" s="197">
        <f t="shared" si="110"/>
        <v>0</v>
      </c>
      <c r="AS191" s="197">
        <f t="shared" si="111"/>
        <v>0</v>
      </c>
      <c r="AT191" s="197">
        <f t="shared" si="112"/>
        <v>0</v>
      </c>
      <c r="AU191" s="33"/>
      <c r="AV191" s="33"/>
      <c r="AW191" s="33"/>
      <c r="AX191" s="33"/>
      <c r="AY191" s="76"/>
    </row>
    <row r="192" spans="3:51">
      <c r="C192" s="169" t="s">
        <v>67</v>
      </c>
      <c r="D192" s="4">
        <v>0.43</v>
      </c>
      <c r="E192" s="191" t="s">
        <v>228</v>
      </c>
      <c r="F192" s="346">
        <f>IF(OR(Tableau145[[#This Row],[Type]]="Feuillus",Tableau145[[#This Row],[Type]]="Peupliers"),1.56,1.3)</f>
        <v>1.56</v>
      </c>
      <c r="I192" s="55">
        <v>187</v>
      </c>
      <c r="J192" s="33">
        <f t="shared" si="99"/>
        <v>0</v>
      </c>
      <c r="K192" s="33">
        <f t="shared" si="100"/>
        <v>0</v>
      </c>
      <c r="L192" s="33">
        <f t="shared" si="101"/>
        <v>0</v>
      </c>
      <c r="M192" s="33">
        <f t="shared" si="102"/>
        <v>0</v>
      </c>
      <c r="N192" s="33">
        <f t="shared" si="82"/>
        <v>0</v>
      </c>
      <c r="O192" s="34">
        <f t="shared" si="83"/>
        <v>0</v>
      </c>
      <c r="P192" s="55">
        <v>187</v>
      </c>
      <c r="Q192" s="33">
        <f t="shared" si="97"/>
        <v>0</v>
      </c>
      <c r="R192" s="33">
        <f t="shared" si="103"/>
        <v>0</v>
      </c>
      <c r="S192" s="33">
        <f t="shared" si="104"/>
        <v>0</v>
      </c>
      <c r="T192" s="33">
        <f t="shared" si="84"/>
        <v>0</v>
      </c>
      <c r="U192" s="33">
        <f t="shared" si="98"/>
        <v>0</v>
      </c>
      <c r="V192" s="33">
        <f t="shared" si="85"/>
        <v>0</v>
      </c>
      <c r="W192" s="33">
        <v>0</v>
      </c>
      <c r="X192" s="33">
        <f t="shared" si="86"/>
        <v>0</v>
      </c>
      <c r="Y192" s="38">
        <f t="shared" si="87"/>
        <v>0</v>
      </c>
      <c r="AA192" s="71">
        <v>187</v>
      </c>
      <c r="AB192" s="33">
        <f t="shared" si="88"/>
        <v>0</v>
      </c>
      <c r="AC192" s="308">
        <f t="shared" si="89"/>
        <v>0</v>
      </c>
      <c r="AD192" s="101">
        <f t="shared" si="90"/>
        <v>0</v>
      </c>
      <c r="AE192" s="101">
        <f t="shared" si="91"/>
        <v>0</v>
      </c>
      <c r="AF192" s="197">
        <f t="shared" si="105"/>
        <v>0</v>
      </c>
      <c r="AG192" s="197">
        <f t="shared" si="106"/>
        <v>0</v>
      </c>
      <c r="AH192" s="197">
        <f t="shared" si="107"/>
        <v>0</v>
      </c>
      <c r="AI192" s="202">
        <f t="shared" si="108"/>
        <v>0</v>
      </c>
      <c r="AK192" s="71">
        <v>187</v>
      </c>
      <c r="AL192" s="33">
        <f t="shared" si="92"/>
        <v>0</v>
      </c>
      <c r="AM192" s="33">
        <f t="shared" si="93"/>
        <v>0</v>
      </c>
      <c r="AN192" s="33">
        <f t="shared" si="94"/>
        <v>0</v>
      </c>
      <c r="AO192" s="33">
        <f t="shared" si="95"/>
        <v>0</v>
      </c>
      <c r="AP192" s="33">
        <f t="shared" si="96"/>
        <v>0</v>
      </c>
      <c r="AQ192" s="197">
        <f t="shared" si="109"/>
        <v>0</v>
      </c>
      <c r="AR192" s="197">
        <f t="shared" si="110"/>
        <v>0</v>
      </c>
      <c r="AS192" s="197">
        <f t="shared" si="111"/>
        <v>0</v>
      </c>
      <c r="AT192" s="197">
        <f t="shared" si="112"/>
        <v>0</v>
      </c>
      <c r="AU192" s="33"/>
      <c r="AV192" s="33"/>
      <c r="AW192" s="33"/>
      <c r="AX192" s="33"/>
      <c r="AY192" s="76"/>
    </row>
    <row r="193" spans="3:51">
      <c r="C193" s="169" t="s">
        <v>68</v>
      </c>
      <c r="D193" s="4">
        <v>0.38</v>
      </c>
      <c r="E193" s="191" t="s">
        <v>228</v>
      </c>
      <c r="F193" s="346">
        <f>IF(OR(Tableau145[[#This Row],[Type]]="Feuillus",Tableau145[[#This Row],[Type]]="Peupliers"),1.56,1.3)</f>
        <v>1.56</v>
      </c>
      <c r="I193" s="55">
        <v>188</v>
      </c>
      <c r="J193" s="33">
        <f t="shared" si="99"/>
        <v>0</v>
      </c>
      <c r="K193" s="33">
        <f t="shared" si="100"/>
        <v>0</v>
      </c>
      <c r="L193" s="33">
        <f t="shared" si="101"/>
        <v>0</v>
      </c>
      <c r="M193" s="33">
        <f t="shared" si="102"/>
        <v>0</v>
      </c>
      <c r="N193" s="33">
        <f t="shared" si="82"/>
        <v>0</v>
      </c>
      <c r="O193" s="34">
        <f t="shared" si="83"/>
        <v>0</v>
      </c>
      <c r="P193" s="55">
        <v>188</v>
      </c>
      <c r="Q193" s="33">
        <f t="shared" si="97"/>
        <v>0</v>
      </c>
      <c r="R193" s="33">
        <f t="shared" si="103"/>
        <v>0</v>
      </c>
      <c r="S193" s="33">
        <f t="shared" si="104"/>
        <v>0</v>
      </c>
      <c r="T193" s="33">
        <f t="shared" si="84"/>
        <v>0</v>
      </c>
      <c r="U193" s="33">
        <f t="shared" si="98"/>
        <v>0</v>
      </c>
      <c r="V193" s="33">
        <f t="shared" si="85"/>
        <v>0</v>
      </c>
      <c r="W193" s="33">
        <v>0</v>
      </c>
      <c r="X193" s="33">
        <f t="shared" si="86"/>
        <v>0</v>
      </c>
      <c r="Y193" s="38">
        <f t="shared" si="87"/>
        <v>0</v>
      </c>
      <c r="AA193" s="71">
        <v>188</v>
      </c>
      <c r="AB193" s="33">
        <f t="shared" si="88"/>
        <v>0</v>
      </c>
      <c r="AC193" s="308">
        <f t="shared" si="89"/>
        <v>0</v>
      </c>
      <c r="AD193" s="101">
        <f t="shared" si="90"/>
        <v>0</v>
      </c>
      <c r="AE193" s="101">
        <f t="shared" si="91"/>
        <v>0</v>
      </c>
      <c r="AF193" s="197">
        <f t="shared" si="105"/>
        <v>0</v>
      </c>
      <c r="AG193" s="197">
        <f t="shared" si="106"/>
        <v>0</v>
      </c>
      <c r="AH193" s="197">
        <f t="shared" si="107"/>
        <v>0</v>
      </c>
      <c r="AI193" s="202">
        <f t="shared" si="108"/>
        <v>0</v>
      </c>
      <c r="AK193" s="71">
        <v>188</v>
      </c>
      <c r="AL193" s="33">
        <f t="shared" si="92"/>
        <v>0</v>
      </c>
      <c r="AM193" s="33">
        <f t="shared" si="93"/>
        <v>0</v>
      </c>
      <c r="AN193" s="33">
        <f t="shared" si="94"/>
        <v>0</v>
      </c>
      <c r="AO193" s="33">
        <f t="shared" si="95"/>
        <v>0</v>
      </c>
      <c r="AP193" s="33">
        <f t="shared" si="96"/>
        <v>0</v>
      </c>
      <c r="AQ193" s="197">
        <f t="shared" si="109"/>
        <v>0</v>
      </c>
      <c r="AR193" s="197">
        <f t="shared" si="110"/>
        <v>0</v>
      </c>
      <c r="AS193" s="197">
        <f t="shared" si="111"/>
        <v>0</v>
      </c>
      <c r="AT193" s="197">
        <f t="shared" si="112"/>
        <v>0</v>
      </c>
      <c r="AU193" s="33"/>
      <c r="AV193" s="33"/>
      <c r="AW193" s="33"/>
      <c r="AX193" s="33"/>
      <c r="AY193" s="76"/>
    </row>
    <row r="194" spans="3:51">
      <c r="C194" s="171" t="s">
        <v>69</v>
      </c>
      <c r="D194" s="3">
        <v>0.42</v>
      </c>
      <c r="E194" s="191" t="s">
        <v>229</v>
      </c>
      <c r="F194" s="346">
        <f>IF(OR(Tableau145[[#This Row],[Type]]="Feuillus",Tableau145[[#This Row],[Type]]="Peupliers"),1.56,1.3)</f>
        <v>1.3</v>
      </c>
      <c r="I194" s="55">
        <v>189</v>
      </c>
      <c r="J194" s="33">
        <f t="shared" si="99"/>
        <v>0</v>
      </c>
      <c r="K194" s="33">
        <f t="shared" si="100"/>
        <v>0</v>
      </c>
      <c r="L194" s="33">
        <f t="shared" si="101"/>
        <v>0</v>
      </c>
      <c r="M194" s="33">
        <f t="shared" si="102"/>
        <v>0</v>
      </c>
      <c r="N194" s="33">
        <f t="shared" si="82"/>
        <v>0</v>
      </c>
      <c r="O194" s="34">
        <f t="shared" si="83"/>
        <v>0</v>
      </c>
      <c r="P194" s="55">
        <v>189</v>
      </c>
      <c r="Q194" s="33">
        <f t="shared" si="97"/>
        <v>0</v>
      </c>
      <c r="R194" s="33">
        <f t="shared" si="103"/>
        <v>0</v>
      </c>
      <c r="S194" s="33">
        <f t="shared" si="104"/>
        <v>0</v>
      </c>
      <c r="T194" s="33">
        <f t="shared" si="84"/>
        <v>0</v>
      </c>
      <c r="U194" s="33">
        <f t="shared" si="98"/>
        <v>0</v>
      </c>
      <c r="V194" s="33">
        <f t="shared" si="85"/>
        <v>0</v>
      </c>
      <c r="W194" s="33">
        <v>0</v>
      </c>
      <c r="X194" s="33">
        <f t="shared" si="86"/>
        <v>0</v>
      </c>
      <c r="Y194" s="38">
        <f t="shared" si="87"/>
        <v>0</v>
      </c>
      <c r="AA194" s="71">
        <v>189</v>
      </c>
      <c r="AB194" s="33">
        <f t="shared" si="88"/>
        <v>0</v>
      </c>
      <c r="AC194" s="308">
        <f t="shared" si="89"/>
        <v>0</v>
      </c>
      <c r="AD194" s="101">
        <f t="shared" si="90"/>
        <v>0</v>
      </c>
      <c r="AE194" s="101">
        <f t="shared" si="91"/>
        <v>0</v>
      </c>
      <c r="AF194" s="197">
        <f t="shared" si="105"/>
        <v>0</v>
      </c>
      <c r="AG194" s="197">
        <f t="shared" si="106"/>
        <v>0</v>
      </c>
      <c r="AH194" s="197">
        <f t="shared" si="107"/>
        <v>0</v>
      </c>
      <c r="AI194" s="202">
        <f t="shared" si="108"/>
        <v>0</v>
      </c>
      <c r="AK194" s="71">
        <v>189</v>
      </c>
      <c r="AL194" s="33">
        <f t="shared" si="92"/>
        <v>0</v>
      </c>
      <c r="AM194" s="33">
        <f t="shared" si="93"/>
        <v>0</v>
      </c>
      <c r="AN194" s="33">
        <f t="shared" si="94"/>
        <v>0</v>
      </c>
      <c r="AO194" s="33">
        <f t="shared" si="95"/>
        <v>0</v>
      </c>
      <c r="AP194" s="33">
        <f t="shared" si="96"/>
        <v>0</v>
      </c>
      <c r="AQ194" s="197">
        <f t="shared" si="109"/>
        <v>0</v>
      </c>
      <c r="AR194" s="197">
        <f t="shared" si="110"/>
        <v>0</v>
      </c>
      <c r="AS194" s="197">
        <f t="shared" si="111"/>
        <v>0</v>
      </c>
      <c r="AT194" s="197">
        <f t="shared" si="112"/>
        <v>0</v>
      </c>
      <c r="AU194" s="33"/>
      <c r="AV194" s="33"/>
      <c r="AW194" s="33"/>
      <c r="AX194" s="33"/>
      <c r="AY194" s="76"/>
    </row>
    <row r="195" spans="3:51">
      <c r="C195" s="171" t="s">
        <v>70</v>
      </c>
      <c r="D195" s="3">
        <v>0.56999999999999995</v>
      </c>
      <c r="E195" s="191" t="s">
        <v>228</v>
      </c>
      <c r="F195" s="346">
        <f>IF(OR(Tableau145[[#This Row],[Type]]="Feuillus",Tableau145[[#This Row],[Type]]="Peupliers"),1.56,1.3)</f>
        <v>1.56</v>
      </c>
      <c r="I195" s="55">
        <v>190</v>
      </c>
      <c r="J195" s="33">
        <f t="shared" si="99"/>
        <v>0</v>
      </c>
      <c r="K195" s="33">
        <f t="shared" si="100"/>
        <v>0</v>
      </c>
      <c r="L195" s="33">
        <f t="shared" si="101"/>
        <v>0</v>
      </c>
      <c r="M195" s="33">
        <f t="shared" si="102"/>
        <v>0</v>
      </c>
      <c r="N195" s="33">
        <f t="shared" si="82"/>
        <v>0</v>
      </c>
      <c r="O195" s="34">
        <f t="shared" si="83"/>
        <v>0</v>
      </c>
      <c r="P195" s="55">
        <v>190</v>
      </c>
      <c r="Q195" s="33">
        <f t="shared" si="97"/>
        <v>0</v>
      </c>
      <c r="R195" s="33">
        <f t="shared" si="103"/>
        <v>0</v>
      </c>
      <c r="S195" s="33">
        <f t="shared" si="104"/>
        <v>0</v>
      </c>
      <c r="T195" s="33">
        <f t="shared" si="84"/>
        <v>0</v>
      </c>
      <c r="U195" s="33">
        <f t="shared" si="98"/>
        <v>0</v>
      </c>
      <c r="V195" s="33">
        <f t="shared" si="85"/>
        <v>0</v>
      </c>
      <c r="W195" s="33">
        <v>0</v>
      </c>
      <c r="X195" s="33">
        <f t="shared" si="86"/>
        <v>0</v>
      </c>
      <c r="Y195" s="38">
        <f t="shared" si="87"/>
        <v>0</v>
      </c>
      <c r="AA195" s="71">
        <v>190</v>
      </c>
      <c r="AB195" s="33">
        <f t="shared" si="88"/>
        <v>0</v>
      </c>
      <c r="AC195" s="308">
        <f t="shared" si="89"/>
        <v>0</v>
      </c>
      <c r="AD195" s="101">
        <f t="shared" si="90"/>
        <v>0</v>
      </c>
      <c r="AE195" s="101">
        <f t="shared" si="91"/>
        <v>0</v>
      </c>
      <c r="AF195" s="197">
        <f t="shared" si="105"/>
        <v>0</v>
      </c>
      <c r="AG195" s="197">
        <f t="shared" si="106"/>
        <v>0</v>
      </c>
      <c r="AH195" s="197">
        <f t="shared" si="107"/>
        <v>0</v>
      </c>
      <c r="AI195" s="202">
        <f t="shared" si="108"/>
        <v>0</v>
      </c>
      <c r="AK195" s="71">
        <v>190</v>
      </c>
      <c r="AL195" s="33">
        <f t="shared" si="92"/>
        <v>0</v>
      </c>
      <c r="AM195" s="33">
        <f t="shared" si="93"/>
        <v>0</v>
      </c>
      <c r="AN195" s="33">
        <f t="shared" si="94"/>
        <v>0</v>
      </c>
      <c r="AO195" s="33">
        <f t="shared" si="95"/>
        <v>0</v>
      </c>
      <c r="AP195" s="33">
        <f t="shared" si="96"/>
        <v>0</v>
      </c>
      <c r="AQ195" s="197">
        <f t="shared" si="109"/>
        <v>0</v>
      </c>
      <c r="AR195" s="197">
        <f t="shared" si="110"/>
        <v>0</v>
      </c>
      <c r="AS195" s="197">
        <f t="shared" si="111"/>
        <v>0</v>
      </c>
      <c r="AT195" s="197">
        <f t="shared" si="112"/>
        <v>0</v>
      </c>
      <c r="AU195" s="33"/>
      <c r="AV195" s="33"/>
      <c r="AW195" s="33"/>
      <c r="AX195" s="33"/>
      <c r="AY195" s="76"/>
    </row>
    <row r="196" spans="3:51">
      <c r="C196" s="171" t="s">
        <v>71</v>
      </c>
      <c r="D196" s="3">
        <v>0.54</v>
      </c>
      <c r="E196" s="191"/>
      <c r="F196" s="346">
        <f>IF(OR(Tableau145[[#This Row],[Type]]="Feuillus",Tableau145[[#This Row],[Type]]="Peupliers"),1.56,1.3)</f>
        <v>1.3</v>
      </c>
      <c r="I196" s="55">
        <v>191</v>
      </c>
      <c r="J196" s="33">
        <f t="shared" si="99"/>
        <v>0</v>
      </c>
      <c r="K196" s="33">
        <f t="shared" si="100"/>
        <v>0</v>
      </c>
      <c r="L196" s="33">
        <f t="shared" si="101"/>
        <v>0</v>
      </c>
      <c r="M196" s="33">
        <f t="shared" si="102"/>
        <v>0</v>
      </c>
      <c r="N196" s="33">
        <f t="shared" si="82"/>
        <v>0</v>
      </c>
      <c r="O196" s="34">
        <f t="shared" si="83"/>
        <v>0</v>
      </c>
      <c r="P196" s="55">
        <v>191</v>
      </c>
      <c r="Q196" s="33">
        <f t="shared" si="97"/>
        <v>0</v>
      </c>
      <c r="R196" s="33">
        <f t="shared" si="103"/>
        <v>0</v>
      </c>
      <c r="S196" s="33">
        <f t="shared" si="104"/>
        <v>0</v>
      </c>
      <c r="T196" s="33">
        <f t="shared" si="84"/>
        <v>0</v>
      </c>
      <c r="U196" s="33">
        <f t="shared" si="98"/>
        <v>0</v>
      </c>
      <c r="V196" s="33">
        <f t="shared" si="85"/>
        <v>0</v>
      </c>
      <c r="W196" s="33">
        <v>0</v>
      </c>
      <c r="X196" s="33">
        <f t="shared" si="86"/>
        <v>0</v>
      </c>
      <c r="Y196" s="38">
        <f t="shared" si="87"/>
        <v>0</v>
      </c>
      <c r="AA196" s="71">
        <v>191</v>
      </c>
      <c r="AB196" s="33">
        <f t="shared" si="88"/>
        <v>0</v>
      </c>
      <c r="AC196" s="308">
        <f t="shared" si="89"/>
        <v>0</v>
      </c>
      <c r="AD196" s="101">
        <f t="shared" si="90"/>
        <v>0</v>
      </c>
      <c r="AE196" s="101">
        <f t="shared" si="91"/>
        <v>0</v>
      </c>
      <c r="AF196" s="197">
        <f t="shared" si="105"/>
        <v>0</v>
      </c>
      <c r="AG196" s="197">
        <f t="shared" si="106"/>
        <v>0</v>
      </c>
      <c r="AH196" s="197">
        <f t="shared" si="107"/>
        <v>0</v>
      </c>
      <c r="AI196" s="202">
        <f t="shared" si="108"/>
        <v>0</v>
      </c>
      <c r="AK196" s="71">
        <v>191</v>
      </c>
      <c r="AL196" s="33">
        <f t="shared" si="92"/>
        <v>0</v>
      </c>
      <c r="AM196" s="33">
        <f t="shared" si="93"/>
        <v>0</v>
      </c>
      <c r="AN196" s="33">
        <f t="shared" si="94"/>
        <v>0</v>
      </c>
      <c r="AO196" s="33">
        <f t="shared" si="95"/>
        <v>0</v>
      </c>
      <c r="AP196" s="33">
        <f t="shared" si="96"/>
        <v>0</v>
      </c>
      <c r="AQ196" s="197">
        <f t="shared" si="109"/>
        <v>0</v>
      </c>
      <c r="AR196" s="197">
        <f t="shared" si="110"/>
        <v>0</v>
      </c>
      <c r="AS196" s="197">
        <f t="shared" si="111"/>
        <v>0</v>
      </c>
      <c r="AT196" s="197">
        <f t="shared" si="112"/>
        <v>0</v>
      </c>
      <c r="AU196" s="33"/>
      <c r="AV196" s="33"/>
      <c r="AW196" s="33"/>
      <c r="AX196" s="33"/>
      <c r="AY196" s="76"/>
    </row>
    <row r="197" spans="3:51">
      <c r="E197" s="24"/>
      <c r="I197" s="55">
        <v>192</v>
      </c>
      <c r="J197" s="33">
        <f t="shared" si="99"/>
        <v>0</v>
      </c>
      <c r="K197" s="33">
        <f t="shared" si="100"/>
        <v>0</v>
      </c>
      <c r="L197" s="33">
        <f t="shared" si="101"/>
        <v>0</v>
      </c>
      <c r="M197" s="33">
        <f t="shared" si="102"/>
        <v>0</v>
      </c>
      <c r="N197" s="33">
        <f t="shared" ref="N197:N204" si="113">IF(P198&lt;=$F$18,0,)</f>
        <v>0</v>
      </c>
      <c r="O197" s="34">
        <f t="shared" ref="O197:O205" si="114">((J197+K197)*0.475+L197+M197+N197)*44/12</f>
        <v>0</v>
      </c>
      <c r="P197" s="55">
        <v>192</v>
      </c>
      <c r="Q197" s="33">
        <f t="shared" si="97"/>
        <v>0</v>
      </c>
      <c r="R197" s="33">
        <f t="shared" si="103"/>
        <v>0</v>
      </c>
      <c r="S197" s="33">
        <f t="shared" si="104"/>
        <v>0</v>
      </c>
      <c r="T197" s="33">
        <f t="shared" ref="T197:T205" si="115">IF(S197=0,0,EXP(-1.0587+0.8836*LN(S197)+0.284))</f>
        <v>0</v>
      </c>
      <c r="U197" s="33">
        <f t="shared" si="98"/>
        <v>0</v>
      </c>
      <c r="V197" s="33">
        <f t="shared" ref="V197:V205" si="116">IF(P197&lt;=$F$18,IF(P197&lt;=30,P197*($F$16-$F$6)/30,$F$16-$F$6),)</f>
        <v>0</v>
      </c>
      <c r="W197" s="33">
        <v>0</v>
      </c>
      <c r="X197" s="33">
        <f t="shared" ref="X197:X205" si="117">((S197+T197)*0.475+U197+V197+W197)*44/12</f>
        <v>0</v>
      </c>
      <c r="Y197" s="38">
        <f t="shared" ref="Y197:Y205" si="118">IF(P197&lt;=$F$18,X197-O197,)</f>
        <v>0</v>
      </c>
      <c r="AA197" s="71">
        <v>192</v>
      </c>
      <c r="AB197" s="33">
        <f t="shared" ref="AB197:AB205" si="119">IF(AA197&lt;=$F$18,IFERROR(VLOOKUP($AA197,$B$82:$G$95,2,FALSE),0),)</f>
        <v>0</v>
      </c>
      <c r="AC197" s="308">
        <f t="shared" ref="AC197:AC205" si="120">IF(AA197&lt;=$F$18,IFERROR(VLOOKUP($AA197,$B$82:$G$95,3,FALSE),0),)*50%</f>
        <v>0</v>
      </c>
      <c r="AD197" s="101">
        <f t="shared" ref="AD197:AD205" si="121">IF(AA197&lt;=$F$18,IFERROR(VLOOKUP($AA197,$B$82:$G$95,4,FALSE),0),)</f>
        <v>0</v>
      </c>
      <c r="AE197" s="101">
        <f t="shared" ref="AE197:AE205" si="122">IF(AA197&lt;=$F$18,IFERROR(VLOOKUP($AA197,$B$82:$G$95,5,FALSE),0),)</f>
        <v>0</v>
      </c>
      <c r="AF197" s="197">
        <f t="shared" si="105"/>
        <v>0</v>
      </c>
      <c r="AG197" s="197">
        <f t="shared" si="106"/>
        <v>0</v>
      </c>
      <c r="AH197" s="197">
        <f t="shared" si="107"/>
        <v>0</v>
      </c>
      <c r="AI197" s="202">
        <f t="shared" si="108"/>
        <v>0</v>
      </c>
      <c r="AK197" s="71">
        <v>192</v>
      </c>
      <c r="AL197" s="33">
        <f t="shared" ref="AL197:AL205" si="123">IF(AK197&lt;=$F$18,IFERROR(VLOOKUP($AA197,$B$82:$G$95,2,FALSE),0),)</f>
        <v>0</v>
      </c>
      <c r="AM197" s="33">
        <f t="shared" ref="AM197:AM205" si="124">IF(AK197&lt;=$F$18,IFERROR(VLOOKUP($AA197,$B$82:$G$95,3,FALSE),0),)</f>
        <v>0</v>
      </c>
      <c r="AN197" s="33">
        <f t="shared" ref="AN197:AN205" si="125">IF(AK197&lt;=$F$18,IFERROR(VLOOKUP($AA197,$B$82:$G$95,4,FALSE),0),)</f>
        <v>0</v>
      </c>
      <c r="AO197" s="33">
        <f t="shared" ref="AO197:AO205" si="126">IF(AK197&lt;=$F$18,IFERROR(VLOOKUP($AA197,$B$82:$G$95,5,FALSE),0),)</f>
        <v>0</v>
      </c>
      <c r="AP197" s="33">
        <f t="shared" ref="AP197:AP205" si="127">IF(AK197&lt;=$F$18,IFERROR(VLOOKUP($AA197,$B$82:$G$95,6,FALSE),0),)</f>
        <v>0</v>
      </c>
      <c r="AQ197" s="197">
        <f t="shared" si="109"/>
        <v>0</v>
      </c>
      <c r="AR197" s="197">
        <f t="shared" si="110"/>
        <v>0</v>
      </c>
      <c r="AS197" s="197">
        <f t="shared" si="111"/>
        <v>0</v>
      </c>
      <c r="AT197" s="197">
        <f t="shared" si="112"/>
        <v>0</v>
      </c>
      <c r="AU197" s="33"/>
      <c r="AV197" s="33"/>
      <c r="AW197" s="33"/>
      <c r="AX197" s="33"/>
      <c r="AY197" s="76"/>
    </row>
    <row r="198" spans="3:51">
      <c r="E198" s="24"/>
      <c r="I198" s="55">
        <v>193</v>
      </c>
      <c r="J198" s="33">
        <f t="shared" si="99"/>
        <v>0</v>
      </c>
      <c r="K198" s="33">
        <f t="shared" si="100"/>
        <v>0</v>
      </c>
      <c r="L198" s="33">
        <f t="shared" si="101"/>
        <v>0</v>
      </c>
      <c r="M198" s="33">
        <f t="shared" si="102"/>
        <v>0</v>
      </c>
      <c r="N198" s="33">
        <f t="shared" si="113"/>
        <v>0</v>
      </c>
      <c r="O198" s="34">
        <f t="shared" si="114"/>
        <v>0</v>
      </c>
      <c r="P198" s="55">
        <v>193</v>
      </c>
      <c r="Q198" s="33">
        <f t="shared" ref="Q198:Q205" si="128">IF(P198&lt;=$F$18,LOOKUP(P198-1,$B$25:$B$78,$G$25:$G$78),)</f>
        <v>0</v>
      </c>
      <c r="R198" s="33">
        <f t="shared" si="103"/>
        <v>0</v>
      </c>
      <c r="S198" s="33">
        <f t="shared" si="104"/>
        <v>0</v>
      </c>
      <c r="T198" s="33">
        <f t="shared" si="115"/>
        <v>0</v>
      </c>
      <c r="U198" s="33">
        <f t="shared" ref="U198:U205" si="129">IF(P198&lt;=$F$18,$F$5+($F$15-$F$5)*(1-EXP(-0.0175*P198)),)</f>
        <v>0</v>
      </c>
      <c r="V198" s="33">
        <f t="shared" si="116"/>
        <v>0</v>
      </c>
      <c r="W198" s="33">
        <v>0</v>
      </c>
      <c r="X198" s="33">
        <f t="shared" si="117"/>
        <v>0</v>
      </c>
      <c r="Y198" s="38">
        <f t="shared" si="118"/>
        <v>0</v>
      </c>
      <c r="AA198" s="71">
        <v>193</v>
      </c>
      <c r="AB198" s="33">
        <f t="shared" si="119"/>
        <v>0</v>
      </c>
      <c r="AC198" s="308">
        <f t="shared" si="120"/>
        <v>0</v>
      </c>
      <c r="AD198" s="101">
        <f t="shared" si="121"/>
        <v>0</v>
      </c>
      <c r="AE198" s="101">
        <f t="shared" si="122"/>
        <v>0</v>
      </c>
      <c r="AF198" s="197">
        <f t="shared" si="105"/>
        <v>0</v>
      </c>
      <c r="AG198" s="197">
        <f t="shared" si="106"/>
        <v>0</v>
      </c>
      <c r="AH198" s="197">
        <f t="shared" si="107"/>
        <v>0</v>
      </c>
      <c r="AI198" s="202">
        <f t="shared" si="108"/>
        <v>0</v>
      </c>
      <c r="AK198" s="71">
        <v>193</v>
      </c>
      <c r="AL198" s="33">
        <f t="shared" si="123"/>
        <v>0</v>
      </c>
      <c r="AM198" s="33">
        <f t="shared" si="124"/>
        <v>0</v>
      </c>
      <c r="AN198" s="33">
        <f t="shared" si="125"/>
        <v>0</v>
      </c>
      <c r="AO198" s="33">
        <f t="shared" si="126"/>
        <v>0</v>
      </c>
      <c r="AP198" s="33">
        <f t="shared" si="127"/>
        <v>0</v>
      </c>
      <c r="AQ198" s="197">
        <f t="shared" si="109"/>
        <v>0</v>
      </c>
      <c r="AR198" s="197">
        <f t="shared" si="110"/>
        <v>0</v>
      </c>
      <c r="AS198" s="197">
        <f t="shared" si="111"/>
        <v>0</v>
      </c>
      <c r="AT198" s="197">
        <f t="shared" si="112"/>
        <v>0</v>
      </c>
      <c r="AU198" s="33"/>
      <c r="AV198" s="33"/>
      <c r="AW198" s="33"/>
      <c r="AX198" s="33"/>
      <c r="AY198" s="76"/>
    </row>
    <row r="199" spans="3:51">
      <c r="E199" s="24"/>
      <c r="I199" s="55">
        <v>194</v>
      </c>
      <c r="J199" s="33">
        <f t="shared" ref="J199:J205" si="130">IF($I199&lt;=$F$10,$F$11*$F$13+J198,)</f>
        <v>0</v>
      </c>
      <c r="K199" s="33">
        <f t="shared" ref="K199:K205" si="131">IF(J199=0,0,EXP(-1.0587+0.8836*LN(J199)+0.284))</f>
        <v>0</v>
      </c>
      <c r="L199" s="33">
        <f t="shared" ref="L199:L205" si="132">IF(I199&lt;=$F$10,$F$5+($F$8-$F$5)*(1-EXP(-0.0175*I199)),)</f>
        <v>0</v>
      </c>
      <c r="M199" s="33">
        <f t="shared" ref="M199:M205" si="133">IF(I199&lt;=$F$10,IF(I199&lt;=30,I199*($F$9-$F$6)/30,$F$9-$F$6),)</f>
        <v>0</v>
      </c>
      <c r="N199" s="33">
        <f t="shared" si="113"/>
        <v>0</v>
      </c>
      <c r="O199" s="34">
        <f t="shared" si="114"/>
        <v>0</v>
      </c>
      <c r="P199" s="55">
        <v>194</v>
      </c>
      <c r="Q199" s="33">
        <f t="shared" si="128"/>
        <v>0</v>
      </c>
      <c r="R199" s="33">
        <f t="shared" ref="R199:R205" si="134">IF(P199&lt;=$F$18,Q199+R198,)</f>
        <v>0</v>
      </c>
      <c r="S199" s="33">
        <f t="shared" ref="S199:S205" si="135">$F$19*R199</f>
        <v>0</v>
      </c>
      <c r="T199" s="33">
        <f t="shared" si="115"/>
        <v>0</v>
      </c>
      <c r="U199" s="33">
        <f t="shared" si="129"/>
        <v>0</v>
      </c>
      <c r="V199" s="33">
        <f t="shared" si="116"/>
        <v>0</v>
      </c>
      <c r="W199" s="33">
        <v>0</v>
      </c>
      <c r="X199" s="33">
        <f t="shared" si="117"/>
        <v>0</v>
      </c>
      <c r="Y199" s="38">
        <f t="shared" si="118"/>
        <v>0</v>
      </c>
      <c r="AA199" s="71">
        <v>194</v>
      </c>
      <c r="AB199" s="33">
        <f t="shared" si="119"/>
        <v>0</v>
      </c>
      <c r="AC199" s="308">
        <f t="shared" si="120"/>
        <v>0</v>
      </c>
      <c r="AD199" s="101">
        <f t="shared" si="121"/>
        <v>0</v>
      </c>
      <c r="AE199" s="101">
        <f t="shared" si="122"/>
        <v>0</v>
      </c>
      <c r="AF199" s="197">
        <f t="shared" si="105"/>
        <v>0</v>
      </c>
      <c r="AG199" s="197">
        <f t="shared" si="106"/>
        <v>0</v>
      </c>
      <c r="AH199" s="197">
        <f t="shared" si="107"/>
        <v>0</v>
      </c>
      <c r="AI199" s="202">
        <f t="shared" si="108"/>
        <v>0</v>
      </c>
      <c r="AK199" s="71">
        <v>194</v>
      </c>
      <c r="AL199" s="33">
        <f t="shared" si="123"/>
        <v>0</v>
      </c>
      <c r="AM199" s="33">
        <f t="shared" si="124"/>
        <v>0</v>
      </c>
      <c r="AN199" s="33">
        <f t="shared" si="125"/>
        <v>0</v>
      </c>
      <c r="AO199" s="33">
        <f t="shared" si="126"/>
        <v>0</v>
      </c>
      <c r="AP199" s="33">
        <f t="shared" si="127"/>
        <v>0</v>
      </c>
      <c r="AQ199" s="197">
        <f t="shared" si="109"/>
        <v>0</v>
      </c>
      <c r="AR199" s="197">
        <f t="shared" si="110"/>
        <v>0</v>
      </c>
      <c r="AS199" s="197">
        <f t="shared" si="111"/>
        <v>0</v>
      </c>
      <c r="AT199" s="197">
        <f t="shared" si="112"/>
        <v>0</v>
      </c>
      <c r="AU199" s="33"/>
      <c r="AV199" s="33"/>
      <c r="AW199" s="33"/>
      <c r="AX199" s="33"/>
      <c r="AY199" s="76"/>
    </row>
    <row r="200" spans="3:51">
      <c r="E200" s="24"/>
      <c r="I200" s="55">
        <v>195</v>
      </c>
      <c r="J200" s="33">
        <f t="shared" si="130"/>
        <v>0</v>
      </c>
      <c r="K200" s="33">
        <f t="shared" si="131"/>
        <v>0</v>
      </c>
      <c r="L200" s="33">
        <f t="shared" si="132"/>
        <v>0</v>
      </c>
      <c r="M200" s="33">
        <f t="shared" si="133"/>
        <v>0</v>
      </c>
      <c r="N200" s="33">
        <f t="shared" si="113"/>
        <v>0</v>
      </c>
      <c r="O200" s="34">
        <f t="shared" si="114"/>
        <v>0</v>
      </c>
      <c r="P200" s="55">
        <v>195</v>
      </c>
      <c r="Q200" s="33">
        <f t="shared" si="128"/>
        <v>0</v>
      </c>
      <c r="R200" s="33">
        <f t="shared" si="134"/>
        <v>0</v>
      </c>
      <c r="S200" s="33">
        <f t="shared" si="135"/>
        <v>0</v>
      </c>
      <c r="T200" s="33">
        <f t="shared" si="115"/>
        <v>0</v>
      </c>
      <c r="U200" s="33">
        <f t="shared" si="129"/>
        <v>0</v>
      </c>
      <c r="V200" s="33">
        <f t="shared" si="116"/>
        <v>0</v>
      </c>
      <c r="W200" s="33">
        <v>0</v>
      </c>
      <c r="X200" s="33">
        <f t="shared" si="117"/>
        <v>0</v>
      </c>
      <c r="Y200" s="38">
        <f t="shared" si="118"/>
        <v>0</v>
      </c>
      <c r="AA200" s="71">
        <v>195</v>
      </c>
      <c r="AB200" s="33">
        <f t="shared" si="119"/>
        <v>0</v>
      </c>
      <c r="AC200" s="308">
        <f t="shared" si="120"/>
        <v>0</v>
      </c>
      <c r="AD200" s="101">
        <f t="shared" si="121"/>
        <v>0</v>
      </c>
      <c r="AE200" s="101">
        <f t="shared" si="122"/>
        <v>0</v>
      </c>
      <c r="AF200" s="197">
        <f t="shared" si="105"/>
        <v>0</v>
      </c>
      <c r="AG200" s="197">
        <f t="shared" si="106"/>
        <v>0</v>
      </c>
      <c r="AH200" s="197">
        <f t="shared" si="107"/>
        <v>0</v>
      </c>
      <c r="AI200" s="202">
        <f t="shared" si="108"/>
        <v>0</v>
      </c>
      <c r="AK200" s="71">
        <v>195</v>
      </c>
      <c r="AL200" s="33">
        <f t="shared" si="123"/>
        <v>0</v>
      </c>
      <c r="AM200" s="33">
        <f t="shared" si="124"/>
        <v>0</v>
      </c>
      <c r="AN200" s="33">
        <f t="shared" si="125"/>
        <v>0</v>
      </c>
      <c r="AO200" s="33">
        <f t="shared" si="126"/>
        <v>0</v>
      </c>
      <c r="AP200" s="33">
        <f t="shared" si="127"/>
        <v>0</v>
      </c>
      <c r="AQ200" s="197">
        <f t="shared" si="109"/>
        <v>0</v>
      </c>
      <c r="AR200" s="197">
        <f t="shared" si="110"/>
        <v>0</v>
      </c>
      <c r="AS200" s="197">
        <f t="shared" si="111"/>
        <v>0</v>
      </c>
      <c r="AT200" s="197">
        <f t="shared" si="112"/>
        <v>0</v>
      </c>
      <c r="AU200" s="33"/>
      <c r="AV200" s="33"/>
      <c r="AW200" s="33"/>
      <c r="AX200" s="33"/>
      <c r="AY200" s="76"/>
    </row>
    <row r="201" spans="3:51">
      <c r="E201" s="24"/>
      <c r="I201" s="55">
        <v>196</v>
      </c>
      <c r="J201" s="33">
        <f t="shared" si="130"/>
        <v>0</v>
      </c>
      <c r="K201" s="33">
        <f t="shared" si="131"/>
        <v>0</v>
      </c>
      <c r="L201" s="33">
        <f t="shared" si="132"/>
        <v>0</v>
      </c>
      <c r="M201" s="33">
        <f t="shared" si="133"/>
        <v>0</v>
      </c>
      <c r="N201" s="33">
        <f t="shared" si="113"/>
        <v>0</v>
      </c>
      <c r="O201" s="34">
        <f t="shared" si="114"/>
        <v>0</v>
      </c>
      <c r="P201" s="55">
        <v>196</v>
      </c>
      <c r="Q201" s="33">
        <f t="shared" si="128"/>
        <v>0</v>
      </c>
      <c r="R201" s="33">
        <f t="shared" si="134"/>
        <v>0</v>
      </c>
      <c r="S201" s="33">
        <f t="shared" si="135"/>
        <v>0</v>
      </c>
      <c r="T201" s="33">
        <f t="shared" si="115"/>
        <v>0</v>
      </c>
      <c r="U201" s="33">
        <f t="shared" si="129"/>
        <v>0</v>
      </c>
      <c r="V201" s="33">
        <f t="shared" si="116"/>
        <v>0</v>
      </c>
      <c r="W201" s="33">
        <v>0</v>
      </c>
      <c r="X201" s="33">
        <f t="shared" si="117"/>
        <v>0</v>
      </c>
      <c r="Y201" s="38">
        <f t="shared" si="118"/>
        <v>0</v>
      </c>
      <c r="AA201" s="71">
        <v>196</v>
      </c>
      <c r="AB201" s="33">
        <f t="shared" si="119"/>
        <v>0</v>
      </c>
      <c r="AC201" s="308">
        <f t="shared" si="120"/>
        <v>0</v>
      </c>
      <c r="AD201" s="101">
        <f t="shared" si="121"/>
        <v>0</v>
      </c>
      <c r="AE201" s="101">
        <f t="shared" si="122"/>
        <v>0</v>
      </c>
      <c r="AF201" s="197">
        <f t="shared" si="105"/>
        <v>0</v>
      </c>
      <c r="AG201" s="197">
        <f t="shared" si="106"/>
        <v>0</v>
      </c>
      <c r="AH201" s="197">
        <f t="shared" si="107"/>
        <v>0</v>
      </c>
      <c r="AI201" s="202">
        <f t="shared" si="108"/>
        <v>0</v>
      </c>
      <c r="AK201" s="71">
        <v>196</v>
      </c>
      <c r="AL201" s="33">
        <f t="shared" si="123"/>
        <v>0</v>
      </c>
      <c r="AM201" s="33">
        <f t="shared" si="124"/>
        <v>0</v>
      </c>
      <c r="AN201" s="33">
        <f t="shared" si="125"/>
        <v>0</v>
      </c>
      <c r="AO201" s="33">
        <f t="shared" si="126"/>
        <v>0</v>
      </c>
      <c r="AP201" s="33">
        <f t="shared" si="127"/>
        <v>0</v>
      </c>
      <c r="AQ201" s="197">
        <f t="shared" si="109"/>
        <v>0</v>
      </c>
      <c r="AR201" s="197">
        <f t="shared" si="110"/>
        <v>0</v>
      </c>
      <c r="AS201" s="197">
        <f t="shared" si="111"/>
        <v>0</v>
      </c>
      <c r="AT201" s="197">
        <f t="shared" si="112"/>
        <v>0</v>
      </c>
      <c r="AU201" s="33"/>
      <c r="AV201" s="33"/>
      <c r="AW201" s="33"/>
      <c r="AX201" s="33"/>
      <c r="AY201" s="76"/>
    </row>
    <row r="202" spans="3:51">
      <c r="E202" s="24"/>
      <c r="I202" s="55">
        <v>197</v>
      </c>
      <c r="J202" s="33">
        <f t="shared" si="130"/>
        <v>0</v>
      </c>
      <c r="K202" s="33">
        <f t="shared" si="131"/>
        <v>0</v>
      </c>
      <c r="L202" s="33">
        <f t="shared" si="132"/>
        <v>0</v>
      </c>
      <c r="M202" s="33">
        <f t="shared" si="133"/>
        <v>0</v>
      </c>
      <c r="N202" s="33">
        <f t="shared" si="113"/>
        <v>0</v>
      </c>
      <c r="O202" s="34">
        <f t="shared" si="114"/>
        <v>0</v>
      </c>
      <c r="P202" s="55">
        <v>197</v>
      </c>
      <c r="Q202" s="33">
        <f t="shared" si="128"/>
        <v>0</v>
      </c>
      <c r="R202" s="33">
        <f t="shared" si="134"/>
        <v>0</v>
      </c>
      <c r="S202" s="33">
        <f t="shared" si="135"/>
        <v>0</v>
      </c>
      <c r="T202" s="33">
        <f t="shared" si="115"/>
        <v>0</v>
      </c>
      <c r="U202" s="33">
        <f t="shared" si="129"/>
        <v>0</v>
      </c>
      <c r="V202" s="33">
        <f t="shared" si="116"/>
        <v>0</v>
      </c>
      <c r="W202" s="33">
        <v>0</v>
      </c>
      <c r="X202" s="33">
        <f t="shared" si="117"/>
        <v>0</v>
      </c>
      <c r="Y202" s="38">
        <f t="shared" si="118"/>
        <v>0</v>
      </c>
      <c r="AA202" s="71">
        <v>197</v>
      </c>
      <c r="AB202" s="33">
        <f t="shared" si="119"/>
        <v>0</v>
      </c>
      <c r="AC202" s="308">
        <f t="shared" si="120"/>
        <v>0</v>
      </c>
      <c r="AD202" s="101">
        <f t="shared" si="121"/>
        <v>0</v>
      </c>
      <c r="AE202" s="101">
        <f t="shared" si="122"/>
        <v>0</v>
      </c>
      <c r="AF202" s="197">
        <f t="shared" si="105"/>
        <v>0</v>
      </c>
      <c r="AG202" s="197">
        <f t="shared" si="106"/>
        <v>0</v>
      </c>
      <c r="AH202" s="197">
        <f t="shared" si="107"/>
        <v>0</v>
      </c>
      <c r="AI202" s="202">
        <f t="shared" si="108"/>
        <v>0</v>
      </c>
      <c r="AK202" s="71">
        <v>197</v>
      </c>
      <c r="AL202" s="33">
        <f t="shared" si="123"/>
        <v>0</v>
      </c>
      <c r="AM202" s="33">
        <f t="shared" si="124"/>
        <v>0</v>
      </c>
      <c r="AN202" s="33">
        <f t="shared" si="125"/>
        <v>0</v>
      </c>
      <c r="AO202" s="33">
        <f t="shared" si="126"/>
        <v>0</v>
      </c>
      <c r="AP202" s="33">
        <f t="shared" si="127"/>
        <v>0</v>
      </c>
      <c r="AQ202" s="197">
        <f t="shared" si="109"/>
        <v>0</v>
      </c>
      <c r="AR202" s="197">
        <f t="shared" si="110"/>
        <v>0</v>
      </c>
      <c r="AS202" s="197">
        <f t="shared" si="111"/>
        <v>0</v>
      </c>
      <c r="AT202" s="197">
        <f t="shared" si="112"/>
        <v>0</v>
      </c>
      <c r="AU202" s="33"/>
      <c r="AV202" s="33"/>
      <c r="AW202" s="33"/>
      <c r="AX202" s="33"/>
      <c r="AY202" s="76"/>
    </row>
    <row r="203" spans="3:51">
      <c r="E203" s="24"/>
      <c r="I203" s="55">
        <v>198</v>
      </c>
      <c r="J203" s="33">
        <f t="shared" si="130"/>
        <v>0</v>
      </c>
      <c r="K203" s="33">
        <f t="shared" si="131"/>
        <v>0</v>
      </c>
      <c r="L203" s="33">
        <f t="shared" si="132"/>
        <v>0</v>
      </c>
      <c r="M203" s="33">
        <f t="shared" si="133"/>
        <v>0</v>
      </c>
      <c r="N203" s="33">
        <f t="shared" si="113"/>
        <v>0</v>
      </c>
      <c r="O203" s="34">
        <f t="shared" si="114"/>
        <v>0</v>
      </c>
      <c r="P203" s="55">
        <v>198</v>
      </c>
      <c r="Q203" s="33">
        <f t="shared" si="128"/>
        <v>0</v>
      </c>
      <c r="R203" s="33">
        <f t="shared" si="134"/>
        <v>0</v>
      </c>
      <c r="S203" s="33">
        <f t="shared" si="135"/>
        <v>0</v>
      </c>
      <c r="T203" s="33">
        <f t="shared" si="115"/>
        <v>0</v>
      </c>
      <c r="U203" s="33">
        <f t="shared" si="129"/>
        <v>0</v>
      </c>
      <c r="V203" s="33">
        <f t="shared" si="116"/>
        <v>0</v>
      </c>
      <c r="W203" s="33">
        <v>0</v>
      </c>
      <c r="X203" s="33">
        <f t="shared" si="117"/>
        <v>0</v>
      </c>
      <c r="Y203" s="38">
        <f t="shared" si="118"/>
        <v>0</v>
      </c>
      <c r="AA203" s="71">
        <v>198</v>
      </c>
      <c r="AB203" s="33">
        <f t="shared" si="119"/>
        <v>0</v>
      </c>
      <c r="AC203" s="308">
        <f t="shared" si="120"/>
        <v>0</v>
      </c>
      <c r="AD203" s="101">
        <f t="shared" si="121"/>
        <v>0</v>
      </c>
      <c r="AE203" s="101">
        <f t="shared" si="122"/>
        <v>0</v>
      </c>
      <c r="AF203" s="197">
        <f t="shared" si="105"/>
        <v>0</v>
      </c>
      <c r="AG203" s="197">
        <f t="shared" si="106"/>
        <v>0</v>
      </c>
      <c r="AH203" s="197">
        <f t="shared" si="107"/>
        <v>0</v>
      </c>
      <c r="AI203" s="202">
        <f t="shared" si="108"/>
        <v>0</v>
      </c>
      <c r="AK203" s="71">
        <v>198</v>
      </c>
      <c r="AL203" s="33">
        <f t="shared" si="123"/>
        <v>0</v>
      </c>
      <c r="AM203" s="33">
        <f t="shared" si="124"/>
        <v>0</v>
      </c>
      <c r="AN203" s="33">
        <f t="shared" si="125"/>
        <v>0</v>
      </c>
      <c r="AO203" s="33">
        <f t="shared" si="126"/>
        <v>0</v>
      </c>
      <c r="AP203" s="33">
        <f t="shared" si="127"/>
        <v>0</v>
      </c>
      <c r="AQ203" s="197">
        <f t="shared" si="109"/>
        <v>0</v>
      </c>
      <c r="AR203" s="197">
        <f t="shared" si="110"/>
        <v>0</v>
      </c>
      <c r="AS203" s="197">
        <f t="shared" si="111"/>
        <v>0</v>
      </c>
      <c r="AT203" s="197">
        <f t="shared" si="112"/>
        <v>0</v>
      </c>
      <c r="AU203" s="33"/>
      <c r="AV203" s="33"/>
      <c r="AW203" s="33"/>
      <c r="AX203" s="33"/>
      <c r="AY203" s="76"/>
    </row>
    <row r="204" spans="3:51">
      <c r="E204" s="24"/>
      <c r="I204" s="55">
        <v>199</v>
      </c>
      <c r="J204" s="33">
        <f t="shared" si="130"/>
        <v>0</v>
      </c>
      <c r="K204" s="33">
        <f t="shared" si="131"/>
        <v>0</v>
      </c>
      <c r="L204" s="33">
        <f t="shared" si="132"/>
        <v>0</v>
      </c>
      <c r="M204" s="33">
        <f t="shared" si="133"/>
        <v>0</v>
      </c>
      <c r="N204" s="33">
        <f t="shared" si="113"/>
        <v>0</v>
      </c>
      <c r="O204" s="34">
        <f t="shared" si="114"/>
        <v>0</v>
      </c>
      <c r="P204" s="55">
        <v>199</v>
      </c>
      <c r="Q204" s="33">
        <f t="shared" si="128"/>
        <v>0</v>
      </c>
      <c r="R204" s="33">
        <f t="shared" si="134"/>
        <v>0</v>
      </c>
      <c r="S204" s="33">
        <f t="shared" si="135"/>
        <v>0</v>
      </c>
      <c r="T204" s="33">
        <f t="shared" si="115"/>
        <v>0</v>
      </c>
      <c r="U204" s="33">
        <f t="shared" si="129"/>
        <v>0</v>
      </c>
      <c r="V204" s="33">
        <f t="shared" si="116"/>
        <v>0</v>
      </c>
      <c r="W204" s="33">
        <v>0</v>
      </c>
      <c r="X204" s="33">
        <f t="shared" si="117"/>
        <v>0</v>
      </c>
      <c r="Y204" s="38">
        <f t="shared" si="118"/>
        <v>0</v>
      </c>
      <c r="AA204" s="71">
        <v>199</v>
      </c>
      <c r="AB204" s="33">
        <f t="shared" si="119"/>
        <v>0</v>
      </c>
      <c r="AC204" s="308">
        <f t="shared" si="120"/>
        <v>0</v>
      </c>
      <c r="AD204" s="101">
        <f t="shared" si="121"/>
        <v>0</v>
      </c>
      <c r="AE204" s="101">
        <f t="shared" si="122"/>
        <v>0</v>
      </c>
      <c r="AF204" s="197">
        <f t="shared" si="105"/>
        <v>0</v>
      </c>
      <c r="AG204" s="197">
        <f t="shared" si="106"/>
        <v>0</v>
      </c>
      <c r="AH204" s="197">
        <f t="shared" si="107"/>
        <v>0</v>
      </c>
      <c r="AI204" s="202">
        <f t="shared" si="108"/>
        <v>0</v>
      </c>
      <c r="AK204" s="71">
        <v>199</v>
      </c>
      <c r="AL204" s="33">
        <f t="shared" si="123"/>
        <v>0</v>
      </c>
      <c r="AM204" s="33">
        <f t="shared" si="124"/>
        <v>0</v>
      </c>
      <c r="AN204" s="33">
        <f t="shared" si="125"/>
        <v>0</v>
      </c>
      <c r="AO204" s="33">
        <f t="shared" si="126"/>
        <v>0</v>
      </c>
      <c r="AP204" s="33">
        <f t="shared" si="127"/>
        <v>0</v>
      </c>
      <c r="AQ204" s="197">
        <f t="shared" si="109"/>
        <v>0</v>
      </c>
      <c r="AR204" s="197">
        <f t="shared" si="110"/>
        <v>0</v>
      </c>
      <c r="AS204" s="197">
        <f t="shared" si="111"/>
        <v>0</v>
      </c>
      <c r="AT204" s="197">
        <f t="shared" si="112"/>
        <v>0</v>
      </c>
      <c r="AU204" s="33"/>
      <c r="AV204" s="33"/>
      <c r="AW204" s="33"/>
      <c r="AX204" s="33"/>
      <c r="AY204" s="76"/>
    </row>
    <row r="205" spans="3:51">
      <c r="E205" s="24"/>
      <c r="I205" s="56">
        <v>200</v>
      </c>
      <c r="J205" s="33">
        <f t="shared" si="130"/>
        <v>0</v>
      </c>
      <c r="K205" s="33">
        <f t="shared" si="131"/>
        <v>0</v>
      </c>
      <c r="L205" s="33">
        <f t="shared" si="132"/>
        <v>0</v>
      </c>
      <c r="M205" s="33">
        <f t="shared" si="133"/>
        <v>0</v>
      </c>
      <c r="N205" s="35">
        <f>IF(F208&lt;=$F$18,0,)</f>
        <v>0</v>
      </c>
      <c r="O205" s="34">
        <f t="shared" si="114"/>
        <v>0</v>
      </c>
      <c r="P205" s="56">
        <v>200</v>
      </c>
      <c r="Q205" s="35">
        <f t="shared" si="128"/>
        <v>0</v>
      </c>
      <c r="R205" s="35">
        <f t="shared" si="134"/>
        <v>0</v>
      </c>
      <c r="S205" s="35">
        <f t="shared" si="135"/>
        <v>0</v>
      </c>
      <c r="T205" s="35">
        <f t="shared" si="115"/>
        <v>0</v>
      </c>
      <c r="U205" s="35">
        <f t="shared" si="129"/>
        <v>0</v>
      </c>
      <c r="V205" s="35">
        <f t="shared" si="116"/>
        <v>0</v>
      </c>
      <c r="W205" s="35">
        <v>0</v>
      </c>
      <c r="X205" s="158">
        <f t="shared" si="117"/>
        <v>0</v>
      </c>
      <c r="Y205" s="39">
        <f t="shared" si="118"/>
        <v>0</v>
      </c>
      <c r="AA205" s="72">
        <v>200</v>
      </c>
      <c r="AB205" s="146">
        <f t="shared" si="119"/>
        <v>0</v>
      </c>
      <c r="AC205" s="308">
        <f t="shared" si="120"/>
        <v>0</v>
      </c>
      <c r="AD205" s="102">
        <f t="shared" si="121"/>
        <v>0</v>
      </c>
      <c r="AE205" s="102">
        <f t="shared" si="122"/>
        <v>0</v>
      </c>
      <c r="AF205" s="199">
        <f t="shared" si="105"/>
        <v>0</v>
      </c>
      <c r="AG205" s="199">
        <f t="shared" si="106"/>
        <v>0</v>
      </c>
      <c r="AH205" s="199">
        <f t="shared" si="107"/>
        <v>0</v>
      </c>
      <c r="AI205" s="206">
        <f t="shared" si="108"/>
        <v>0</v>
      </c>
      <c r="AK205" s="72">
        <v>200</v>
      </c>
      <c r="AL205" s="146">
        <f t="shared" si="123"/>
        <v>0</v>
      </c>
      <c r="AM205" s="35">
        <f t="shared" si="124"/>
        <v>0</v>
      </c>
      <c r="AN205" s="35">
        <f t="shared" si="125"/>
        <v>0</v>
      </c>
      <c r="AO205" s="35">
        <f t="shared" si="126"/>
        <v>0</v>
      </c>
      <c r="AP205" s="35">
        <f t="shared" si="127"/>
        <v>0</v>
      </c>
      <c r="AQ205" s="199">
        <f t="shared" si="109"/>
        <v>0</v>
      </c>
      <c r="AR205" s="199">
        <f t="shared" si="110"/>
        <v>0</v>
      </c>
      <c r="AS205" s="199">
        <f t="shared" si="111"/>
        <v>0</v>
      </c>
      <c r="AT205" s="199">
        <f t="shared" si="112"/>
        <v>0</v>
      </c>
      <c r="AU205" s="35"/>
      <c r="AV205" s="35"/>
      <c r="AW205" s="35"/>
      <c r="AX205" s="35"/>
      <c r="AY205" s="77"/>
    </row>
    <row r="206" spans="3:51">
      <c r="E206" s="24"/>
    </row>
    <row r="207" spans="3:51">
      <c r="E207" s="24"/>
    </row>
  </sheetData>
  <mergeCells count="29">
    <mergeCell ref="AA3:AI3"/>
    <mergeCell ref="B14:B21"/>
    <mergeCell ref="C17:C21"/>
    <mergeCell ref="AK3:AY3"/>
    <mergeCell ref="B7:B13"/>
    <mergeCell ref="B4:F4"/>
    <mergeCell ref="D19:E19"/>
    <mergeCell ref="D20:E20"/>
    <mergeCell ref="D21:E21"/>
    <mergeCell ref="D8:E8"/>
    <mergeCell ref="D5:E5"/>
    <mergeCell ref="C7:F7"/>
    <mergeCell ref="D6:E6"/>
    <mergeCell ref="D9:E9"/>
    <mergeCell ref="I3:O3"/>
    <mergeCell ref="P3:X3"/>
    <mergeCell ref="B23:G23"/>
    <mergeCell ref="B80:G80"/>
    <mergeCell ref="C14:F14"/>
    <mergeCell ref="D18:E18"/>
    <mergeCell ref="B5:B6"/>
    <mergeCell ref="D10:E10"/>
    <mergeCell ref="D11:E11"/>
    <mergeCell ref="D12:E12"/>
    <mergeCell ref="D13:E13"/>
    <mergeCell ref="C10:C13"/>
    <mergeCell ref="D15:E15"/>
    <mergeCell ref="D16:E16"/>
    <mergeCell ref="D17:E17"/>
  </mergeCells>
  <dataValidations count="4">
    <dataValidation type="list" allowBlank="1" showInputMessage="1" showErrorMessage="1" sqref="D81:G81" xr:uid="{00000000-0002-0000-0200-000000000000}">
      <formula1>$B$104:$B$108</formula1>
    </dataValidation>
    <dataValidation type="list" allowBlank="1" showInputMessage="1" showErrorMessage="1" sqref="F12" xr:uid="{00000000-0002-0000-0200-000001000000}">
      <formula1>$C$194:$C$195</formula1>
    </dataValidation>
    <dataValidation type="list" allowBlank="1" showInputMessage="1" showErrorMessage="1" sqref="F17" xr:uid="{00000000-0002-0000-0200-000002000000}">
      <formula1>$C$130:$C$195</formula1>
    </dataValidation>
    <dataValidation type="list" allowBlank="1" showInputMessage="1" showErrorMessage="1" sqref="D8:E8 D15 D5:E5" xr:uid="{00000000-0002-0000-0200-000003000000}">
      <formula1>$B$98:$B$101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</sheetPr>
  <dimension ref="B3:AY207"/>
  <sheetViews>
    <sheetView topLeftCell="A13" zoomScale="85" zoomScaleNormal="85" workbookViewId="0">
      <selection activeCell="F22" sqref="F22"/>
    </sheetView>
  </sheetViews>
  <sheetFormatPr baseColWidth="10" defaultRowHeight="15"/>
  <cols>
    <col min="3" max="5" width="13.6640625" customWidth="1"/>
    <col min="6" max="6" width="16.5" style="26" customWidth="1"/>
    <col min="7" max="7" width="14.5" style="24" customWidth="1"/>
    <col min="8" max="8" width="11.5" style="24"/>
    <col min="9" max="9" width="10.5" style="24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4" customWidth="1"/>
    <col min="47" max="51" width="10.5" customWidth="1"/>
    <col min="54" max="54" width="19.33203125" customWidth="1"/>
  </cols>
  <sheetData>
    <row r="3" spans="2:51" ht="16">
      <c r="I3" s="381" t="s">
        <v>172</v>
      </c>
      <c r="J3" s="382"/>
      <c r="K3" s="382"/>
      <c r="L3" s="382"/>
      <c r="M3" s="382"/>
      <c r="N3" s="382"/>
      <c r="O3" s="383"/>
      <c r="P3" s="384" t="s">
        <v>144</v>
      </c>
      <c r="Q3" s="385"/>
      <c r="R3" s="385"/>
      <c r="S3" s="385"/>
      <c r="T3" s="385"/>
      <c r="U3" s="385"/>
      <c r="V3" s="385"/>
      <c r="W3" s="385"/>
      <c r="X3" s="386"/>
      <c r="Y3" s="90"/>
      <c r="Z3" s="90"/>
      <c r="AA3" s="372" t="s">
        <v>159</v>
      </c>
      <c r="AB3" s="373"/>
      <c r="AC3" s="373"/>
      <c r="AD3" s="373"/>
      <c r="AE3" s="373"/>
      <c r="AF3" s="373"/>
      <c r="AG3" s="373"/>
      <c r="AH3" s="373"/>
      <c r="AI3" s="374"/>
      <c r="AJ3" s="90"/>
      <c r="AK3" s="372" t="s">
        <v>171</v>
      </c>
      <c r="AL3" s="373"/>
      <c r="AM3" s="373"/>
      <c r="AN3" s="373"/>
      <c r="AO3" s="373"/>
      <c r="AP3" s="373"/>
      <c r="AQ3" s="373"/>
      <c r="AR3" s="373"/>
      <c r="AS3" s="373"/>
      <c r="AT3" s="373"/>
      <c r="AU3" s="373"/>
      <c r="AV3" s="373"/>
      <c r="AW3" s="373"/>
      <c r="AX3" s="373"/>
      <c r="AY3" s="374"/>
    </row>
    <row r="4" spans="2:51" ht="45" customHeight="1">
      <c r="B4" s="376" t="s">
        <v>173</v>
      </c>
      <c r="C4" s="376"/>
      <c r="D4" s="376"/>
      <c r="E4" s="376"/>
      <c r="F4" s="376"/>
      <c r="I4" s="59" t="s">
        <v>76</v>
      </c>
      <c r="J4" s="60" t="s">
        <v>108</v>
      </c>
      <c r="K4" s="60" t="s">
        <v>109</v>
      </c>
      <c r="L4" s="60" t="s">
        <v>72</v>
      </c>
      <c r="M4" s="60" t="s">
        <v>110</v>
      </c>
      <c r="N4" s="60" t="s">
        <v>111</v>
      </c>
      <c r="O4" s="88" t="s">
        <v>113</v>
      </c>
      <c r="P4" s="59" t="s">
        <v>76</v>
      </c>
      <c r="Q4" s="61" t="s">
        <v>118</v>
      </c>
      <c r="R4" s="61" t="s">
        <v>119</v>
      </c>
      <c r="S4" s="62" t="s">
        <v>105</v>
      </c>
      <c r="T4" s="63" t="s">
        <v>104</v>
      </c>
      <c r="U4" s="60" t="s">
        <v>3</v>
      </c>
      <c r="V4" s="60" t="s">
        <v>106</v>
      </c>
      <c r="W4" s="60" t="s">
        <v>107</v>
      </c>
      <c r="X4" s="89" t="s">
        <v>112</v>
      </c>
      <c r="Y4" s="66" t="s">
        <v>120</v>
      </c>
      <c r="AA4" s="70" t="s">
        <v>76</v>
      </c>
      <c r="AB4" s="61" t="s">
        <v>146</v>
      </c>
      <c r="AC4" s="62" t="s">
        <v>147</v>
      </c>
      <c r="AD4" s="68" t="s">
        <v>148</v>
      </c>
      <c r="AE4" s="64" t="s">
        <v>149</v>
      </c>
      <c r="AF4" s="64" t="s">
        <v>150</v>
      </c>
      <c r="AG4" s="64" t="s">
        <v>151</v>
      </c>
      <c r="AH4" s="64" t="s">
        <v>152</v>
      </c>
      <c r="AI4" s="75" t="s">
        <v>153</v>
      </c>
      <c r="AK4" s="70" t="s">
        <v>76</v>
      </c>
      <c r="AL4" s="61" t="s">
        <v>146</v>
      </c>
      <c r="AM4" s="62" t="s">
        <v>147</v>
      </c>
      <c r="AN4" s="68" t="s">
        <v>148</v>
      </c>
      <c r="AO4" s="64" t="s">
        <v>149</v>
      </c>
      <c r="AP4" s="64" t="s">
        <v>161</v>
      </c>
      <c r="AQ4" s="196" t="s">
        <v>187</v>
      </c>
      <c r="AR4" s="196" t="s">
        <v>188</v>
      </c>
      <c r="AS4" s="196" t="s">
        <v>189</v>
      </c>
      <c r="AT4" s="196" t="s">
        <v>190</v>
      </c>
      <c r="AU4" s="64" t="s">
        <v>162</v>
      </c>
      <c r="AV4" s="64" t="s">
        <v>163</v>
      </c>
      <c r="AW4" s="64" t="s">
        <v>164</v>
      </c>
      <c r="AX4" s="64" t="s">
        <v>165</v>
      </c>
      <c r="AY4" s="75" t="s">
        <v>153</v>
      </c>
    </row>
    <row r="5" spans="2:51">
      <c r="B5" s="365" t="s">
        <v>133</v>
      </c>
      <c r="C5" s="91" t="s">
        <v>73</v>
      </c>
      <c r="D5" s="377" t="s">
        <v>2</v>
      </c>
      <c r="E5" s="377"/>
      <c r="F5" s="92">
        <f>IF(D5="","",VLOOKUP(D5,$B$97:$C$100,2,0))</f>
        <v>70</v>
      </c>
      <c r="I5" s="55">
        <v>0</v>
      </c>
      <c r="J5" s="33">
        <v>0</v>
      </c>
      <c r="K5" s="33">
        <v>0</v>
      </c>
      <c r="L5" s="33">
        <v>0</v>
      </c>
      <c r="M5" s="33">
        <f>IF(I5&lt;=$F$10,IF(I5&lt;=30,I5*($F$9-$F$6)/30,$F$9-$F$6),)</f>
        <v>0</v>
      </c>
      <c r="N5" s="33">
        <f t="shared" ref="N5:N68" si="0">IF(P6&lt;=$F$18,0,)</f>
        <v>0</v>
      </c>
      <c r="O5" s="34">
        <f t="shared" ref="O5:O68" si="1">((J5+K5)*0.475+L5+M5+N5)*44/12</f>
        <v>0</v>
      </c>
      <c r="P5" s="55">
        <v>0</v>
      </c>
      <c r="Q5" s="33">
        <v>0</v>
      </c>
      <c r="R5" s="33">
        <v>0</v>
      </c>
      <c r="S5" s="33">
        <f>$F$19*R5</f>
        <v>0</v>
      </c>
      <c r="T5" s="33">
        <f t="shared" ref="T5:T68" si="2">IF(S5=0,0,EXP(-1.0587+0.8836*LN(S5)+0.284))</f>
        <v>0</v>
      </c>
      <c r="U5" s="33">
        <v>0</v>
      </c>
      <c r="V5" s="33">
        <f t="shared" ref="V5:V68" si="3">IF(P5&lt;=$F$18,IF(P5&lt;=30,P5*($F$16-$F$6)/30,$F$16-$F$6),)</f>
        <v>0</v>
      </c>
      <c r="W5" s="33">
        <v>0</v>
      </c>
      <c r="X5" s="33">
        <f t="shared" ref="X5:X68" si="4">((S5+T5)*0.475+U5+V5+W5)*44/12</f>
        <v>0</v>
      </c>
      <c r="Y5" s="38">
        <f t="shared" ref="Y5:Y68" si="5">IF(P5&lt;=$F$18,X5-O5,)</f>
        <v>0</v>
      </c>
      <c r="AA5" s="71">
        <v>0</v>
      </c>
      <c r="AB5" s="33">
        <f t="shared" ref="AB5:AB68" si="6">IF(AA5&lt;=$F$18,IFERROR(VLOOKUP($AA5,$B$82:$G$94,2,FALSE),0),)</f>
        <v>0</v>
      </c>
      <c r="AC5" s="308">
        <f t="shared" ref="AC5:AC29" si="7">IF(AA5&lt;=$F$18,IFERROR(VLOOKUP($AA5,$B$82:$G$94,3,FALSE),0),)*50%</f>
        <v>0</v>
      </c>
      <c r="AD5" s="101">
        <f t="shared" ref="AD5:AD68" si="8">IF(AA5&lt;=$F$18,IFERROR(VLOOKUP($AA5,$B$82:$G$94,4,FALSE),0),)</f>
        <v>0</v>
      </c>
      <c r="AE5" s="101">
        <f t="shared" ref="AE5:AE68" si="9">IF(AA5&lt;=$F$18,IFERROR(VLOOKUP($AA5,$B$82:$G$94,5,FALSE),0),)</f>
        <v>0</v>
      </c>
      <c r="AF5" s="33">
        <v>0</v>
      </c>
      <c r="AG5" s="33">
        <v>0</v>
      </c>
      <c r="AH5" s="33">
        <v>0</v>
      </c>
      <c r="AI5" s="76">
        <f>SUM(AF5:AH5)</f>
        <v>0</v>
      </c>
      <c r="AK5" s="71">
        <v>0</v>
      </c>
      <c r="AL5" s="33">
        <f t="shared" ref="AL5:AL68" si="10">IF(AK5&lt;=$F$18,IFERROR(VLOOKUP($AA5,$B$82:$G$94,2,FALSE),0),)</f>
        <v>0</v>
      </c>
      <c r="AM5" s="33">
        <f t="shared" ref="AM5:AM68" si="11">IF(AK5&lt;=$F$18,IFERROR(VLOOKUP($AA5,$B$82:$G$94,3,FALSE),0),)</f>
        <v>0</v>
      </c>
      <c r="AN5" s="33">
        <f t="shared" ref="AN5:AN68" si="12">IF(AK5&lt;=$F$18,IFERROR(VLOOKUP($AA5,$B$82:$G$94,4,FALSE),0),)</f>
        <v>0</v>
      </c>
      <c r="AO5" s="33">
        <f t="shared" ref="AO5:AO68" si="13">IF(AK5&lt;=$F$18,IFERROR(VLOOKUP($AA5,$B$82:$G$94,5,FALSE),0),)</f>
        <v>0</v>
      </c>
      <c r="AP5" s="33">
        <f t="shared" ref="AP5:AP68" si="14">IF(AK5&lt;=$F$18,IFERROR(VLOOKUP($AA5,$B$82:$G$94,6,FALSE),0),)</f>
        <v>0</v>
      </c>
      <c r="AQ5" s="197">
        <f t="shared" ref="AQ5:AQ68" si="15">IF($AK5&lt;=$F$18,$AL5*AM5,)</f>
        <v>0</v>
      </c>
      <c r="AR5" s="197">
        <f t="shared" ref="AR5:AR68" si="16">IF($AK5&lt;=$F$18,$AL5*AN5,)</f>
        <v>0</v>
      </c>
      <c r="AS5" s="197">
        <f t="shared" ref="AS5:AS68" si="17">IF($AK5&lt;=$F$18,$AL5*AO5,)</f>
        <v>0</v>
      </c>
      <c r="AT5" s="197">
        <f t="shared" ref="AT5:AT68" si="18">IF($AK5&lt;=$F$18,$AL5*AP5,)</f>
        <v>0</v>
      </c>
      <c r="AU5" s="33"/>
      <c r="AV5" s="33"/>
      <c r="AW5" s="33"/>
      <c r="AX5" s="33"/>
      <c r="AY5" s="167">
        <v>0</v>
      </c>
    </row>
    <row r="6" spans="2:51">
      <c r="B6" s="366"/>
      <c r="C6" s="99" t="s">
        <v>74</v>
      </c>
      <c r="D6" s="368" t="s">
        <v>260</v>
      </c>
      <c r="E6" s="368"/>
      <c r="F6" s="100">
        <f>VLOOKUP(D5,$B$97:$D$100,3,FALSE)</f>
        <v>0</v>
      </c>
      <c r="I6" s="55">
        <v>1</v>
      </c>
      <c r="J6" s="33">
        <f>IF(D8&lt;&gt;"Cultures",IF($I6&lt;=$F$10,$F$11*$F$13+J5,),5)</f>
        <v>0</v>
      </c>
      <c r="K6" s="33">
        <f>IF(J6=0,0,EXP(-1.0587+0.8836*LN(J6)+0.284))</f>
        <v>0</v>
      </c>
      <c r="L6" s="33">
        <f>IF(I6&lt;=$F$10,$F$5+($F$8-$F$5)*(1-EXP(-0.0175*I6)),)</f>
        <v>70</v>
      </c>
      <c r="M6" s="33">
        <f>IF(I6&lt;=$F$10,IF(I6&lt;=30,I6*($F$9-$F$6)/30,$F$9-$F$6),)</f>
        <v>0</v>
      </c>
      <c r="N6" s="33">
        <f t="shared" si="0"/>
        <v>0</v>
      </c>
      <c r="O6" s="34">
        <f t="shared" si="1"/>
        <v>256.66666666666669</v>
      </c>
      <c r="P6" s="55">
        <v>1</v>
      </c>
      <c r="Q6" s="33">
        <f t="shared" ref="Q6:Q69" si="19">IF(P6&lt;=$F$18,LOOKUP(P6-1,$B$25:$B$78,$G$25:$G$78),)</f>
        <v>3.2759999999999998</v>
      </c>
      <c r="R6" s="33">
        <f>IF(P6&lt;=$F$18,Q6+R5,)</f>
        <v>3.2759999999999998</v>
      </c>
      <c r="S6" s="33">
        <f>$F$19*R6</f>
        <v>1.83456</v>
      </c>
      <c r="T6" s="33">
        <f t="shared" si="2"/>
        <v>0.78778710815972919</v>
      </c>
      <c r="U6" s="33">
        <f t="shared" ref="U6:U69" si="20">IF(P6&lt;=$F$18,$F$5+($F$15-$F$5)*(1-EXP(-0.0175*P6)),)</f>
        <v>70</v>
      </c>
      <c r="V6" s="33">
        <f t="shared" si="3"/>
        <v>0.33333333333333331</v>
      </c>
      <c r="W6" s="33">
        <v>0</v>
      </c>
      <c r="X6" s="33">
        <f t="shared" si="4"/>
        <v>262.45614343560038</v>
      </c>
      <c r="Y6" s="38">
        <f t="shared" si="5"/>
        <v>5.7894767689336959</v>
      </c>
      <c r="AA6" s="71">
        <v>1</v>
      </c>
      <c r="AB6" s="33">
        <f t="shared" si="6"/>
        <v>0</v>
      </c>
      <c r="AC6" s="308">
        <f t="shared" si="7"/>
        <v>0</v>
      </c>
      <c r="AD6" s="101">
        <f t="shared" si="8"/>
        <v>0</v>
      </c>
      <c r="AE6" s="101">
        <f t="shared" si="9"/>
        <v>0</v>
      </c>
      <c r="AF6" s="197">
        <f>IF(OR(AA6&lt;=$F$18,AA6&lt;=30),EXP(-LN(2)/$D$104)*AF5+((1-EXP(-LN(2)/$D$104))/(LN(2)/$D$104))*$AB6*AC6*0.475*$F$19*44/12,)</f>
        <v>0</v>
      </c>
      <c r="AG6" s="197">
        <f>IF(OR(AA6&lt;=$F$18,AA6&lt;=30),EXP(-LN(2)/$D$106)*AG5+((1-EXP(-LN(2)/$D$106))/(LN(2)/$D$106))*$AB6*AD6*0.475*$F$19*44/12,)</f>
        <v>0</v>
      </c>
      <c r="AH6" s="197">
        <f>IF(OR(AA6&lt;=$F$18,AA6&lt;=30),EXP(-LN(2)/$D$105)*AH5+((1-EXP(-LN(2)/$D$105))/(LN(2)/$D$105))*$AB6*AE6*0.475*$F$19*44/12,)</f>
        <v>0</v>
      </c>
      <c r="AI6" s="202">
        <f>IF(OR(AA6&lt;=$F$18,AA6&lt;=30),SUM(AF6:AH6),)</f>
        <v>0</v>
      </c>
      <c r="AK6" s="71">
        <v>1</v>
      </c>
      <c r="AL6" s="33">
        <f t="shared" si="10"/>
        <v>0</v>
      </c>
      <c r="AM6" s="33">
        <f t="shared" si="11"/>
        <v>0</v>
      </c>
      <c r="AN6" s="33">
        <f t="shared" si="12"/>
        <v>0</v>
      </c>
      <c r="AO6" s="33">
        <f t="shared" si="13"/>
        <v>0</v>
      </c>
      <c r="AP6" s="33">
        <f t="shared" si="14"/>
        <v>0</v>
      </c>
      <c r="AQ6" s="197">
        <f t="shared" si="15"/>
        <v>0</v>
      </c>
      <c r="AR6" s="197">
        <f t="shared" si="16"/>
        <v>0</v>
      </c>
      <c r="AS6" s="197">
        <f t="shared" si="17"/>
        <v>0</v>
      </c>
      <c r="AT6" s="197">
        <f t="shared" si="18"/>
        <v>0</v>
      </c>
      <c r="AU6" s="33"/>
      <c r="AV6" s="33"/>
      <c r="AW6" s="33"/>
      <c r="AX6" s="33"/>
      <c r="AY6" s="167">
        <f>IF(OR($AK6&lt;=$F$18,$AK6&lt;=30),AL6*$G$108+AY5,)</f>
        <v>0</v>
      </c>
    </row>
    <row r="7" spans="2:51">
      <c r="B7" s="365" t="s">
        <v>134</v>
      </c>
      <c r="C7" s="378"/>
      <c r="D7" s="379"/>
      <c r="E7" s="379"/>
      <c r="F7" s="380"/>
      <c r="I7" s="55">
        <v>2</v>
      </c>
      <c r="J7" s="33">
        <f t="shared" ref="J7:J70" si="21">IF($I7&lt;=$F$10,$F$11*$F$13+J6,)</f>
        <v>0</v>
      </c>
      <c r="K7" s="33">
        <f t="shared" ref="K7:K70" si="22">IF(J7=0,0,EXP(-1.0587+0.8836*LN(J7)+0.284))</f>
        <v>0</v>
      </c>
      <c r="L7" s="33">
        <f t="shared" ref="L7:L70" si="23">IF(I7&lt;=$F$10,$F$5+($F$8-$F$5)*(1-EXP(-0.0175*I7)),)</f>
        <v>70</v>
      </c>
      <c r="M7" s="33">
        <f t="shared" ref="M7:M70" si="24">IF(I7&lt;=$F$10,IF(I7&lt;=30,I7*($F$9-$F$6)/30,$F$9-$F$6),)</f>
        <v>0</v>
      </c>
      <c r="N7" s="33">
        <f t="shared" si="0"/>
        <v>0</v>
      </c>
      <c r="O7" s="34">
        <f t="shared" si="1"/>
        <v>256.66666666666669</v>
      </c>
      <c r="P7" s="55">
        <v>2</v>
      </c>
      <c r="Q7" s="33">
        <f t="shared" si="19"/>
        <v>3.2759999999999998</v>
      </c>
      <c r="R7" s="33">
        <f t="shared" ref="R7:R70" si="25">IF(P7&lt;=$F$18,Q7+R6,)</f>
        <v>6.5519999999999996</v>
      </c>
      <c r="S7" s="33">
        <f t="shared" ref="S7:S70" si="26">$F$19*R7</f>
        <v>3.6691199999999999</v>
      </c>
      <c r="T7" s="33">
        <f t="shared" si="2"/>
        <v>1.4534462429913282</v>
      </c>
      <c r="U7" s="33">
        <f t="shared" si="20"/>
        <v>70</v>
      </c>
      <c r="V7" s="33">
        <f t="shared" si="3"/>
        <v>0.66666666666666663</v>
      </c>
      <c r="W7" s="33">
        <v>0</v>
      </c>
      <c r="X7" s="33">
        <f t="shared" si="4"/>
        <v>268.032913984321</v>
      </c>
      <c r="Y7" s="38">
        <f t="shared" si="5"/>
        <v>11.366247317654313</v>
      </c>
      <c r="AA7" s="71">
        <v>2</v>
      </c>
      <c r="AB7" s="33">
        <f t="shared" si="6"/>
        <v>0</v>
      </c>
      <c r="AC7" s="308">
        <f t="shared" si="7"/>
        <v>0</v>
      </c>
      <c r="AD7" s="101">
        <f t="shared" si="8"/>
        <v>0</v>
      </c>
      <c r="AE7" s="101">
        <f t="shared" si="9"/>
        <v>0</v>
      </c>
      <c r="AF7" s="197">
        <f>IF(OR(AA7&lt;=$F$18,AA7&lt;=30),EXP(-LN(2)/$D$104)*AF6+((1-EXP(-LN(2)/$D$104))/(LN(2)/$D$104))*$AB7*AC7*0.475*$F$19*44/12,)</f>
        <v>0</v>
      </c>
      <c r="AG7" s="197">
        <f>IF(OR(AA7&lt;=$F$18,AA7&lt;=30),EXP(-LN(2)/$D$106)*AG6+((1-EXP(-LN(2)/$D$106))/(LN(2)/$D$106))*$AB7*AD7*0.475*$F$19*44/12,)</f>
        <v>0</v>
      </c>
      <c r="AH7" s="197">
        <f>IF(OR(AA7&lt;=$F$18,AA7&lt;=30),EXP(-LN(2)/$D$105)*AH6+((1-EXP(-LN(2)/$D$105))/(LN(2)/$D$105))*$AB7*AE7*0.475*$F$19*44/12,)</f>
        <v>0</v>
      </c>
      <c r="AI7" s="202">
        <f>IF(OR(AA7&lt;=$F$18,AA7&lt;=30),SUM(AF7:AH7),)</f>
        <v>0</v>
      </c>
      <c r="AK7" s="71">
        <v>2</v>
      </c>
      <c r="AL7" s="33">
        <f t="shared" si="10"/>
        <v>0</v>
      </c>
      <c r="AM7" s="33">
        <f t="shared" si="11"/>
        <v>0</v>
      </c>
      <c r="AN7" s="33">
        <f t="shared" si="12"/>
        <v>0</v>
      </c>
      <c r="AO7" s="33">
        <f t="shared" si="13"/>
        <v>0</v>
      </c>
      <c r="AP7" s="33">
        <f t="shared" si="14"/>
        <v>0</v>
      </c>
      <c r="AQ7" s="197">
        <f t="shared" si="15"/>
        <v>0</v>
      </c>
      <c r="AR7" s="197">
        <f t="shared" si="16"/>
        <v>0</v>
      </c>
      <c r="AS7" s="197">
        <f t="shared" si="17"/>
        <v>0</v>
      </c>
      <c r="AT7" s="197">
        <f t="shared" si="18"/>
        <v>0</v>
      </c>
      <c r="AU7" s="33"/>
      <c r="AV7" s="33"/>
      <c r="AW7" s="33"/>
      <c r="AX7" s="33"/>
      <c r="AY7" s="167">
        <f t="shared" ref="AY7:AY35" si="27">IF(OR($AK7&lt;=$F$18,$AK7&lt;=30),AL7*$G$108+AY6,)</f>
        <v>0</v>
      </c>
    </row>
    <row r="8" spans="2:51">
      <c r="B8" s="375"/>
      <c r="C8" s="93" t="s">
        <v>73</v>
      </c>
      <c r="D8" s="371" t="s">
        <v>2</v>
      </c>
      <c r="E8" s="371"/>
      <c r="F8" s="94">
        <f>IF(D8="","",VLOOKUP(D8,$B$97:$C$100,2,0))</f>
        <v>70</v>
      </c>
      <c r="I8" s="55">
        <v>3</v>
      </c>
      <c r="J8" s="33">
        <f t="shared" si="21"/>
        <v>0</v>
      </c>
      <c r="K8" s="33">
        <f t="shared" si="22"/>
        <v>0</v>
      </c>
      <c r="L8" s="33">
        <f t="shared" si="23"/>
        <v>70</v>
      </c>
      <c r="M8" s="33">
        <f t="shared" si="24"/>
        <v>0</v>
      </c>
      <c r="N8" s="33">
        <f t="shared" si="0"/>
        <v>0</v>
      </c>
      <c r="O8" s="34">
        <f t="shared" si="1"/>
        <v>256.66666666666669</v>
      </c>
      <c r="P8" s="55">
        <v>3</v>
      </c>
      <c r="Q8" s="33">
        <f t="shared" si="19"/>
        <v>3.2759999999999998</v>
      </c>
      <c r="R8" s="33">
        <f t="shared" si="25"/>
        <v>9.8279999999999994</v>
      </c>
      <c r="S8" s="33">
        <f t="shared" si="26"/>
        <v>5.5036800000000001</v>
      </c>
      <c r="T8" s="33">
        <f t="shared" si="2"/>
        <v>2.0796641728787066</v>
      </c>
      <c r="U8" s="33">
        <f t="shared" si="20"/>
        <v>70</v>
      </c>
      <c r="V8" s="33">
        <f t="shared" si="3"/>
        <v>1</v>
      </c>
      <c r="W8" s="33">
        <v>0</v>
      </c>
      <c r="X8" s="33">
        <f t="shared" si="4"/>
        <v>273.54099110109706</v>
      </c>
      <c r="Y8" s="38">
        <f t="shared" si="5"/>
        <v>16.874324434430378</v>
      </c>
      <c r="AA8" s="71">
        <v>3</v>
      </c>
      <c r="AB8" s="33">
        <f t="shared" si="6"/>
        <v>0</v>
      </c>
      <c r="AC8" s="308">
        <f t="shared" si="7"/>
        <v>0</v>
      </c>
      <c r="AD8" s="101">
        <f t="shared" si="8"/>
        <v>0</v>
      </c>
      <c r="AE8" s="101">
        <f t="shared" si="9"/>
        <v>0</v>
      </c>
      <c r="AF8" s="197">
        <f>IF(OR(AA8&lt;=$F$18,AA8&lt;=30),EXP(-LN(2)/$D$104)*AF7+((1-EXP(-LN(2)/$D$104))/(LN(2)/$D$104))*$AB8*AC8*0.475*$F$19*44/12,)</f>
        <v>0</v>
      </c>
      <c r="AG8" s="197">
        <f>IF(OR(AA8&lt;=$F$18,AA8&lt;=30),EXP(-LN(2)/$D$106)*AG7+((1-EXP(-LN(2)/$D$106))/(LN(2)/$D$106))*$AB8*AD8*0.475*$F$19*44/12,)</f>
        <v>0</v>
      </c>
      <c r="AH8" s="197">
        <f>IF(OR(AA8&lt;=$F$18,AA8&lt;=30),EXP(-LN(2)/$D$105)*AH7+((1-EXP(-LN(2)/$D$105))/(LN(2)/$D$105))*$AB8*AE8*0.475*$F$19*44/12,)</f>
        <v>0</v>
      </c>
      <c r="AI8" s="202">
        <f>IF(OR(AA8&lt;=$F$18,AA8&lt;=30),SUM(AF8:AH8),)</f>
        <v>0</v>
      </c>
      <c r="AK8" s="71">
        <v>3</v>
      </c>
      <c r="AL8" s="33">
        <f t="shared" si="10"/>
        <v>0</v>
      </c>
      <c r="AM8" s="33">
        <f t="shared" si="11"/>
        <v>0</v>
      </c>
      <c r="AN8" s="33">
        <f t="shared" si="12"/>
        <v>0</v>
      </c>
      <c r="AO8" s="33">
        <f t="shared" si="13"/>
        <v>0</v>
      </c>
      <c r="AP8" s="33">
        <f t="shared" si="14"/>
        <v>0</v>
      </c>
      <c r="AQ8" s="197">
        <f t="shared" si="15"/>
        <v>0</v>
      </c>
      <c r="AR8" s="197">
        <f t="shared" si="16"/>
        <v>0</v>
      </c>
      <c r="AS8" s="197">
        <f t="shared" si="17"/>
        <v>0</v>
      </c>
      <c r="AT8" s="197">
        <f t="shared" si="18"/>
        <v>0</v>
      </c>
      <c r="AU8" s="33"/>
      <c r="AV8" s="33"/>
      <c r="AW8" s="33"/>
      <c r="AX8" s="33"/>
      <c r="AY8" s="167">
        <f t="shared" si="27"/>
        <v>0</v>
      </c>
    </row>
    <row r="9" spans="2:51">
      <c r="B9" s="375"/>
      <c r="C9" s="93" t="s">
        <v>74</v>
      </c>
      <c r="D9" s="367" t="str">
        <f>IF(D8=$B$100,"totale","néant")</f>
        <v>néant</v>
      </c>
      <c r="E9" s="367"/>
      <c r="F9" s="94">
        <f>IF(D8=B100,10,VLOOKUP(D8,$B$97:$D$100,3,FALSE))</f>
        <v>0</v>
      </c>
      <c r="I9" s="55">
        <v>4</v>
      </c>
      <c r="J9" s="33">
        <f t="shared" si="21"/>
        <v>0</v>
      </c>
      <c r="K9" s="33">
        <f t="shared" si="22"/>
        <v>0</v>
      </c>
      <c r="L9" s="33">
        <f t="shared" si="23"/>
        <v>70</v>
      </c>
      <c r="M9" s="33">
        <f t="shared" si="24"/>
        <v>0</v>
      </c>
      <c r="N9" s="33">
        <f t="shared" si="0"/>
        <v>0</v>
      </c>
      <c r="O9" s="34">
        <f t="shared" si="1"/>
        <v>256.66666666666669</v>
      </c>
      <c r="P9" s="55">
        <v>4</v>
      </c>
      <c r="Q9" s="33">
        <f t="shared" si="19"/>
        <v>3.2759999999999998</v>
      </c>
      <c r="R9" s="33">
        <f t="shared" si="25"/>
        <v>13.103999999999999</v>
      </c>
      <c r="S9" s="33">
        <f t="shared" si="26"/>
        <v>7.3382399999999999</v>
      </c>
      <c r="T9" s="33">
        <f t="shared" si="2"/>
        <v>2.6815696263428608</v>
      </c>
      <c r="U9" s="33">
        <f t="shared" si="20"/>
        <v>70</v>
      </c>
      <c r="V9" s="33">
        <f t="shared" si="3"/>
        <v>1.3333333333333333</v>
      </c>
      <c r="W9" s="33">
        <v>0</v>
      </c>
      <c r="X9" s="33">
        <f t="shared" si="4"/>
        <v>279.00672398810269</v>
      </c>
      <c r="Y9" s="38">
        <f t="shared" si="5"/>
        <v>22.340057321436007</v>
      </c>
      <c r="AA9" s="71">
        <v>4</v>
      </c>
      <c r="AB9" s="33">
        <f t="shared" si="6"/>
        <v>0</v>
      </c>
      <c r="AC9" s="308">
        <f t="shared" si="7"/>
        <v>0</v>
      </c>
      <c r="AD9" s="101">
        <f t="shared" si="8"/>
        <v>0</v>
      </c>
      <c r="AE9" s="101">
        <f t="shared" si="9"/>
        <v>0</v>
      </c>
      <c r="AF9" s="197">
        <f>IF(OR(AA9&lt;=$F$18,AA9&lt;=30),EXP(-LN(2)/$D$104)*AF8+((1-EXP(-LN(2)/$D$104))/(LN(2)/$D$104))*$AB9*AC9*0.475*$F$19*44/12,)</f>
        <v>0</v>
      </c>
      <c r="AG9" s="197">
        <f>IF(OR(AA9&lt;=$F$18,AA9&lt;=30),EXP(-LN(2)/$D$106)*AG8+((1-EXP(-LN(2)/$D$106))/(LN(2)/$D$106))*$AB9*AD9*0.475*$F$19*44/12,)</f>
        <v>0</v>
      </c>
      <c r="AH9" s="197">
        <f>IF(OR(AA9&lt;=$F$18,AA9&lt;=30),EXP(-LN(2)/$D$105)*AH8+((1-EXP(-LN(2)/$D$105))/(LN(2)/$D$105))*$AB9*AE9*0.475*$F$19*44/12,)</f>
        <v>0</v>
      </c>
      <c r="AI9" s="202">
        <f>IF(OR(AA9&lt;=$F$18,AA9&lt;=30),SUM(AF9:AH9),)</f>
        <v>0</v>
      </c>
      <c r="AK9" s="71">
        <v>4</v>
      </c>
      <c r="AL9" s="33">
        <f t="shared" si="10"/>
        <v>0</v>
      </c>
      <c r="AM9" s="33">
        <f t="shared" si="11"/>
        <v>0</v>
      </c>
      <c r="AN9" s="33">
        <f t="shared" si="12"/>
        <v>0</v>
      </c>
      <c r="AO9" s="33">
        <f t="shared" si="13"/>
        <v>0</v>
      </c>
      <c r="AP9" s="33">
        <f t="shared" si="14"/>
        <v>0</v>
      </c>
      <c r="AQ9" s="197">
        <f t="shared" si="15"/>
        <v>0</v>
      </c>
      <c r="AR9" s="197">
        <f t="shared" si="16"/>
        <v>0</v>
      </c>
      <c r="AS9" s="197">
        <f t="shared" si="17"/>
        <v>0</v>
      </c>
      <c r="AT9" s="197">
        <f t="shared" si="18"/>
        <v>0</v>
      </c>
      <c r="AU9" s="33"/>
      <c r="AV9" s="33"/>
      <c r="AW9" s="33"/>
      <c r="AX9" s="33"/>
      <c r="AY9" s="167">
        <f t="shared" si="27"/>
        <v>0</v>
      </c>
    </row>
    <row r="10" spans="2:51">
      <c r="B10" s="375"/>
      <c r="C10" s="369" t="s">
        <v>124</v>
      </c>
      <c r="D10" s="364" t="s">
        <v>136</v>
      </c>
      <c r="E10" s="364"/>
      <c r="F10" s="95">
        <f>F18</f>
        <v>100</v>
      </c>
      <c r="I10" s="55">
        <v>5</v>
      </c>
      <c r="J10" s="33">
        <f t="shared" si="21"/>
        <v>0</v>
      </c>
      <c r="K10" s="33">
        <f t="shared" si="22"/>
        <v>0</v>
      </c>
      <c r="L10" s="33">
        <f t="shared" si="23"/>
        <v>70</v>
      </c>
      <c r="M10" s="33">
        <f t="shared" si="24"/>
        <v>0</v>
      </c>
      <c r="N10" s="33">
        <f t="shared" si="0"/>
        <v>0</v>
      </c>
      <c r="O10" s="34">
        <f t="shared" si="1"/>
        <v>256.66666666666669</v>
      </c>
      <c r="P10" s="55">
        <v>5</v>
      </c>
      <c r="Q10" s="33">
        <f t="shared" si="19"/>
        <v>3.2759999999999998</v>
      </c>
      <c r="R10" s="33">
        <f t="shared" si="25"/>
        <v>16.38</v>
      </c>
      <c r="S10" s="33">
        <f t="shared" si="26"/>
        <v>9.1728000000000005</v>
      </c>
      <c r="T10" s="33">
        <f t="shared" si="2"/>
        <v>3.2660194391020205</v>
      </c>
      <c r="U10" s="33">
        <f t="shared" si="20"/>
        <v>70</v>
      </c>
      <c r="V10" s="33">
        <f t="shared" si="3"/>
        <v>1.6666666666666667</v>
      </c>
      <c r="W10" s="33">
        <v>0</v>
      </c>
      <c r="X10" s="33">
        <f t="shared" si="4"/>
        <v>284.44205496754716</v>
      </c>
      <c r="Y10" s="38">
        <f t="shared" si="5"/>
        <v>27.775388300880479</v>
      </c>
      <c r="AA10" s="71">
        <v>5</v>
      </c>
      <c r="AB10" s="33">
        <f t="shared" si="6"/>
        <v>0</v>
      </c>
      <c r="AC10" s="308">
        <f t="shared" si="7"/>
        <v>0</v>
      </c>
      <c r="AD10" s="101">
        <f t="shared" si="8"/>
        <v>0</v>
      </c>
      <c r="AE10" s="101">
        <f t="shared" si="9"/>
        <v>0</v>
      </c>
      <c r="AF10" s="197">
        <f t="shared" ref="AF10:AF24" si="28">IF(OR(AA10&lt;=$F$18,AA10&lt;=30),EXP(-LN(2)/$D$104)*AF9+((1-EXP(-LN(2)/$D$104))/(LN(2)/$D$104))*$AB10*AC10*0.475*$F$19*44/12,)</f>
        <v>0</v>
      </c>
      <c r="AG10" s="197">
        <f t="shared" ref="AG10:AG24" si="29">IF(OR(AA10&lt;=$F$18,AA10&lt;=30),EXP(-LN(2)/$D$106)*AG9+((1-EXP(-LN(2)/$D$106))/(LN(2)/$D$106))*$AB10*AD10*0.475*$F$19*44/12,)</f>
        <v>0</v>
      </c>
      <c r="AH10" s="197">
        <f t="shared" ref="AH10:AH24" si="30">IF(OR(AA10&lt;=$F$18,AA10&lt;=30),EXP(-LN(2)/$D$105)*AH9+((1-EXP(-LN(2)/$D$105))/(LN(2)/$D$105))*$AB10*AE10*0.475*$F$19*44/12,)</f>
        <v>0</v>
      </c>
      <c r="AI10" s="202">
        <f t="shared" ref="AI10:AI24" si="31">IF(OR(AA10&lt;=$F$18,AA10&lt;=30),SUM(AF10:AH10),)</f>
        <v>0</v>
      </c>
      <c r="AK10" s="71">
        <v>5</v>
      </c>
      <c r="AL10" s="33">
        <f t="shared" si="10"/>
        <v>0</v>
      </c>
      <c r="AM10" s="33">
        <f t="shared" si="11"/>
        <v>0</v>
      </c>
      <c r="AN10" s="33">
        <f t="shared" si="12"/>
        <v>0</v>
      </c>
      <c r="AO10" s="33">
        <f t="shared" si="13"/>
        <v>0</v>
      </c>
      <c r="AP10" s="33">
        <f t="shared" si="14"/>
        <v>0</v>
      </c>
      <c r="AQ10" s="197">
        <f t="shared" si="15"/>
        <v>0</v>
      </c>
      <c r="AR10" s="197">
        <f t="shared" si="16"/>
        <v>0</v>
      </c>
      <c r="AS10" s="197">
        <f t="shared" si="17"/>
        <v>0</v>
      </c>
      <c r="AT10" s="197">
        <f t="shared" si="18"/>
        <v>0</v>
      </c>
      <c r="AU10" s="33"/>
      <c r="AV10" s="33"/>
      <c r="AW10" s="33"/>
      <c r="AX10" s="33"/>
      <c r="AY10" s="167">
        <f t="shared" si="27"/>
        <v>0</v>
      </c>
    </row>
    <row r="11" spans="2:51">
      <c r="B11" s="375"/>
      <c r="C11" s="369"/>
      <c r="D11" s="367" t="s">
        <v>139</v>
      </c>
      <c r="E11" s="367"/>
      <c r="F11" s="36">
        <f>IF(D8=$B$100,1,0)</f>
        <v>0</v>
      </c>
      <c r="I11" s="55">
        <v>6</v>
      </c>
      <c r="J11" s="33">
        <f t="shared" si="21"/>
        <v>0</v>
      </c>
      <c r="K11" s="33">
        <f t="shared" si="22"/>
        <v>0</v>
      </c>
      <c r="L11" s="33">
        <f t="shared" si="23"/>
        <v>70</v>
      </c>
      <c r="M11" s="33">
        <f t="shared" si="24"/>
        <v>0</v>
      </c>
      <c r="N11" s="33">
        <f t="shared" si="0"/>
        <v>0</v>
      </c>
      <c r="O11" s="34">
        <f t="shared" si="1"/>
        <v>256.66666666666669</v>
      </c>
      <c r="P11" s="55">
        <v>6</v>
      </c>
      <c r="Q11" s="33">
        <f t="shared" si="19"/>
        <v>3.2759999999999998</v>
      </c>
      <c r="R11" s="33">
        <f t="shared" si="25"/>
        <v>19.655999999999999</v>
      </c>
      <c r="S11" s="33">
        <f t="shared" si="26"/>
        <v>11.00736</v>
      </c>
      <c r="T11" s="33">
        <f t="shared" si="2"/>
        <v>3.8369250365307539</v>
      </c>
      <c r="U11" s="33">
        <f t="shared" si="20"/>
        <v>70</v>
      </c>
      <c r="V11" s="33">
        <f t="shared" si="3"/>
        <v>2</v>
      </c>
      <c r="W11" s="33">
        <v>0</v>
      </c>
      <c r="X11" s="33">
        <f t="shared" si="4"/>
        <v>289.85379643862439</v>
      </c>
      <c r="Y11" s="38">
        <f t="shared" si="5"/>
        <v>33.1871297719577</v>
      </c>
      <c r="AA11" s="71">
        <v>6</v>
      </c>
      <c r="AB11" s="33">
        <f t="shared" si="6"/>
        <v>0</v>
      </c>
      <c r="AC11" s="308">
        <f t="shared" si="7"/>
        <v>0</v>
      </c>
      <c r="AD11" s="101">
        <f t="shared" si="8"/>
        <v>0</v>
      </c>
      <c r="AE11" s="101">
        <f t="shared" si="9"/>
        <v>0</v>
      </c>
      <c r="AF11" s="197">
        <f t="shared" si="28"/>
        <v>0</v>
      </c>
      <c r="AG11" s="197">
        <f t="shared" si="29"/>
        <v>0</v>
      </c>
      <c r="AH11" s="197">
        <f t="shared" si="30"/>
        <v>0</v>
      </c>
      <c r="AI11" s="202">
        <f t="shared" si="31"/>
        <v>0</v>
      </c>
      <c r="AK11" s="71">
        <v>6</v>
      </c>
      <c r="AL11" s="33">
        <f t="shared" si="10"/>
        <v>0</v>
      </c>
      <c r="AM11" s="33">
        <f t="shared" si="11"/>
        <v>0</v>
      </c>
      <c r="AN11" s="33">
        <f t="shared" si="12"/>
        <v>0</v>
      </c>
      <c r="AO11" s="33">
        <f t="shared" si="13"/>
        <v>0</v>
      </c>
      <c r="AP11" s="33">
        <f t="shared" si="14"/>
        <v>0</v>
      </c>
      <c r="AQ11" s="197">
        <f t="shared" si="15"/>
        <v>0</v>
      </c>
      <c r="AR11" s="197">
        <f t="shared" si="16"/>
        <v>0</v>
      </c>
      <c r="AS11" s="197">
        <f t="shared" si="17"/>
        <v>0</v>
      </c>
      <c r="AT11" s="197">
        <f t="shared" si="18"/>
        <v>0</v>
      </c>
      <c r="AU11" s="33"/>
      <c r="AV11" s="33"/>
      <c r="AW11" s="33"/>
      <c r="AX11" s="33"/>
      <c r="AY11" s="167">
        <f t="shared" si="27"/>
        <v>0</v>
      </c>
    </row>
    <row r="12" spans="2:51" ht="16">
      <c r="B12" s="375"/>
      <c r="C12" s="369"/>
      <c r="D12" s="364" t="s">
        <v>131</v>
      </c>
      <c r="E12" s="364"/>
      <c r="F12" s="96" t="s">
        <v>70</v>
      </c>
      <c r="I12" s="55">
        <v>7</v>
      </c>
      <c r="J12" s="33">
        <f t="shared" si="21"/>
        <v>0</v>
      </c>
      <c r="K12" s="33">
        <f t="shared" si="22"/>
        <v>0</v>
      </c>
      <c r="L12" s="33">
        <f t="shared" si="23"/>
        <v>70</v>
      </c>
      <c r="M12" s="33">
        <f t="shared" si="24"/>
        <v>0</v>
      </c>
      <c r="N12" s="33">
        <f t="shared" si="0"/>
        <v>0</v>
      </c>
      <c r="O12" s="34">
        <f t="shared" si="1"/>
        <v>256.66666666666669</v>
      </c>
      <c r="P12" s="55">
        <v>7</v>
      </c>
      <c r="Q12" s="33">
        <f t="shared" si="19"/>
        <v>3.2759999999999998</v>
      </c>
      <c r="R12" s="33">
        <f t="shared" si="25"/>
        <v>22.931999999999999</v>
      </c>
      <c r="S12" s="33">
        <f t="shared" si="26"/>
        <v>12.84192</v>
      </c>
      <c r="T12" s="33">
        <f t="shared" si="2"/>
        <v>4.3968079633305726</v>
      </c>
      <c r="U12" s="33">
        <f t="shared" si="20"/>
        <v>70</v>
      </c>
      <c r="V12" s="33">
        <f t="shared" si="3"/>
        <v>2.3333333333333335</v>
      </c>
      <c r="W12" s="33">
        <v>0</v>
      </c>
      <c r="X12" s="33">
        <f t="shared" si="4"/>
        <v>295.2463400916896</v>
      </c>
      <c r="Y12" s="38">
        <f t="shared" si="5"/>
        <v>38.579673425022918</v>
      </c>
      <c r="AA12" s="71">
        <v>7</v>
      </c>
      <c r="AB12" s="33">
        <f t="shared" si="6"/>
        <v>0</v>
      </c>
      <c r="AC12" s="308">
        <f t="shared" si="7"/>
        <v>0</v>
      </c>
      <c r="AD12" s="101">
        <f t="shared" si="8"/>
        <v>0</v>
      </c>
      <c r="AE12" s="101">
        <f t="shared" si="9"/>
        <v>0</v>
      </c>
      <c r="AF12" s="197">
        <f t="shared" si="28"/>
        <v>0</v>
      </c>
      <c r="AG12" s="197">
        <f t="shared" si="29"/>
        <v>0</v>
      </c>
      <c r="AH12" s="197">
        <f t="shared" si="30"/>
        <v>0</v>
      </c>
      <c r="AI12" s="202">
        <f t="shared" si="31"/>
        <v>0</v>
      </c>
      <c r="AK12" s="71">
        <v>7</v>
      </c>
      <c r="AL12" s="33">
        <f t="shared" si="10"/>
        <v>0</v>
      </c>
      <c r="AM12" s="33">
        <f t="shared" si="11"/>
        <v>0</v>
      </c>
      <c r="AN12" s="33">
        <f t="shared" si="12"/>
        <v>0</v>
      </c>
      <c r="AO12" s="33">
        <f t="shared" si="13"/>
        <v>0</v>
      </c>
      <c r="AP12" s="33">
        <f t="shared" si="14"/>
        <v>0</v>
      </c>
      <c r="AQ12" s="197">
        <f t="shared" si="15"/>
        <v>0</v>
      </c>
      <c r="AR12" s="197">
        <f t="shared" si="16"/>
        <v>0</v>
      </c>
      <c r="AS12" s="197">
        <f t="shared" si="17"/>
        <v>0</v>
      </c>
      <c r="AT12" s="197">
        <f t="shared" si="18"/>
        <v>0</v>
      </c>
      <c r="AU12" s="33"/>
      <c r="AV12" s="33"/>
      <c r="AW12" s="33"/>
      <c r="AX12" s="33"/>
      <c r="AY12" s="167">
        <f t="shared" si="27"/>
        <v>0</v>
      </c>
    </row>
    <row r="13" spans="2:51">
      <c r="B13" s="366"/>
      <c r="C13" s="370"/>
      <c r="D13" s="368" t="s">
        <v>155</v>
      </c>
      <c r="E13" s="368"/>
      <c r="F13" s="37">
        <f>IF(ISBLANK(F$12),,VLOOKUP(F$12,C131:D195,2,FALSE))</f>
        <v>0.56999999999999995</v>
      </c>
      <c r="I13" s="55">
        <v>8</v>
      </c>
      <c r="J13" s="33">
        <f t="shared" si="21"/>
        <v>0</v>
      </c>
      <c r="K13" s="33">
        <f t="shared" si="22"/>
        <v>0</v>
      </c>
      <c r="L13" s="33">
        <f t="shared" si="23"/>
        <v>70</v>
      </c>
      <c r="M13" s="33">
        <f t="shared" si="24"/>
        <v>0</v>
      </c>
      <c r="N13" s="33">
        <f t="shared" si="0"/>
        <v>0</v>
      </c>
      <c r="O13" s="34">
        <f t="shared" si="1"/>
        <v>256.66666666666669</v>
      </c>
      <c r="P13" s="55">
        <v>8</v>
      </c>
      <c r="Q13" s="33">
        <f t="shared" si="19"/>
        <v>3.2759999999999998</v>
      </c>
      <c r="R13" s="33">
        <f t="shared" si="25"/>
        <v>26.207999999999998</v>
      </c>
      <c r="S13" s="33">
        <f t="shared" si="26"/>
        <v>14.67648</v>
      </c>
      <c r="T13" s="33">
        <f t="shared" si="2"/>
        <v>4.9474245749366128</v>
      </c>
      <c r="U13" s="33">
        <f t="shared" si="20"/>
        <v>70</v>
      </c>
      <c r="V13" s="33">
        <f t="shared" si="3"/>
        <v>2.6666666666666665</v>
      </c>
      <c r="W13" s="33">
        <v>0</v>
      </c>
      <c r="X13" s="33">
        <f t="shared" si="4"/>
        <v>300.62274491245904</v>
      </c>
      <c r="Y13" s="38">
        <f t="shared" si="5"/>
        <v>43.956078245792355</v>
      </c>
      <c r="AA13" s="71">
        <v>8</v>
      </c>
      <c r="AB13" s="33">
        <f t="shared" si="6"/>
        <v>0</v>
      </c>
      <c r="AC13" s="308">
        <f t="shared" si="7"/>
        <v>0</v>
      </c>
      <c r="AD13" s="101">
        <f t="shared" si="8"/>
        <v>0</v>
      </c>
      <c r="AE13" s="101">
        <f t="shared" si="9"/>
        <v>0</v>
      </c>
      <c r="AF13" s="197">
        <f t="shared" si="28"/>
        <v>0</v>
      </c>
      <c r="AG13" s="197">
        <f t="shared" si="29"/>
        <v>0</v>
      </c>
      <c r="AH13" s="197">
        <f t="shared" si="30"/>
        <v>0</v>
      </c>
      <c r="AI13" s="202">
        <f t="shared" si="31"/>
        <v>0</v>
      </c>
      <c r="AK13" s="71">
        <v>8</v>
      </c>
      <c r="AL13" s="33">
        <f t="shared" si="10"/>
        <v>0</v>
      </c>
      <c r="AM13" s="33">
        <f t="shared" si="11"/>
        <v>0</v>
      </c>
      <c r="AN13" s="33">
        <f t="shared" si="12"/>
        <v>0</v>
      </c>
      <c r="AO13" s="33">
        <f t="shared" si="13"/>
        <v>0</v>
      </c>
      <c r="AP13" s="33">
        <f t="shared" si="14"/>
        <v>0</v>
      </c>
      <c r="AQ13" s="197">
        <f t="shared" si="15"/>
        <v>0</v>
      </c>
      <c r="AR13" s="197">
        <f t="shared" si="16"/>
        <v>0</v>
      </c>
      <c r="AS13" s="197">
        <f t="shared" si="17"/>
        <v>0</v>
      </c>
      <c r="AT13" s="197">
        <f t="shared" si="18"/>
        <v>0</v>
      </c>
      <c r="AU13" s="33"/>
      <c r="AV13" s="33"/>
      <c r="AW13" s="33"/>
      <c r="AX13" s="33"/>
      <c r="AY13" s="167">
        <f t="shared" si="27"/>
        <v>0</v>
      </c>
    </row>
    <row r="14" spans="2:51">
      <c r="B14" s="365" t="s">
        <v>132</v>
      </c>
      <c r="C14" s="361"/>
      <c r="D14" s="362"/>
      <c r="E14" s="362"/>
      <c r="F14" s="363"/>
      <c r="I14" s="55">
        <v>9</v>
      </c>
      <c r="J14" s="33">
        <f t="shared" si="21"/>
        <v>0</v>
      </c>
      <c r="K14" s="33">
        <f t="shared" si="22"/>
        <v>0</v>
      </c>
      <c r="L14" s="33">
        <f t="shared" si="23"/>
        <v>70</v>
      </c>
      <c r="M14" s="33">
        <f t="shared" si="24"/>
        <v>0</v>
      </c>
      <c r="N14" s="33">
        <f t="shared" si="0"/>
        <v>0</v>
      </c>
      <c r="O14" s="34">
        <f t="shared" si="1"/>
        <v>256.66666666666669</v>
      </c>
      <c r="P14" s="55">
        <v>9</v>
      </c>
      <c r="Q14" s="33">
        <f t="shared" si="19"/>
        <v>3.2759999999999998</v>
      </c>
      <c r="R14" s="33">
        <f t="shared" si="25"/>
        <v>29.483999999999998</v>
      </c>
      <c r="S14" s="33">
        <f t="shared" si="26"/>
        <v>16.511040000000001</v>
      </c>
      <c r="T14" s="33">
        <f t="shared" si="2"/>
        <v>5.4900658149363251</v>
      </c>
      <c r="U14" s="33">
        <f t="shared" si="20"/>
        <v>70</v>
      </c>
      <c r="V14" s="33">
        <f t="shared" si="3"/>
        <v>3</v>
      </c>
      <c r="W14" s="33">
        <v>0</v>
      </c>
      <c r="X14" s="33">
        <f t="shared" si="4"/>
        <v>305.98525929434743</v>
      </c>
      <c r="Y14" s="38">
        <f t="shared" si="5"/>
        <v>49.318592627680744</v>
      </c>
      <c r="AA14" s="71">
        <v>9</v>
      </c>
      <c r="AB14" s="33">
        <f t="shared" si="6"/>
        <v>0</v>
      </c>
      <c r="AC14" s="308">
        <f t="shared" si="7"/>
        <v>0</v>
      </c>
      <c r="AD14" s="101">
        <f t="shared" si="8"/>
        <v>0</v>
      </c>
      <c r="AE14" s="101">
        <f t="shared" si="9"/>
        <v>0</v>
      </c>
      <c r="AF14" s="197">
        <f t="shared" si="28"/>
        <v>0</v>
      </c>
      <c r="AG14" s="197">
        <f t="shared" si="29"/>
        <v>0</v>
      </c>
      <c r="AH14" s="197">
        <f t="shared" si="30"/>
        <v>0</v>
      </c>
      <c r="AI14" s="202">
        <f t="shared" si="31"/>
        <v>0</v>
      </c>
      <c r="AK14" s="71">
        <v>9</v>
      </c>
      <c r="AL14" s="33">
        <f t="shared" si="10"/>
        <v>0</v>
      </c>
      <c r="AM14" s="33">
        <f t="shared" si="11"/>
        <v>0</v>
      </c>
      <c r="AN14" s="33">
        <f t="shared" si="12"/>
        <v>0</v>
      </c>
      <c r="AO14" s="33">
        <f t="shared" si="13"/>
        <v>0</v>
      </c>
      <c r="AP14" s="33">
        <f t="shared" si="14"/>
        <v>0</v>
      </c>
      <c r="AQ14" s="197">
        <f t="shared" si="15"/>
        <v>0</v>
      </c>
      <c r="AR14" s="197">
        <f t="shared" si="16"/>
        <v>0</v>
      </c>
      <c r="AS14" s="197">
        <f t="shared" si="17"/>
        <v>0</v>
      </c>
      <c r="AT14" s="197">
        <f t="shared" si="18"/>
        <v>0</v>
      </c>
      <c r="AU14" s="33"/>
      <c r="AV14" s="33"/>
      <c r="AW14" s="33"/>
      <c r="AX14" s="33"/>
      <c r="AY14" s="167">
        <f t="shared" si="27"/>
        <v>0</v>
      </c>
    </row>
    <row r="15" spans="2:51">
      <c r="B15" s="375"/>
      <c r="C15" s="93" t="s">
        <v>73</v>
      </c>
      <c r="D15" s="371" t="s">
        <v>135</v>
      </c>
      <c r="E15" s="371"/>
      <c r="F15" s="94">
        <f>IF(D15="","",VLOOKUP(D15,$B$97:$C$100,2,0))</f>
        <v>70</v>
      </c>
      <c r="I15" s="55">
        <v>10</v>
      </c>
      <c r="J15" s="33">
        <f t="shared" si="21"/>
        <v>0</v>
      </c>
      <c r="K15" s="33">
        <f t="shared" si="22"/>
        <v>0</v>
      </c>
      <c r="L15" s="33">
        <f t="shared" si="23"/>
        <v>70</v>
      </c>
      <c r="M15" s="33">
        <f t="shared" si="24"/>
        <v>0</v>
      </c>
      <c r="N15" s="33">
        <f t="shared" si="0"/>
        <v>0</v>
      </c>
      <c r="O15" s="34">
        <f t="shared" si="1"/>
        <v>256.66666666666669</v>
      </c>
      <c r="P15" s="55">
        <v>10</v>
      </c>
      <c r="Q15" s="33">
        <f t="shared" si="19"/>
        <v>3.2759999999999998</v>
      </c>
      <c r="R15" s="33">
        <f t="shared" si="25"/>
        <v>32.76</v>
      </c>
      <c r="S15" s="33">
        <f t="shared" si="26"/>
        <v>18.345600000000001</v>
      </c>
      <c r="T15" s="33">
        <f t="shared" si="2"/>
        <v>6.0257189209257707</v>
      </c>
      <c r="U15" s="33">
        <f t="shared" si="20"/>
        <v>70</v>
      </c>
      <c r="V15" s="33">
        <f t="shared" si="3"/>
        <v>3.3333333333333335</v>
      </c>
      <c r="W15" s="33">
        <v>0</v>
      </c>
      <c r="X15" s="33">
        <f t="shared" si="4"/>
        <v>311.33560267616792</v>
      </c>
      <c r="Y15" s="38">
        <f t="shared" si="5"/>
        <v>54.668936009501238</v>
      </c>
      <c r="AA15" s="71">
        <v>10</v>
      </c>
      <c r="AB15" s="33">
        <f t="shared" si="6"/>
        <v>0</v>
      </c>
      <c r="AC15" s="308">
        <f t="shared" si="7"/>
        <v>0</v>
      </c>
      <c r="AD15" s="101">
        <f t="shared" si="8"/>
        <v>0</v>
      </c>
      <c r="AE15" s="101">
        <f t="shared" si="9"/>
        <v>0</v>
      </c>
      <c r="AF15" s="197">
        <f t="shared" si="28"/>
        <v>0</v>
      </c>
      <c r="AG15" s="197">
        <f t="shared" si="29"/>
        <v>0</v>
      </c>
      <c r="AH15" s="197">
        <f t="shared" si="30"/>
        <v>0</v>
      </c>
      <c r="AI15" s="202">
        <f t="shared" si="31"/>
        <v>0</v>
      </c>
      <c r="AK15" s="71">
        <v>10</v>
      </c>
      <c r="AL15" s="33">
        <f t="shared" si="10"/>
        <v>0</v>
      </c>
      <c r="AM15" s="33">
        <f t="shared" si="11"/>
        <v>0</v>
      </c>
      <c r="AN15" s="33">
        <f t="shared" si="12"/>
        <v>0</v>
      </c>
      <c r="AO15" s="33">
        <f t="shared" si="13"/>
        <v>0</v>
      </c>
      <c r="AP15" s="33">
        <f t="shared" si="14"/>
        <v>0</v>
      </c>
      <c r="AQ15" s="197">
        <f t="shared" si="15"/>
        <v>0</v>
      </c>
      <c r="AR15" s="197">
        <f t="shared" si="16"/>
        <v>0</v>
      </c>
      <c r="AS15" s="197">
        <f t="shared" si="17"/>
        <v>0</v>
      </c>
      <c r="AT15" s="197">
        <f t="shared" si="18"/>
        <v>0</v>
      </c>
      <c r="AU15" s="33"/>
      <c r="AV15" s="33"/>
      <c r="AW15" s="33"/>
      <c r="AX15" s="33"/>
      <c r="AY15" s="167">
        <f t="shared" si="27"/>
        <v>0</v>
      </c>
    </row>
    <row r="16" spans="2:51">
      <c r="B16" s="375"/>
      <c r="C16" s="93" t="s">
        <v>74</v>
      </c>
      <c r="D16" s="367" t="s">
        <v>138</v>
      </c>
      <c r="E16" s="367"/>
      <c r="F16" s="94">
        <v>10</v>
      </c>
      <c r="I16" s="55">
        <v>11</v>
      </c>
      <c r="J16" s="33">
        <f t="shared" si="21"/>
        <v>0</v>
      </c>
      <c r="K16" s="33">
        <f t="shared" si="22"/>
        <v>0</v>
      </c>
      <c r="L16" s="33">
        <f t="shared" si="23"/>
        <v>70</v>
      </c>
      <c r="M16" s="33">
        <f t="shared" si="24"/>
        <v>0</v>
      </c>
      <c r="N16" s="33">
        <f t="shared" si="0"/>
        <v>0</v>
      </c>
      <c r="O16" s="34">
        <f t="shared" si="1"/>
        <v>256.66666666666669</v>
      </c>
      <c r="P16" s="55">
        <v>11</v>
      </c>
      <c r="Q16" s="33">
        <f t="shared" si="19"/>
        <v>3.2759999999999998</v>
      </c>
      <c r="R16" s="33">
        <f t="shared" si="25"/>
        <v>36.036000000000001</v>
      </c>
      <c r="S16" s="33">
        <f t="shared" si="26"/>
        <v>20.180160000000004</v>
      </c>
      <c r="T16" s="33">
        <f t="shared" si="2"/>
        <v>6.555162257221574</v>
      </c>
      <c r="U16" s="33">
        <f t="shared" si="20"/>
        <v>70</v>
      </c>
      <c r="V16" s="33">
        <f t="shared" si="3"/>
        <v>3.6666666666666665</v>
      </c>
      <c r="W16" s="33">
        <v>0</v>
      </c>
      <c r="X16" s="33">
        <f t="shared" si="4"/>
        <v>316.67513070910536</v>
      </c>
      <c r="Y16" s="38">
        <f t="shared" si="5"/>
        <v>60.008464042438675</v>
      </c>
      <c r="AA16" s="71">
        <v>11</v>
      </c>
      <c r="AB16" s="33">
        <f t="shared" si="6"/>
        <v>0</v>
      </c>
      <c r="AC16" s="308">
        <f t="shared" si="7"/>
        <v>0</v>
      </c>
      <c r="AD16" s="101">
        <f t="shared" si="8"/>
        <v>0</v>
      </c>
      <c r="AE16" s="101">
        <f t="shared" si="9"/>
        <v>0</v>
      </c>
      <c r="AF16" s="197">
        <f t="shared" si="28"/>
        <v>0</v>
      </c>
      <c r="AG16" s="197">
        <f t="shared" si="29"/>
        <v>0</v>
      </c>
      <c r="AH16" s="197">
        <f t="shared" si="30"/>
        <v>0</v>
      </c>
      <c r="AI16" s="202">
        <f t="shared" si="31"/>
        <v>0</v>
      </c>
      <c r="AK16" s="71">
        <v>11</v>
      </c>
      <c r="AL16" s="33">
        <f t="shared" si="10"/>
        <v>0</v>
      </c>
      <c r="AM16" s="33">
        <f t="shared" si="11"/>
        <v>0</v>
      </c>
      <c r="AN16" s="33">
        <f t="shared" si="12"/>
        <v>0</v>
      </c>
      <c r="AO16" s="33">
        <f t="shared" si="13"/>
        <v>0</v>
      </c>
      <c r="AP16" s="33">
        <f t="shared" si="14"/>
        <v>0</v>
      </c>
      <c r="AQ16" s="197">
        <f t="shared" si="15"/>
        <v>0</v>
      </c>
      <c r="AR16" s="197">
        <f t="shared" si="16"/>
        <v>0</v>
      </c>
      <c r="AS16" s="197">
        <f t="shared" si="17"/>
        <v>0</v>
      </c>
      <c r="AT16" s="197">
        <f t="shared" si="18"/>
        <v>0</v>
      </c>
      <c r="AU16" s="33"/>
      <c r="AV16" s="33"/>
      <c r="AW16" s="33"/>
      <c r="AX16" s="33"/>
      <c r="AY16" s="167">
        <f t="shared" si="27"/>
        <v>0</v>
      </c>
    </row>
    <row r="17" spans="2:51" ht="32">
      <c r="B17" s="375"/>
      <c r="C17" s="369" t="s">
        <v>124</v>
      </c>
      <c r="D17" s="364" t="s">
        <v>131</v>
      </c>
      <c r="E17" s="364"/>
      <c r="F17" s="96" t="s">
        <v>23</v>
      </c>
      <c r="I17" s="55">
        <v>12</v>
      </c>
      <c r="J17" s="33">
        <f t="shared" si="21"/>
        <v>0</v>
      </c>
      <c r="K17" s="33">
        <f t="shared" si="22"/>
        <v>0</v>
      </c>
      <c r="L17" s="33">
        <f t="shared" si="23"/>
        <v>70</v>
      </c>
      <c r="M17" s="33">
        <f t="shared" si="24"/>
        <v>0</v>
      </c>
      <c r="N17" s="33">
        <f t="shared" si="0"/>
        <v>0</v>
      </c>
      <c r="O17" s="34">
        <f t="shared" si="1"/>
        <v>256.66666666666669</v>
      </c>
      <c r="P17" s="55">
        <v>12</v>
      </c>
      <c r="Q17" s="33">
        <f t="shared" si="19"/>
        <v>3.2759999999999998</v>
      </c>
      <c r="R17" s="33">
        <f t="shared" si="25"/>
        <v>39.311999999999998</v>
      </c>
      <c r="S17" s="33">
        <f t="shared" si="26"/>
        <v>22.014720000000001</v>
      </c>
      <c r="T17" s="33">
        <f t="shared" si="2"/>
        <v>7.0790245501888318</v>
      </c>
      <c r="U17" s="33">
        <f t="shared" si="20"/>
        <v>70</v>
      </c>
      <c r="V17" s="33">
        <f t="shared" si="3"/>
        <v>4</v>
      </c>
      <c r="W17" s="33">
        <v>0</v>
      </c>
      <c r="X17" s="33">
        <f t="shared" si="4"/>
        <v>322.00493842491215</v>
      </c>
      <c r="Y17" s="38">
        <f t="shared" si="5"/>
        <v>65.338271758245469</v>
      </c>
      <c r="AA17" s="71">
        <v>12</v>
      </c>
      <c r="AB17" s="33">
        <f t="shared" si="6"/>
        <v>0</v>
      </c>
      <c r="AC17" s="308">
        <f t="shared" si="7"/>
        <v>0</v>
      </c>
      <c r="AD17" s="101">
        <f t="shared" si="8"/>
        <v>0</v>
      </c>
      <c r="AE17" s="101">
        <f t="shared" si="9"/>
        <v>0</v>
      </c>
      <c r="AF17" s="197">
        <f t="shared" si="28"/>
        <v>0</v>
      </c>
      <c r="AG17" s="197">
        <f t="shared" si="29"/>
        <v>0</v>
      </c>
      <c r="AH17" s="197">
        <f t="shared" si="30"/>
        <v>0</v>
      </c>
      <c r="AI17" s="202">
        <f t="shared" si="31"/>
        <v>0</v>
      </c>
      <c r="AK17" s="71">
        <v>12</v>
      </c>
      <c r="AL17" s="33">
        <f t="shared" si="10"/>
        <v>0</v>
      </c>
      <c r="AM17" s="33">
        <f t="shared" si="11"/>
        <v>0</v>
      </c>
      <c r="AN17" s="33">
        <f t="shared" si="12"/>
        <v>0</v>
      </c>
      <c r="AO17" s="33">
        <f t="shared" si="13"/>
        <v>0</v>
      </c>
      <c r="AP17" s="33">
        <f t="shared" si="14"/>
        <v>0</v>
      </c>
      <c r="AQ17" s="197">
        <f t="shared" si="15"/>
        <v>0</v>
      </c>
      <c r="AR17" s="197">
        <f t="shared" si="16"/>
        <v>0</v>
      </c>
      <c r="AS17" s="197">
        <f t="shared" si="17"/>
        <v>0</v>
      </c>
      <c r="AT17" s="197">
        <f t="shared" si="18"/>
        <v>0</v>
      </c>
      <c r="AU17" s="33"/>
      <c r="AV17" s="33"/>
      <c r="AW17" s="33"/>
      <c r="AX17" s="33"/>
      <c r="AY17" s="167">
        <f t="shared" si="27"/>
        <v>0</v>
      </c>
    </row>
    <row r="18" spans="2:51">
      <c r="B18" s="375"/>
      <c r="C18" s="369"/>
      <c r="D18" s="364" t="s">
        <v>136</v>
      </c>
      <c r="E18" s="364"/>
      <c r="F18" s="97">
        <v>100</v>
      </c>
      <c r="I18" s="55">
        <v>13</v>
      </c>
      <c r="J18" s="33">
        <f t="shared" si="21"/>
        <v>0</v>
      </c>
      <c r="K18" s="33">
        <f t="shared" si="22"/>
        <v>0</v>
      </c>
      <c r="L18" s="33">
        <f t="shared" si="23"/>
        <v>70</v>
      </c>
      <c r="M18" s="33">
        <f t="shared" si="24"/>
        <v>0</v>
      </c>
      <c r="N18" s="33">
        <f t="shared" si="0"/>
        <v>0</v>
      </c>
      <c r="O18" s="34">
        <f t="shared" si="1"/>
        <v>256.66666666666669</v>
      </c>
      <c r="P18" s="55">
        <v>13</v>
      </c>
      <c r="Q18" s="33">
        <f t="shared" si="19"/>
        <v>3.2759999999999998</v>
      </c>
      <c r="R18" s="33">
        <f t="shared" si="25"/>
        <v>42.587999999999994</v>
      </c>
      <c r="S18" s="33">
        <f t="shared" si="26"/>
        <v>23.84928</v>
      </c>
      <c r="T18" s="33">
        <f t="shared" si="2"/>
        <v>7.5978237630267955</v>
      </c>
      <c r="U18" s="33">
        <f t="shared" si="20"/>
        <v>70</v>
      </c>
      <c r="V18" s="33">
        <f t="shared" si="3"/>
        <v>4.333333333333333</v>
      </c>
      <c r="W18" s="33">
        <v>0</v>
      </c>
      <c r="X18" s="33">
        <f t="shared" si="4"/>
        <v>327.32592794282726</v>
      </c>
      <c r="Y18" s="38">
        <f t="shared" si="5"/>
        <v>70.659261276160578</v>
      </c>
      <c r="AA18" s="71">
        <v>13</v>
      </c>
      <c r="AB18" s="33">
        <f t="shared" si="6"/>
        <v>0</v>
      </c>
      <c r="AC18" s="308">
        <f t="shared" si="7"/>
        <v>0</v>
      </c>
      <c r="AD18" s="101">
        <f t="shared" si="8"/>
        <v>0</v>
      </c>
      <c r="AE18" s="101">
        <f t="shared" si="9"/>
        <v>0</v>
      </c>
      <c r="AF18" s="197">
        <f t="shared" si="28"/>
        <v>0</v>
      </c>
      <c r="AG18" s="197">
        <f t="shared" si="29"/>
        <v>0</v>
      </c>
      <c r="AH18" s="197">
        <f t="shared" si="30"/>
        <v>0</v>
      </c>
      <c r="AI18" s="202">
        <f t="shared" si="31"/>
        <v>0</v>
      </c>
      <c r="AK18" s="71">
        <v>13</v>
      </c>
      <c r="AL18" s="33">
        <f t="shared" si="10"/>
        <v>0</v>
      </c>
      <c r="AM18" s="33">
        <f t="shared" si="11"/>
        <v>0</v>
      </c>
      <c r="AN18" s="33">
        <f t="shared" si="12"/>
        <v>0</v>
      </c>
      <c r="AO18" s="33">
        <f t="shared" si="13"/>
        <v>0</v>
      </c>
      <c r="AP18" s="33">
        <f t="shared" si="14"/>
        <v>0</v>
      </c>
      <c r="AQ18" s="197">
        <f t="shared" si="15"/>
        <v>0</v>
      </c>
      <c r="AR18" s="197">
        <f t="shared" si="16"/>
        <v>0</v>
      </c>
      <c r="AS18" s="197">
        <f t="shared" si="17"/>
        <v>0</v>
      </c>
      <c r="AT18" s="197">
        <f t="shared" si="18"/>
        <v>0</v>
      </c>
      <c r="AU18" s="33"/>
      <c r="AV18" s="33"/>
      <c r="AW18" s="33"/>
      <c r="AX18" s="33"/>
      <c r="AY18" s="167">
        <f t="shared" si="27"/>
        <v>0</v>
      </c>
    </row>
    <row r="19" spans="2:51">
      <c r="B19" s="375"/>
      <c r="C19" s="369"/>
      <c r="D19" s="367" t="s">
        <v>155</v>
      </c>
      <c r="E19" s="367"/>
      <c r="F19" s="36">
        <f>IF(ISBLANK(F$17),,VLOOKUP(F$17,C131:D195,2,FALSE))</f>
        <v>0.56000000000000005</v>
      </c>
      <c r="I19" s="55">
        <v>14</v>
      </c>
      <c r="J19" s="33">
        <f t="shared" si="21"/>
        <v>0</v>
      </c>
      <c r="K19" s="33">
        <f t="shared" si="22"/>
        <v>0</v>
      </c>
      <c r="L19" s="33">
        <f t="shared" si="23"/>
        <v>70</v>
      </c>
      <c r="M19" s="33">
        <f t="shared" si="24"/>
        <v>0</v>
      </c>
      <c r="N19" s="33">
        <f t="shared" si="0"/>
        <v>0</v>
      </c>
      <c r="O19" s="34">
        <f t="shared" si="1"/>
        <v>256.66666666666669</v>
      </c>
      <c r="P19" s="55">
        <v>14</v>
      </c>
      <c r="Q19" s="33">
        <f t="shared" si="19"/>
        <v>3.2759999999999998</v>
      </c>
      <c r="R19" s="33">
        <f t="shared" si="25"/>
        <v>45.86399999999999</v>
      </c>
      <c r="S19" s="33">
        <f t="shared" si="26"/>
        <v>25.683839999999996</v>
      </c>
      <c r="T19" s="33">
        <f t="shared" si="2"/>
        <v>8.1119936455744224</v>
      </c>
      <c r="U19" s="33">
        <f t="shared" si="20"/>
        <v>70</v>
      </c>
      <c r="V19" s="33">
        <f t="shared" si="3"/>
        <v>4.666666666666667</v>
      </c>
      <c r="W19" s="33">
        <v>0</v>
      </c>
      <c r="X19" s="33">
        <f t="shared" si="4"/>
        <v>332.63885471048656</v>
      </c>
      <c r="Y19" s="38">
        <f t="shared" si="5"/>
        <v>75.97218804381987</v>
      </c>
      <c r="AA19" s="71">
        <v>14</v>
      </c>
      <c r="AB19" s="33">
        <f t="shared" si="6"/>
        <v>0</v>
      </c>
      <c r="AC19" s="308">
        <f t="shared" si="7"/>
        <v>0</v>
      </c>
      <c r="AD19" s="101">
        <f t="shared" si="8"/>
        <v>0</v>
      </c>
      <c r="AE19" s="101">
        <f t="shared" si="9"/>
        <v>0</v>
      </c>
      <c r="AF19" s="197">
        <f t="shared" si="28"/>
        <v>0</v>
      </c>
      <c r="AG19" s="197">
        <f t="shared" si="29"/>
        <v>0</v>
      </c>
      <c r="AH19" s="197">
        <f t="shared" si="30"/>
        <v>0</v>
      </c>
      <c r="AI19" s="202">
        <f t="shared" si="31"/>
        <v>0</v>
      </c>
      <c r="AK19" s="71">
        <v>14</v>
      </c>
      <c r="AL19" s="33">
        <f t="shared" si="10"/>
        <v>0</v>
      </c>
      <c r="AM19" s="33">
        <f t="shared" si="11"/>
        <v>0</v>
      </c>
      <c r="AN19" s="33">
        <f t="shared" si="12"/>
        <v>0</v>
      </c>
      <c r="AO19" s="33">
        <f t="shared" si="13"/>
        <v>0</v>
      </c>
      <c r="AP19" s="33">
        <f t="shared" si="14"/>
        <v>0</v>
      </c>
      <c r="AQ19" s="197">
        <f t="shared" si="15"/>
        <v>0</v>
      </c>
      <c r="AR19" s="197">
        <f t="shared" si="16"/>
        <v>0</v>
      </c>
      <c r="AS19" s="197">
        <f t="shared" si="17"/>
        <v>0</v>
      </c>
      <c r="AT19" s="197">
        <f t="shared" si="18"/>
        <v>0</v>
      </c>
      <c r="AU19" s="33"/>
      <c r="AV19" s="33"/>
      <c r="AW19" s="33"/>
      <c r="AX19" s="33"/>
      <c r="AY19" s="167">
        <f t="shared" si="27"/>
        <v>0</v>
      </c>
    </row>
    <row r="20" spans="2:51">
      <c r="B20" s="375"/>
      <c r="C20" s="369"/>
      <c r="D20" s="367" t="s">
        <v>140</v>
      </c>
      <c r="E20" s="367"/>
      <c r="F20" s="36">
        <f>IF(ISBLANK(F$17),,VLOOKUP(F17,Tableau145[#All],4,FALSE))</f>
        <v>1.56</v>
      </c>
      <c r="I20" s="55">
        <v>15</v>
      </c>
      <c r="J20" s="33">
        <f t="shared" si="21"/>
        <v>0</v>
      </c>
      <c r="K20" s="33">
        <f t="shared" si="22"/>
        <v>0</v>
      </c>
      <c r="L20" s="33">
        <f t="shared" si="23"/>
        <v>70</v>
      </c>
      <c r="M20" s="33">
        <f t="shared" si="24"/>
        <v>0</v>
      </c>
      <c r="N20" s="33">
        <f t="shared" si="0"/>
        <v>0</v>
      </c>
      <c r="O20" s="34">
        <f t="shared" si="1"/>
        <v>256.66666666666669</v>
      </c>
      <c r="P20" s="55">
        <v>15</v>
      </c>
      <c r="Q20" s="33">
        <f t="shared" si="19"/>
        <v>3.2759999999999998</v>
      </c>
      <c r="R20" s="33">
        <f t="shared" si="25"/>
        <v>49.139999999999986</v>
      </c>
      <c r="S20" s="33">
        <f t="shared" si="26"/>
        <v>27.518399999999996</v>
      </c>
      <c r="T20" s="33">
        <f t="shared" si="2"/>
        <v>8.6219024722205884</v>
      </c>
      <c r="U20" s="33">
        <f t="shared" si="20"/>
        <v>70</v>
      </c>
      <c r="V20" s="33">
        <f t="shared" si="3"/>
        <v>5</v>
      </c>
      <c r="W20" s="33">
        <v>0</v>
      </c>
      <c r="X20" s="33">
        <f t="shared" si="4"/>
        <v>337.94436013911752</v>
      </c>
      <c r="Y20" s="38">
        <f t="shared" si="5"/>
        <v>81.277693472450835</v>
      </c>
      <c r="AA20" s="71">
        <v>15</v>
      </c>
      <c r="AB20" s="33">
        <f t="shared" si="6"/>
        <v>0</v>
      </c>
      <c r="AC20" s="308">
        <f t="shared" si="7"/>
        <v>0</v>
      </c>
      <c r="AD20" s="101">
        <f t="shared" si="8"/>
        <v>0</v>
      </c>
      <c r="AE20" s="101">
        <f t="shared" si="9"/>
        <v>0</v>
      </c>
      <c r="AF20" s="197">
        <f t="shared" si="28"/>
        <v>0</v>
      </c>
      <c r="AG20" s="197">
        <f t="shared" si="29"/>
        <v>0</v>
      </c>
      <c r="AH20" s="197">
        <f t="shared" si="30"/>
        <v>0</v>
      </c>
      <c r="AI20" s="202">
        <f t="shared" si="31"/>
        <v>0</v>
      </c>
      <c r="AK20" s="71">
        <v>15</v>
      </c>
      <c r="AL20" s="33">
        <f t="shared" si="10"/>
        <v>0</v>
      </c>
      <c r="AM20" s="33">
        <f t="shared" si="11"/>
        <v>0</v>
      </c>
      <c r="AN20" s="33">
        <f t="shared" si="12"/>
        <v>0</v>
      </c>
      <c r="AO20" s="33">
        <f t="shared" si="13"/>
        <v>0</v>
      </c>
      <c r="AP20" s="33">
        <f t="shared" si="14"/>
        <v>0</v>
      </c>
      <c r="AQ20" s="197">
        <f t="shared" si="15"/>
        <v>0</v>
      </c>
      <c r="AR20" s="197">
        <f t="shared" si="16"/>
        <v>0</v>
      </c>
      <c r="AS20" s="197">
        <f t="shared" si="17"/>
        <v>0</v>
      </c>
      <c r="AT20" s="197">
        <f t="shared" si="18"/>
        <v>0</v>
      </c>
      <c r="AU20" s="33"/>
      <c r="AV20" s="33"/>
      <c r="AW20" s="33"/>
      <c r="AX20" s="33"/>
      <c r="AY20" s="167">
        <f t="shared" si="27"/>
        <v>0</v>
      </c>
    </row>
    <row r="21" spans="2:51">
      <c r="B21" s="366"/>
      <c r="C21" s="370"/>
      <c r="D21" s="368" t="s">
        <v>143</v>
      </c>
      <c r="E21" s="368"/>
      <c r="F21" s="103">
        <f>5.175+0.45+0.45</f>
        <v>6.0750000000000002</v>
      </c>
      <c r="I21" s="55">
        <v>16</v>
      </c>
      <c r="J21" s="33">
        <f t="shared" si="21"/>
        <v>0</v>
      </c>
      <c r="K21" s="33">
        <f t="shared" si="22"/>
        <v>0</v>
      </c>
      <c r="L21" s="33">
        <f t="shared" si="23"/>
        <v>70</v>
      </c>
      <c r="M21" s="33">
        <f t="shared" si="24"/>
        <v>0</v>
      </c>
      <c r="N21" s="33">
        <f t="shared" si="0"/>
        <v>0</v>
      </c>
      <c r="O21" s="34">
        <f t="shared" si="1"/>
        <v>256.66666666666669</v>
      </c>
      <c r="P21" s="55">
        <v>16</v>
      </c>
      <c r="Q21" s="33">
        <f t="shared" si="19"/>
        <v>3.2759999999999998</v>
      </c>
      <c r="R21" s="33">
        <f t="shared" si="25"/>
        <v>52.415999999999983</v>
      </c>
      <c r="S21" s="33">
        <f t="shared" si="26"/>
        <v>29.352959999999992</v>
      </c>
      <c r="T21" s="33">
        <f t="shared" si="2"/>
        <v>9.1278666361046845</v>
      </c>
      <c r="U21" s="33">
        <f t="shared" si="20"/>
        <v>70</v>
      </c>
      <c r="V21" s="33">
        <f t="shared" si="3"/>
        <v>5.333333333333333</v>
      </c>
      <c r="W21" s="33">
        <v>0</v>
      </c>
      <c r="X21" s="33">
        <f t="shared" si="4"/>
        <v>343.24299528010448</v>
      </c>
      <c r="Y21" s="38">
        <f t="shared" si="5"/>
        <v>86.576328613437795</v>
      </c>
      <c r="AA21" s="71">
        <v>16</v>
      </c>
      <c r="AB21" s="33">
        <f t="shared" si="6"/>
        <v>0</v>
      </c>
      <c r="AC21" s="308">
        <f t="shared" si="7"/>
        <v>0</v>
      </c>
      <c r="AD21" s="101">
        <f t="shared" si="8"/>
        <v>0</v>
      </c>
      <c r="AE21" s="101">
        <f t="shared" si="9"/>
        <v>0</v>
      </c>
      <c r="AF21" s="197">
        <f t="shared" si="28"/>
        <v>0</v>
      </c>
      <c r="AG21" s="197">
        <f t="shared" si="29"/>
        <v>0</v>
      </c>
      <c r="AH21" s="197">
        <f t="shared" si="30"/>
        <v>0</v>
      </c>
      <c r="AI21" s="202">
        <f t="shared" si="31"/>
        <v>0</v>
      </c>
      <c r="AK21" s="71">
        <v>16</v>
      </c>
      <c r="AL21" s="33">
        <f t="shared" si="10"/>
        <v>0</v>
      </c>
      <c r="AM21" s="33">
        <f t="shared" si="11"/>
        <v>0</v>
      </c>
      <c r="AN21" s="33">
        <f t="shared" si="12"/>
        <v>0</v>
      </c>
      <c r="AO21" s="33">
        <f t="shared" si="13"/>
        <v>0</v>
      </c>
      <c r="AP21" s="33">
        <f t="shared" si="14"/>
        <v>0</v>
      </c>
      <c r="AQ21" s="197">
        <f t="shared" si="15"/>
        <v>0</v>
      </c>
      <c r="AR21" s="197">
        <f t="shared" si="16"/>
        <v>0</v>
      </c>
      <c r="AS21" s="197">
        <f t="shared" si="17"/>
        <v>0</v>
      </c>
      <c r="AT21" s="197">
        <f t="shared" si="18"/>
        <v>0</v>
      </c>
      <c r="AU21" s="33"/>
      <c r="AV21" s="33"/>
      <c r="AW21" s="33"/>
      <c r="AX21" s="33"/>
      <c r="AY21" s="167">
        <f t="shared" si="27"/>
        <v>0</v>
      </c>
    </row>
    <row r="22" spans="2:51">
      <c r="E22" s="6"/>
      <c r="I22" s="55">
        <v>17</v>
      </c>
      <c r="J22" s="33">
        <f t="shared" si="21"/>
        <v>0</v>
      </c>
      <c r="K22" s="33">
        <f t="shared" si="22"/>
        <v>0</v>
      </c>
      <c r="L22" s="33">
        <f t="shared" si="23"/>
        <v>70</v>
      </c>
      <c r="M22" s="33">
        <f t="shared" si="24"/>
        <v>0</v>
      </c>
      <c r="N22" s="33">
        <f t="shared" si="0"/>
        <v>0</v>
      </c>
      <c r="O22" s="34">
        <f t="shared" si="1"/>
        <v>256.66666666666669</v>
      </c>
      <c r="P22" s="55">
        <v>17</v>
      </c>
      <c r="Q22" s="33">
        <f t="shared" si="19"/>
        <v>3.2759999999999998</v>
      </c>
      <c r="R22" s="33">
        <f t="shared" si="25"/>
        <v>55.691999999999979</v>
      </c>
      <c r="S22" s="33">
        <f t="shared" si="26"/>
        <v>31.187519999999992</v>
      </c>
      <c r="T22" s="33">
        <f t="shared" si="2"/>
        <v>9.630160745898932</v>
      </c>
      <c r="U22" s="33">
        <f t="shared" si="20"/>
        <v>70</v>
      </c>
      <c r="V22" s="33">
        <f t="shared" si="3"/>
        <v>5.666666666666667</v>
      </c>
      <c r="W22" s="33">
        <v>0</v>
      </c>
      <c r="X22" s="33">
        <f t="shared" si="4"/>
        <v>348.53523841021843</v>
      </c>
      <c r="Y22" s="38">
        <f t="shared" si="5"/>
        <v>91.86857174355174</v>
      </c>
      <c r="AA22" s="71">
        <v>17</v>
      </c>
      <c r="AB22" s="33">
        <f t="shared" si="6"/>
        <v>0</v>
      </c>
      <c r="AC22" s="308">
        <f t="shared" si="7"/>
        <v>0</v>
      </c>
      <c r="AD22" s="101">
        <f t="shared" si="8"/>
        <v>0</v>
      </c>
      <c r="AE22" s="101">
        <f t="shared" si="9"/>
        <v>0</v>
      </c>
      <c r="AF22" s="197">
        <f t="shared" si="28"/>
        <v>0</v>
      </c>
      <c r="AG22" s="197">
        <f t="shared" si="29"/>
        <v>0</v>
      </c>
      <c r="AH22" s="197">
        <f t="shared" si="30"/>
        <v>0</v>
      </c>
      <c r="AI22" s="202">
        <f t="shared" si="31"/>
        <v>0</v>
      </c>
      <c r="AK22" s="71">
        <v>17</v>
      </c>
      <c r="AL22" s="33">
        <f t="shared" si="10"/>
        <v>0</v>
      </c>
      <c r="AM22" s="33">
        <f t="shared" si="11"/>
        <v>0</v>
      </c>
      <c r="AN22" s="33">
        <f t="shared" si="12"/>
        <v>0</v>
      </c>
      <c r="AO22" s="33">
        <f t="shared" si="13"/>
        <v>0</v>
      </c>
      <c r="AP22" s="33">
        <f t="shared" si="14"/>
        <v>0</v>
      </c>
      <c r="AQ22" s="197">
        <f t="shared" si="15"/>
        <v>0</v>
      </c>
      <c r="AR22" s="197">
        <f t="shared" si="16"/>
        <v>0</v>
      </c>
      <c r="AS22" s="197">
        <f t="shared" si="17"/>
        <v>0</v>
      </c>
      <c r="AT22" s="197">
        <f t="shared" si="18"/>
        <v>0</v>
      </c>
      <c r="AU22" s="33"/>
      <c r="AV22" s="33"/>
      <c r="AW22" s="33"/>
      <c r="AX22" s="33"/>
      <c r="AY22" s="167">
        <f t="shared" si="27"/>
        <v>0</v>
      </c>
    </row>
    <row r="23" spans="2:51">
      <c r="B23" s="387" t="s">
        <v>142</v>
      </c>
      <c r="C23" s="388"/>
      <c r="D23" s="388"/>
      <c r="E23" s="388"/>
      <c r="F23" s="388"/>
      <c r="G23" s="389"/>
      <c r="I23" s="55">
        <v>18</v>
      </c>
      <c r="J23" s="33">
        <f t="shared" si="21"/>
        <v>0</v>
      </c>
      <c r="K23" s="33">
        <f t="shared" si="22"/>
        <v>0</v>
      </c>
      <c r="L23" s="33">
        <f t="shared" si="23"/>
        <v>70</v>
      </c>
      <c r="M23" s="33">
        <f t="shared" si="24"/>
        <v>0</v>
      </c>
      <c r="N23" s="33">
        <f t="shared" si="0"/>
        <v>0</v>
      </c>
      <c r="O23" s="34">
        <f t="shared" si="1"/>
        <v>256.66666666666669</v>
      </c>
      <c r="P23" s="55">
        <v>18</v>
      </c>
      <c r="Q23" s="33">
        <f t="shared" si="19"/>
        <v>3.2759999999999998</v>
      </c>
      <c r="R23" s="33">
        <f t="shared" si="25"/>
        <v>58.967999999999975</v>
      </c>
      <c r="S23" s="33">
        <f t="shared" si="26"/>
        <v>33.022079999999988</v>
      </c>
      <c r="T23" s="33">
        <f t="shared" si="2"/>
        <v>10.12902527833246</v>
      </c>
      <c r="U23" s="33">
        <f t="shared" si="20"/>
        <v>70</v>
      </c>
      <c r="V23" s="33">
        <f t="shared" si="3"/>
        <v>6</v>
      </c>
      <c r="W23" s="33">
        <v>0</v>
      </c>
      <c r="X23" s="33">
        <f t="shared" si="4"/>
        <v>353.82150835976239</v>
      </c>
      <c r="Y23" s="38">
        <f t="shared" si="5"/>
        <v>97.154841693095705</v>
      </c>
      <c r="AA23" s="71">
        <v>18</v>
      </c>
      <c r="AB23" s="33">
        <f t="shared" si="6"/>
        <v>0</v>
      </c>
      <c r="AC23" s="308">
        <f t="shared" si="7"/>
        <v>0</v>
      </c>
      <c r="AD23" s="101">
        <f t="shared" si="8"/>
        <v>0</v>
      </c>
      <c r="AE23" s="101">
        <f t="shared" si="9"/>
        <v>0</v>
      </c>
      <c r="AF23" s="197">
        <f t="shared" si="28"/>
        <v>0</v>
      </c>
      <c r="AG23" s="197">
        <f t="shared" si="29"/>
        <v>0</v>
      </c>
      <c r="AH23" s="197">
        <f t="shared" si="30"/>
        <v>0</v>
      </c>
      <c r="AI23" s="202">
        <f t="shared" si="31"/>
        <v>0</v>
      </c>
      <c r="AK23" s="71">
        <v>18</v>
      </c>
      <c r="AL23" s="33">
        <f t="shared" si="10"/>
        <v>0</v>
      </c>
      <c r="AM23" s="33">
        <f t="shared" si="11"/>
        <v>0</v>
      </c>
      <c r="AN23" s="33">
        <f t="shared" si="12"/>
        <v>0</v>
      </c>
      <c r="AO23" s="33">
        <f t="shared" si="13"/>
        <v>0</v>
      </c>
      <c r="AP23" s="33">
        <f t="shared" si="14"/>
        <v>0</v>
      </c>
      <c r="AQ23" s="197">
        <f t="shared" si="15"/>
        <v>0</v>
      </c>
      <c r="AR23" s="197">
        <f t="shared" si="16"/>
        <v>0</v>
      </c>
      <c r="AS23" s="197">
        <f t="shared" si="17"/>
        <v>0</v>
      </c>
      <c r="AT23" s="197">
        <f t="shared" si="18"/>
        <v>0</v>
      </c>
      <c r="AU23" s="33"/>
      <c r="AV23" s="33"/>
      <c r="AW23" s="33"/>
      <c r="AX23" s="33"/>
      <c r="AY23" s="167">
        <f t="shared" si="27"/>
        <v>0</v>
      </c>
    </row>
    <row r="24" spans="2:51">
      <c r="B24" s="47" t="s">
        <v>114</v>
      </c>
      <c r="C24" s="48" t="s">
        <v>115</v>
      </c>
      <c r="D24" s="48" t="s">
        <v>83</v>
      </c>
      <c r="E24" s="48" t="s">
        <v>117</v>
      </c>
      <c r="F24" s="48" t="s">
        <v>116</v>
      </c>
      <c r="G24" s="49" t="s">
        <v>141</v>
      </c>
      <c r="I24" s="55">
        <v>19</v>
      </c>
      <c r="J24" s="33">
        <f t="shared" si="21"/>
        <v>0</v>
      </c>
      <c r="K24" s="33">
        <f t="shared" si="22"/>
        <v>0</v>
      </c>
      <c r="L24" s="33">
        <f t="shared" si="23"/>
        <v>70</v>
      </c>
      <c r="M24" s="33">
        <f t="shared" si="24"/>
        <v>0</v>
      </c>
      <c r="N24" s="33">
        <f t="shared" si="0"/>
        <v>0</v>
      </c>
      <c r="O24" s="34">
        <f t="shared" si="1"/>
        <v>256.66666666666669</v>
      </c>
      <c r="P24" s="55">
        <v>19</v>
      </c>
      <c r="Q24" s="33">
        <f t="shared" si="19"/>
        <v>3.2759999999999998</v>
      </c>
      <c r="R24" s="33">
        <f t="shared" si="25"/>
        <v>62.243999999999971</v>
      </c>
      <c r="S24" s="33">
        <f t="shared" si="26"/>
        <v>34.856639999999985</v>
      </c>
      <c r="T24" s="33">
        <f t="shared" si="2"/>
        <v>10.624672481400918</v>
      </c>
      <c r="U24" s="33">
        <f t="shared" si="20"/>
        <v>70</v>
      </c>
      <c r="V24" s="33">
        <f t="shared" si="3"/>
        <v>6.333333333333333</v>
      </c>
      <c r="W24" s="33">
        <v>0</v>
      </c>
      <c r="X24" s="33">
        <f t="shared" si="4"/>
        <v>359.1021747939954</v>
      </c>
      <c r="Y24" s="38">
        <f t="shared" si="5"/>
        <v>102.43550812732872</v>
      </c>
      <c r="AA24" s="71">
        <v>19</v>
      </c>
      <c r="AB24" s="33">
        <f t="shared" si="6"/>
        <v>0</v>
      </c>
      <c r="AC24" s="308">
        <f t="shared" si="7"/>
        <v>0</v>
      </c>
      <c r="AD24" s="101">
        <f t="shared" si="8"/>
        <v>0</v>
      </c>
      <c r="AE24" s="101">
        <f t="shared" si="9"/>
        <v>0</v>
      </c>
      <c r="AF24" s="197">
        <f t="shared" si="28"/>
        <v>0</v>
      </c>
      <c r="AG24" s="197">
        <f t="shared" si="29"/>
        <v>0</v>
      </c>
      <c r="AH24" s="197">
        <f t="shared" si="30"/>
        <v>0</v>
      </c>
      <c r="AI24" s="202">
        <f t="shared" si="31"/>
        <v>0</v>
      </c>
      <c r="AK24" s="71">
        <v>19</v>
      </c>
      <c r="AL24" s="33">
        <f t="shared" si="10"/>
        <v>0</v>
      </c>
      <c r="AM24" s="33">
        <f t="shared" si="11"/>
        <v>0</v>
      </c>
      <c r="AN24" s="33">
        <f t="shared" si="12"/>
        <v>0</v>
      </c>
      <c r="AO24" s="33">
        <f t="shared" si="13"/>
        <v>0</v>
      </c>
      <c r="AP24" s="33">
        <f t="shared" si="14"/>
        <v>0</v>
      </c>
      <c r="AQ24" s="197">
        <f t="shared" si="15"/>
        <v>0</v>
      </c>
      <c r="AR24" s="197">
        <f t="shared" si="16"/>
        <v>0</v>
      </c>
      <c r="AS24" s="197">
        <f t="shared" si="17"/>
        <v>0</v>
      </c>
      <c r="AT24" s="197">
        <f t="shared" si="18"/>
        <v>0</v>
      </c>
      <c r="AU24" s="33"/>
      <c r="AV24" s="33"/>
      <c r="AW24" s="33"/>
      <c r="AX24" s="33"/>
      <c r="AY24" s="167">
        <f t="shared" si="27"/>
        <v>0</v>
      </c>
    </row>
    <row r="25" spans="2:51">
      <c r="B25" s="45">
        <v>0</v>
      </c>
      <c r="C25" s="337">
        <v>20</v>
      </c>
      <c r="D25" s="139">
        <f>D26+0</f>
        <v>42</v>
      </c>
      <c r="E25" s="143">
        <f t="shared" ref="E25:E78" si="32">$F$20</f>
        <v>1.56</v>
      </c>
      <c r="F25" s="46">
        <f t="shared" ref="F25:F42" si="33">D25*E25</f>
        <v>65.52</v>
      </c>
      <c r="G25" s="50">
        <f>F25/(C25-B25)</f>
        <v>3.2759999999999998</v>
      </c>
      <c r="I25" s="55">
        <v>20</v>
      </c>
      <c r="J25" s="33">
        <f t="shared" si="21"/>
        <v>0</v>
      </c>
      <c r="K25" s="33">
        <f t="shared" si="22"/>
        <v>0</v>
      </c>
      <c r="L25" s="33">
        <f t="shared" si="23"/>
        <v>70</v>
      </c>
      <c r="M25" s="33">
        <f t="shared" si="24"/>
        <v>0</v>
      </c>
      <c r="N25" s="33">
        <f t="shared" si="0"/>
        <v>0</v>
      </c>
      <c r="O25" s="34">
        <f t="shared" si="1"/>
        <v>256.66666666666669</v>
      </c>
      <c r="P25" s="55">
        <v>20</v>
      </c>
      <c r="Q25" s="33">
        <f t="shared" si="19"/>
        <v>3.2759999999999998</v>
      </c>
      <c r="R25" s="33">
        <f t="shared" si="25"/>
        <v>65.519999999999968</v>
      </c>
      <c r="S25" s="33">
        <f t="shared" si="26"/>
        <v>36.691199999999988</v>
      </c>
      <c r="T25" s="33">
        <f t="shared" si="2"/>
        <v>11.117290999341366</v>
      </c>
      <c r="U25" s="33">
        <f t="shared" si="20"/>
        <v>70</v>
      </c>
      <c r="V25" s="33">
        <f t="shared" si="3"/>
        <v>6.666666666666667</v>
      </c>
      <c r="W25" s="33">
        <v>0</v>
      </c>
      <c r="X25" s="33">
        <f t="shared" si="4"/>
        <v>364.37756626829736</v>
      </c>
      <c r="Y25" s="38">
        <f t="shared" si="5"/>
        <v>107.71089960163067</v>
      </c>
      <c r="AA25" s="71">
        <v>20</v>
      </c>
      <c r="AB25" s="33">
        <f t="shared" si="6"/>
        <v>0</v>
      </c>
      <c r="AC25" s="308">
        <f t="shared" si="7"/>
        <v>0</v>
      </c>
      <c r="AD25" s="101">
        <f t="shared" si="8"/>
        <v>0</v>
      </c>
      <c r="AE25" s="101">
        <f t="shared" si="9"/>
        <v>0</v>
      </c>
      <c r="AF25" s="197">
        <f>IF(OR(AA25&lt;=$F$18,AA25&lt;=30),EXP(-LN(2)/$D$104)*AF24+((1-EXP(-LN(2)/$D$104))/(LN(2)/$D$104))*$AB25*AC25*0.475*$F$19*44/12,)</f>
        <v>0</v>
      </c>
      <c r="AG25" s="197">
        <f>IF(OR(AA25&lt;=$F$18,AA25&lt;=30),EXP(-LN(2)/$D$106)*AG24+((1-EXP(-LN(2)/$D$106))/(LN(2)/$D$106))*$AB25*AD25*0.475*$F$19*44/12,)</f>
        <v>0</v>
      </c>
      <c r="AH25" s="197">
        <f>IF(OR(AA25&lt;=$F$18,AA25&lt;=30),EXP(-LN(2)/$D$105)*AH24+((1-EXP(-LN(2)/$D$105))/(LN(2)/$D$105))*$AB25*AE25*0.475*$F$19*44/12,)</f>
        <v>0</v>
      </c>
      <c r="AI25" s="202">
        <f>IF(OR(AA25&lt;=$F$18,AA25&lt;=30),SUM(AF25:AH25),)</f>
        <v>0</v>
      </c>
      <c r="AK25" s="71">
        <v>20</v>
      </c>
      <c r="AL25" s="33">
        <f t="shared" si="10"/>
        <v>0</v>
      </c>
      <c r="AM25" s="33">
        <f t="shared" si="11"/>
        <v>0</v>
      </c>
      <c r="AN25" s="33">
        <f t="shared" si="12"/>
        <v>0</v>
      </c>
      <c r="AO25" s="33">
        <f t="shared" si="13"/>
        <v>0</v>
      </c>
      <c r="AP25" s="33">
        <f t="shared" si="14"/>
        <v>0</v>
      </c>
      <c r="AQ25" s="197">
        <f t="shared" si="15"/>
        <v>0</v>
      </c>
      <c r="AR25" s="197">
        <f t="shared" si="16"/>
        <v>0</v>
      </c>
      <c r="AS25" s="197">
        <f t="shared" si="17"/>
        <v>0</v>
      </c>
      <c r="AT25" s="197">
        <f t="shared" si="18"/>
        <v>0</v>
      </c>
      <c r="AU25" s="33"/>
      <c r="AV25" s="33"/>
      <c r="AW25" s="33"/>
      <c r="AX25" s="33"/>
      <c r="AY25" s="167">
        <f t="shared" si="27"/>
        <v>0</v>
      </c>
    </row>
    <row r="26" spans="2:51">
      <c r="B26" s="40">
        <f t="shared" ref="B26:B78" si="34">C25</f>
        <v>20</v>
      </c>
      <c r="C26" s="41">
        <f>B26+1</f>
        <v>21</v>
      </c>
      <c r="D26" s="140">
        <v>42</v>
      </c>
      <c r="E26" s="144">
        <f t="shared" si="32"/>
        <v>1.56</v>
      </c>
      <c r="F26" s="42">
        <f t="shared" si="33"/>
        <v>65.52</v>
      </c>
      <c r="G26" s="145">
        <f>(F26-F25)/(C26-B26)</f>
        <v>0</v>
      </c>
      <c r="I26" s="55">
        <v>21</v>
      </c>
      <c r="J26" s="33">
        <f t="shared" si="21"/>
        <v>0</v>
      </c>
      <c r="K26" s="33">
        <f t="shared" si="22"/>
        <v>0</v>
      </c>
      <c r="L26" s="33">
        <f t="shared" si="23"/>
        <v>70</v>
      </c>
      <c r="M26" s="33">
        <f t="shared" si="24"/>
        <v>0</v>
      </c>
      <c r="N26" s="33">
        <f t="shared" si="0"/>
        <v>0</v>
      </c>
      <c r="O26" s="34">
        <f t="shared" si="1"/>
        <v>256.66666666666669</v>
      </c>
      <c r="P26" s="55">
        <v>21</v>
      </c>
      <c r="Q26" s="33">
        <f t="shared" si="19"/>
        <v>0</v>
      </c>
      <c r="R26" s="33">
        <f t="shared" si="25"/>
        <v>65.519999999999968</v>
      </c>
      <c r="S26" s="33">
        <f t="shared" si="26"/>
        <v>36.691199999999988</v>
      </c>
      <c r="T26" s="33">
        <f t="shared" si="2"/>
        <v>11.117290999341366</v>
      </c>
      <c r="U26" s="33">
        <f t="shared" si="20"/>
        <v>70</v>
      </c>
      <c r="V26" s="33">
        <f t="shared" si="3"/>
        <v>7</v>
      </c>
      <c r="W26" s="33">
        <v>0</v>
      </c>
      <c r="X26" s="33">
        <f t="shared" si="4"/>
        <v>365.59978849051953</v>
      </c>
      <c r="Y26" s="38">
        <f t="shared" si="5"/>
        <v>108.93312182385284</v>
      </c>
      <c r="AA26" s="71">
        <v>21</v>
      </c>
      <c r="AB26" s="33">
        <f t="shared" si="6"/>
        <v>0</v>
      </c>
      <c r="AC26" s="308">
        <f t="shared" si="7"/>
        <v>0</v>
      </c>
      <c r="AD26" s="101">
        <f t="shared" si="8"/>
        <v>0</v>
      </c>
      <c r="AE26" s="101">
        <f t="shared" si="9"/>
        <v>0</v>
      </c>
      <c r="AF26" s="197">
        <f>IF(OR(AA26&lt;=$F$18,AA26&lt;=30),EXP(-LN(2)/$D$104)*AF25+((1-EXP(-LN(2)/$D$104))/(LN(2)/$D$104))*$AB26*AC26*0.475*$F$19*44/12,)</f>
        <v>0</v>
      </c>
      <c r="AG26" s="197">
        <f>IF(OR(AA26&lt;=$F$18,AA26&lt;=30),EXP(-LN(2)/$D$106)*AG25+((1-EXP(-LN(2)/$D$106))/(LN(2)/$D$106))*$AB26*AD26*0.475*$F$19*44/12,)</f>
        <v>0</v>
      </c>
      <c r="AH26" s="197">
        <f>IF(OR(AA26&lt;=$F$18,AA26&lt;=30),EXP(-LN(2)/$D$105)*AH25+((1-EXP(-LN(2)/$D$105))/(LN(2)/$D$105))*$AB26*AE26*0.475*$F$19*44/12,)</f>
        <v>0</v>
      </c>
      <c r="AI26" s="202">
        <f>IF(OR(AA26&lt;=$F$18,AA26&lt;=30),SUM(AF26:AH26),)</f>
        <v>0</v>
      </c>
      <c r="AK26" s="71">
        <v>21</v>
      </c>
      <c r="AL26" s="33">
        <f t="shared" si="10"/>
        <v>0</v>
      </c>
      <c r="AM26" s="33">
        <f t="shared" si="11"/>
        <v>0</v>
      </c>
      <c r="AN26" s="33">
        <f t="shared" si="12"/>
        <v>0</v>
      </c>
      <c r="AO26" s="33">
        <f t="shared" si="13"/>
        <v>0</v>
      </c>
      <c r="AP26" s="33">
        <f t="shared" si="14"/>
        <v>1</v>
      </c>
      <c r="AQ26" s="197">
        <f t="shared" si="15"/>
        <v>0</v>
      </c>
      <c r="AR26" s="197">
        <f t="shared" si="16"/>
        <v>0</v>
      </c>
      <c r="AS26" s="197">
        <f t="shared" si="17"/>
        <v>0</v>
      </c>
      <c r="AT26" s="197">
        <f t="shared" si="18"/>
        <v>0</v>
      </c>
      <c r="AU26" s="33"/>
      <c r="AV26" s="33"/>
      <c r="AW26" s="33"/>
      <c r="AX26" s="33"/>
      <c r="AY26" s="167">
        <f t="shared" si="27"/>
        <v>0</v>
      </c>
    </row>
    <row r="27" spans="2:51">
      <c r="B27" s="40">
        <f t="shared" si="34"/>
        <v>21</v>
      </c>
      <c r="C27" s="155">
        <f>C25+5</f>
        <v>25</v>
      </c>
      <c r="D27" s="140">
        <f>D28+8</f>
        <v>70</v>
      </c>
      <c r="E27" s="144">
        <f t="shared" si="32"/>
        <v>1.56</v>
      </c>
      <c r="F27" s="42">
        <f t="shared" si="33"/>
        <v>109.2</v>
      </c>
      <c r="G27" s="51">
        <f t="shared" ref="G27:G42" si="35">(F27-F26)/(C27-B27)</f>
        <v>10.920000000000002</v>
      </c>
      <c r="I27" s="55">
        <v>22</v>
      </c>
      <c r="J27" s="33">
        <f t="shared" si="21"/>
        <v>0</v>
      </c>
      <c r="K27" s="33">
        <f t="shared" si="22"/>
        <v>0</v>
      </c>
      <c r="L27" s="33">
        <f t="shared" si="23"/>
        <v>70</v>
      </c>
      <c r="M27" s="33">
        <f t="shared" si="24"/>
        <v>0</v>
      </c>
      <c r="N27" s="33">
        <f t="shared" si="0"/>
        <v>0</v>
      </c>
      <c r="O27" s="34">
        <f t="shared" si="1"/>
        <v>256.66666666666669</v>
      </c>
      <c r="P27" s="55">
        <v>22</v>
      </c>
      <c r="Q27" s="33">
        <f t="shared" si="19"/>
        <v>10.920000000000002</v>
      </c>
      <c r="R27" s="33">
        <f t="shared" si="25"/>
        <v>76.439999999999969</v>
      </c>
      <c r="S27" s="33">
        <f t="shared" si="26"/>
        <v>42.806399999999989</v>
      </c>
      <c r="T27" s="33">
        <f t="shared" si="2"/>
        <v>12.739522698823425</v>
      </c>
      <c r="U27" s="33">
        <f t="shared" si="20"/>
        <v>70</v>
      </c>
      <c r="V27" s="33">
        <f t="shared" si="3"/>
        <v>7.333333333333333</v>
      </c>
      <c r="W27" s="33">
        <v>0</v>
      </c>
      <c r="X27" s="33">
        <f t="shared" si="4"/>
        <v>380.29803758933963</v>
      </c>
      <c r="Y27" s="38">
        <f t="shared" si="5"/>
        <v>123.63137092267294</v>
      </c>
      <c r="AA27" s="71">
        <v>22</v>
      </c>
      <c r="AB27" s="33">
        <f t="shared" si="6"/>
        <v>0</v>
      </c>
      <c r="AC27" s="308">
        <f t="shared" si="7"/>
        <v>0</v>
      </c>
      <c r="AD27" s="101">
        <f t="shared" si="8"/>
        <v>0</v>
      </c>
      <c r="AE27" s="101">
        <f t="shared" si="9"/>
        <v>0</v>
      </c>
      <c r="AF27" s="197">
        <f t="shared" ref="AF27:AF90" si="36">IF(OR(AA27&lt;=$F$18,AA27&lt;=30),EXP(-LN(2)/$D$104)*AF26+((1-EXP(-LN(2)/$D$104))/(LN(2)/$D$104))*$AB27*AC27*0.475*$F$19*44/12,)</f>
        <v>0</v>
      </c>
      <c r="AG27" s="197">
        <f t="shared" ref="AG27:AG90" si="37">IF(OR(AA27&lt;=$F$18,AA27&lt;=30),EXP(-LN(2)/$D$106)*AG26+((1-EXP(-LN(2)/$D$106))/(LN(2)/$D$106))*$AB27*AD27*0.475*$F$19*44/12,)</f>
        <v>0</v>
      </c>
      <c r="AH27" s="197">
        <f t="shared" ref="AH27:AH90" si="38">IF(OR(AA27&lt;=$F$18,AA27&lt;=30),EXP(-LN(2)/$D$105)*AH26+((1-EXP(-LN(2)/$D$105))/(LN(2)/$D$105))*$AB27*AE27*0.475*$F$19*44/12,)</f>
        <v>0</v>
      </c>
      <c r="AI27" s="202">
        <f t="shared" ref="AI27:AI90" si="39">IF(OR(AA27&lt;=$F$18,AA27&lt;=30),SUM(AF27:AH27),)</f>
        <v>0</v>
      </c>
      <c r="AK27" s="71">
        <v>22</v>
      </c>
      <c r="AL27" s="33">
        <f t="shared" si="10"/>
        <v>0</v>
      </c>
      <c r="AM27" s="33">
        <f t="shared" si="11"/>
        <v>0</v>
      </c>
      <c r="AN27" s="33">
        <f t="shared" si="12"/>
        <v>0</v>
      </c>
      <c r="AO27" s="33">
        <f t="shared" si="13"/>
        <v>0</v>
      </c>
      <c r="AP27" s="33">
        <f t="shared" si="14"/>
        <v>0</v>
      </c>
      <c r="AQ27" s="197">
        <f t="shared" si="15"/>
        <v>0</v>
      </c>
      <c r="AR27" s="197">
        <f t="shared" si="16"/>
        <v>0</v>
      </c>
      <c r="AS27" s="197">
        <f t="shared" si="17"/>
        <v>0</v>
      </c>
      <c r="AT27" s="197">
        <f t="shared" si="18"/>
        <v>0</v>
      </c>
      <c r="AU27" s="33"/>
      <c r="AV27" s="33"/>
      <c r="AW27" s="33"/>
      <c r="AX27" s="33"/>
      <c r="AY27" s="167">
        <f t="shared" si="27"/>
        <v>0</v>
      </c>
    </row>
    <row r="28" spans="2:51">
      <c r="B28" s="40">
        <f t="shared" si="34"/>
        <v>25</v>
      </c>
      <c r="C28" s="155">
        <f>C26+5</f>
        <v>26</v>
      </c>
      <c r="D28" s="140">
        <v>62</v>
      </c>
      <c r="E28" s="144">
        <f t="shared" si="32"/>
        <v>1.56</v>
      </c>
      <c r="F28" s="42">
        <f t="shared" si="33"/>
        <v>96.72</v>
      </c>
      <c r="G28" s="51">
        <f t="shared" si="35"/>
        <v>-12.480000000000004</v>
      </c>
      <c r="I28" s="55">
        <v>23</v>
      </c>
      <c r="J28" s="33">
        <f t="shared" si="21"/>
        <v>0</v>
      </c>
      <c r="K28" s="33">
        <f t="shared" si="22"/>
        <v>0</v>
      </c>
      <c r="L28" s="33">
        <f t="shared" si="23"/>
        <v>70</v>
      </c>
      <c r="M28" s="33">
        <f t="shared" si="24"/>
        <v>0</v>
      </c>
      <c r="N28" s="33">
        <f t="shared" si="0"/>
        <v>0</v>
      </c>
      <c r="O28" s="34">
        <f t="shared" si="1"/>
        <v>256.66666666666669</v>
      </c>
      <c r="P28" s="55">
        <v>23</v>
      </c>
      <c r="Q28" s="33">
        <f t="shared" si="19"/>
        <v>10.920000000000002</v>
      </c>
      <c r="R28" s="33">
        <f t="shared" si="25"/>
        <v>87.359999999999971</v>
      </c>
      <c r="S28" s="33">
        <f t="shared" si="26"/>
        <v>48.921599999999991</v>
      </c>
      <c r="T28" s="33">
        <f t="shared" si="2"/>
        <v>14.334905731333867</v>
      </c>
      <c r="U28" s="33">
        <f t="shared" si="20"/>
        <v>70</v>
      </c>
      <c r="V28" s="33">
        <f t="shared" si="3"/>
        <v>7.666666666666667</v>
      </c>
      <c r="W28" s="33">
        <v>0</v>
      </c>
      <c r="X28" s="33">
        <f t="shared" si="4"/>
        <v>394.94952525985087</v>
      </c>
      <c r="Y28" s="38">
        <f t="shared" si="5"/>
        <v>138.28285859318419</v>
      </c>
      <c r="AA28" s="71">
        <v>23</v>
      </c>
      <c r="AB28" s="33">
        <f t="shared" si="6"/>
        <v>0</v>
      </c>
      <c r="AC28" s="308">
        <f t="shared" si="7"/>
        <v>0</v>
      </c>
      <c r="AD28" s="101">
        <f t="shared" si="8"/>
        <v>0</v>
      </c>
      <c r="AE28" s="101">
        <f t="shared" si="9"/>
        <v>0</v>
      </c>
      <c r="AF28" s="197">
        <f t="shared" si="36"/>
        <v>0</v>
      </c>
      <c r="AG28" s="197">
        <f t="shared" si="37"/>
        <v>0</v>
      </c>
      <c r="AH28" s="197">
        <f t="shared" si="38"/>
        <v>0</v>
      </c>
      <c r="AI28" s="202">
        <f t="shared" si="39"/>
        <v>0</v>
      </c>
      <c r="AK28" s="71">
        <v>23</v>
      </c>
      <c r="AL28" s="33">
        <f t="shared" si="10"/>
        <v>0</v>
      </c>
      <c r="AM28" s="33">
        <f t="shared" si="11"/>
        <v>0</v>
      </c>
      <c r="AN28" s="33">
        <f t="shared" si="12"/>
        <v>0</v>
      </c>
      <c r="AO28" s="33">
        <f t="shared" si="13"/>
        <v>0</v>
      </c>
      <c r="AP28" s="33">
        <f t="shared" si="14"/>
        <v>0</v>
      </c>
      <c r="AQ28" s="197">
        <f t="shared" si="15"/>
        <v>0</v>
      </c>
      <c r="AR28" s="197">
        <f t="shared" si="16"/>
        <v>0</v>
      </c>
      <c r="AS28" s="197">
        <f t="shared" si="17"/>
        <v>0</v>
      </c>
      <c r="AT28" s="197">
        <f t="shared" si="18"/>
        <v>0</v>
      </c>
      <c r="AU28" s="33"/>
      <c r="AV28" s="33"/>
      <c r="AW28" s="33"/>
      <c r="AX28" s="33"/>
      <c r="AY28" s="167">
        <f t="shared" si="27"/>
        <v>0</v>
      </c>
    </row>
    <row r="29" spans="2:51">
      <c r="B29" s="40">
        <f t="shared" si="34"/>
        <v>26</v>
      </c>
      <c r="C29" s="155">
        <f t="shared" ref="C29:C78" si="40">C27+5</f>
        <v>30</v>
      </c>
      <c r="D29" s="140">
        <f>D30+21</f>
        <v>97</v>
      </c>
      <c r="E29" s="144">
        <f t="shared" si="32"/>
        <v>1.56</v>
      </c>
      <c r="F29" s="42">
        <f t="shared" si="33"/>
        <v>151.32</v>
      </c>
      <c r="G29" s="51">
        <f t="shared" si="35"/>
        <v>13.649999999999999</v>
      </c>
      <c r="I29" s="55">
        <v>24</v>
      </c>
      <c r="J29" s="33">
        <f t="shared" si="21"/>
        <v>0</v>
      </c>
      <c r="K29" s="33">
        <f t="shared" si="22"/>
        <v>0</v>
      </c>
      <c r="L29" s="33">
        <f t="shared" si="23"/>
        <v>70</v>
      </c>
      <c r="M29" s="33">
        <f t="shared" si="24"/>
        <v>0</v>
      </c>
      <c r="N29" s="33">
        <f t="shared" si="0"/>
        <v>0</v>
      </c>
      <c r="O29" s="34">
        <f t="shared" si="1"/>
        <v>256.66666666666669</v>
      </c>
      <c r="P29" s="55">
        <v>24</v>
      </c>
      <c r="Q29" s="33">
        <f t="shared" si="19"/>
        <v>10.920000000000002</v>
      </c>
      <c r="R29" s="33">
        <f t="shared" si="25"/>
        <v>98.279999999999973</v>
      </c>
      <c r="S29" s="33">
        <f t="shared" si="26"/>
        <v>55.036799999999992</v>
      </c>
      <c r="T29" s="33">
        <f t="shared" si="2"/>
        <v>15.907180538864338</v>
      </c>
      <c r="U29" s="33">
        <f t="shared" si="20"/>
        <v>70</v>
      </c>
      <c r="V29" s="33">
        <f t="shared" si="3"/>
        <v>8</v>
      </c>
      <c r="W29" s="33">
        <v>0</v>
      </c>
      <c r="X29" s="33">
        <f t="shared" si="4"/>
        <v>409.56076610518875</v>
      </c>
      <c r="Y29" s="38">
        <f t="shared" si="5"/>
        <v>152.89409943852206</v>
      </c>
      <c r="AA29" s="71">
        <v>24</v>
      </c>
      <c r="AB29" s="33">
        <f t="shared" si="6"/>
        <v>0</v>
      </c>
      <c r="AC29" s="308">
        <f t="shared" si="7"/>
        <v>0</v>
      </c>
      <c r="AD29" s="101">
        <f t="shared" si="8"/>
        <v>0</v>
      </c>
      <c r="AE29" s="101">
        <f t="shared" si="9"/>
        <v>0</v>
      </c>
      <c r="AF29" s="197">
        <f t="shared" si="36"/>
        <v>0</v>
      </c>
      <c r="AG29" s="197">
        <f t="shared" si="37"/>
        <v>0</v>
      </c>
      <c r="AH29" s="197">
        <f t="shared" si="38"/>
        <v>0</v>
      </c>
      <c r="AI29" s="202">
        <f t="shared" si="39"/>
        <v>0</v>
      </c>
      <c r="AK29" s="71">
        <v>24</v>
      </c>
      <c r="AL29" s="33">
        <f t="shared" si="10"/>
        <v>0</v>
      </c>
      <c r="AM29" s="33">
        <f t="shared" si="11"/>
        <v>0</v>
      </c>
      <c r="AN29" s="33">
        <f t="shared" si="12"/>
        <v>0</v>
      </c>
      <c r="AO29" s="33">
        <f t="shared" si="13"/>
        <v>0</v>
      </c>
      <c r="AP29" s="33">
        <f t="shared" si="14"/>
        <v>0</v>
      </c>
      <c r="AQ29" s="197">
        <f t="shared" si="15"/>
        <v>0</v>
      </c>
      <c r="AR29" s="197">
        <f t="shared" si="16"/>
        <v>0</v>
      </c>
      <c r="AS29" s="197">
        <f t="shared" si="17"/>
        <v>0</v>
      </c>
      <c r="AT29" s="197">
        <f t="shared" si="18"/>
        <v>0</v>
      </c>
      <c r="AU29" s="33"/>
      <c r="AV29" s="33"/>
      <c r="AW29" s="33"/>
      <c r="AX29" s="33"/>
      <c r="AY29" s="167">
        <f t="shared" si="27"/>
        <v>0</v>
      </c>
    </row>
    <row r="30" spans="2:51">
      <c r="B30" s="40">
        <f t="shared" si="34"/>
        <v>30</v>
      </c>
      <c r="C30" s="155">
        <f t="shared" si="40"/>
        <v>31</v>
      </c>
      <c r="D30" s="140">
        <v>76</v>
      </c>
      <c r="E30" s="144">
        <f t="shared" si="32"/>
        <v>1.56</v>
      </c>
      <c r="F30" s="42">
        <f t="shared" si="33"/>
        <v>118.56</v>
      </c>
      <c r="G30" s="51">
        <f t="shared" si="35"/>
        <v>-32.759999999999991</v>
      </c>
      <c r="I30" s="55">
        <v>25</v>
      </c>
      <c r="J30" s="33">
        <f t="shared" si="21"/>
        <v>0</v>
      </c>
      <c r="K30" s="33">
        <f t="shared" si="22"/>
        <v>0</v>
      </c>
      <c r="L30" s="33">
        <f t="shared" si="23"/>
        <v>70</v>
      </c>
      <c r="M30" s="33">
        <f t="shared" si="24"/>
        <v>0</v>
      </c>
      <c r="N30" s="33">
        <f t="shared" si="0"/>
        <v>0</v>
      </c>
      <c r="O30" s="34">
        <f t="shared" si="1"/>
        <v>256.66666666666669</v>
      </c>
      <c r="P30" s="55">
        <v>25</v>
      </c>
      <c r="Q30" s="33">
        <f t="shared" si="19"/>
        <v>10.920000000000002</v>
      </c>
      <c r="R30" s="33">
        <f t="shared" si="25"/>
        <v>109.19999999999997</v>
      </c>
      <c r="S30" s="33">
        <f t="shared" si="26"/>
        <v>61.151999999999994</v>
      </c>
      <c r="T30" s="33">
        <f t="shared" si="2"/>
        <v>17.459207591071255</v>
      </c>
      <c r="U30" s="33">
        <f t="shared" si="20"/>
        <v>70</v>
      </c>
      <c r="V30" s="33">
        <f t="shared" si="3"/>
        <v>8.3333333333333339</v>
      </c>
      <c r="W30" s="33">
        <v>0</v>
      </c>
      <c r="X30" s="33">
        <f t="shared" si="4"/>
        <v>424.1367421100046</v>
      </c>
      <c r="Y30" s="38">
        <f t="shared" si="5"/>
        <v>167.47007544333792</v>
      </c>
      <c r="AA30" s="71">
        <v>25</v>
      </c>
      <c r="AB30" s="33">
        <f t="shared" si="6"/>
        <v>0</v>
      </c>
      <c r="AC30" s="308">
        <f>IF(AA30&lt;=$F$18,IFERROR(VLOOKUP($AA30,$B$82:$G$94,3,FALSE),0),)*50%</f>
        <v>0</v>
      </c>
      <c r="AD30" s="101">
        <f t="shared" si="8"/>
        <v>0</v>
      </c>
      <c r="AE30" s="101">
        <f t="shared" si="9"/>
        <v>0</v>
      </c>
      <c r="AF30" s="197">
        <f t="shared" si="36"/>
        <v>0</v>
      </c>
      <c r="AG30" s="197">
        <f t="shared" si="37"/>
        <v>0</v>
      </c>
      <c r="AH30" s="197">
        <f t="shared" si="38"/>
        <v>0</v>
      </c>
      <c r="AI30" s="202">
        <f t="shared" si="39"/>
        <v>0</v>
      </c>
      <c r="AK30" s="71">
        <v>25</v>
      </c>
      <c r="AL30" s="33">
        <f t="shared" si="10"/>
        <v>0</v>
      </c>
      <c r="AM30" s="33">
        <f t="shared" si="11"/>
        <v>0</v>
      </c>
      <c r="AN30" s="33">
        <f t="shared" si="12"/>
        <v>0</v>
      </c>
      <c r="AO30" s="33">
        <f t="shared" si="13"/>
        <v>0</v>
      </c>
      <c r="AP30" s="33">
        <f t="shared" si="14"/>
        <v>0</v>
      </c>
      <c r="AQ30" s="197">
        <f t="shared" si="15"/>
        <v>0</v>
      </c>
      <c r="AR30" s="197">
        <f t="shared" si="16"/>
        <v>0</v>
      </c>
      <c r="AS30" s="197">
        <f t="shared" si="17"/>
        <v>0</v>
      </c>
      <c r="AT30" s="197">
        <f t="shared" si="18"/>
        <v>0</v>
      </c>
      <c r="AU30" s="33"/>
      <c r="AV30" s="33"/>
      <c r="AW30" s="33"/>
      <c r="AX30" s="33"/>
      <c r="AY30" s="167">
        <f t="shared" si="27"/>
        <v>0</v>
      </c>
    </row>
    <row r="31" spans="2:51">
      <c r="B31" s="40">
        <f t="shared" si="34"/>
        <v>31</v>
      </c>
      <c r="C31" s="155">
        <f t="shared" si="40"/>
        <v>35</v>
      </c>
      <c r="D31" s="140">
        <f>D32+21</f>
        <v>116</v>
      </c>
      <c r="E31" s="144">
        <f t="shared" si="32"/>
        <v>1.56</v>
      </c>
      <c r="F31" s="42">
        <f t="shared" si="33"/>
        <v>180.96</v>
      </c>
      <c r="G31" s="51">
        <f t="shared" si="35"/>
        <v>15.600000000000001</v>
      </c>
      <c r="I31" s="55">
        <v>26</v>
      </c>
      <c r="J31" s="33">
        <f t="shared" si="21"/>
        <v>0</v>
      </c>
      <c r="K31" s="33">
        <f t="shared" si="22"/>
        <v>0</v>
      </c>
      <c r="L31" s="33">
        <f t="shared" si="23"/>
        <v>70</v>
      </c>
      <c r="M31" s="33">
        <f t="shared" si="24"/>
        <v>0</v>
      </c>
      <c r="N31" s="33">
        <f t="shared" si="0"/>
        <v>0</v>
      </c>
      <c r="O31" s="34">
        <f t="shared" si="1"/>
        <v>256.66666666666669</v>
      </c>
      <c r="P31" s="55">
        <v>26</v>
      </c>
      <c r="Q31" s="33">
        <f t="shared" si="19"/>
        <v>-12.480000000000004</v>
      </c>
      <c r="R31" s="33">
        <f t="shared" si="25"/>
        <v>96.71999999999997</v>
      </c>
      <c r="S31" s="33">
        <f t="shared" si="26"/>
        <v>54.163199999999989</v>
      </c>
      <c r="T31" s="33">
        <f t="shared" si="2"/>
        <v>15.683868685583285</v>
      </c>
      <c r="U31" s="33">
        <f t="shared" si="20"/>
        <v>70</v>
      </c>
      <c r="V31" s="33">
        <f t="shared" si="3"/>
        <v>8.6666666666666661</v>
      </c>
      <c r="W31" s="33">
        <v>0</v>
      </c>
      <c r="X31" s="33">
        <f t="shared" si="4"/>
        <v>410.09475573850204</v>
      </c>
      <c r="Y31" s="38">
        <f t="shared" si="5"/>
        <v>153.42808907183536</v>
      </c>
      <c r="AA31" s="71">
        <v>26</v>
      </c>
      <c r="AB31" s="33">
        <f t="shared" si="6"/>
        <v>8</v>
      </c>
      <c r="AC31" s="308">
        <f t="shared" ref="AC31:AC94" si="41">IF(AA31&lt;=$F$18,IFERROR(VLOOKUP($AA31,$B$82:$G$94,3,FALSE),0),)*50%</f>
        <v>0</v>
      </c>
      <c r="AD31" s="101">
        <f t="shared" si="8"/>
        <v>0</v>
      </c>
      <c r="AE31" s="101">
        <f t="shared" si="9"/>
        <v>0</v>
      </c>
      <c r="AF31" s="197">
        <f t="shared" si="36"/>
        <v>0</v>
      </c>
      <c r="AG31" s="197">
        <f t="shared" si="37"/>
        <v>0</v>
      </c>
      <c r="AH31" s="197">
        <f t="shared" si="38"/>
        <v>0</v>
      </c>
      <c r="AI31" s="202">
        <f t="shared" si="39"/>
        <v>0</v>
      </c>
      <c r="AK31" s="71">
        <v>26</v>
      </c>
      <c r="AL31" s="33">
        <f t="shared" si="10"/>
        <v>8</v>
      </c>
      <c r="AM31" s="33">
        <f t="shared" si="11"/>
        <v>0</v>
      </c>
      <c r="AN31" s="33">
        <f t="shared" si="12"/>
        <v>0</v>
      </c>
      <c r="AO31" s="33">
        <f t="shared" si="13"/>
        <v>0</v>
      </c>
      <c r="AP31" s="33">
        <f t="shared" si="14"/>
        <v>1</v>
      </c>
      <c r="AQ31" s="197">
        <f t="shared" si="15"/>
        <v>0</v>
      </c>
      <c r="AR31" s="197">
        <f t="shared" si="16"/>
        <v>0</v>
      </c>
      <c r="AS31" s="197">
        <f t="shared" si="17"/>
        <v>0</v>
      </c>
      <c r="AT31" s="197">
        <f t="shared" si="18"/>
        <v>8</v>
      </c>
      <c r="AU31" s="33"/>
      <c r="AV31" s="33"/>
      <c r="AW31" s="33"/>
      <c r="AX31" s="33"/>
      <c r="AY31" s="167">
        <f t="shared" si="27"/>
        <v>3.44</v>
      </c>
    </row>
    <row r="32" spans="2:51">
      <c r="B32" s="40">
        <f t="shared" si="34"/>
        <v>35</v>
      </c>
      <c r="C32" s="155">
        <f t="shared" si="40"/>
        <v>36</v>
      </c>
      <c r="D32" s="140">
        <v>95</v>
      </c>
      <c r="E32" s="144">
        <f t="shared" si="32"/>
        <v>1.56</v>
      </c>
      <c r="F32" s="42">
        <f t="shared" si="33"/>
        <v>148.20000000000002</v>
      </c>
      <c r="G32" s="51">
        <f t="shared" si="35"/>
        <v>-32.759999999999991</v>
      </c>
      <c r="I32" s="55">
        <v>27</v>
      </c>
      <c r="J32" s="33">
        <f t="shared" si="21"/>
        <v>0</v>
      </c>
      <c r="K32" s="33">
        <f t="shared" si="22"/>
        <v>0</v>
      </c>
      <c r="L32" s="33">
        <f t="shared" si="23"/>
        <v>70</v>
      </c>
      <c r="M32" s="33">
        <f t="shared" si="24"/>
        <v>0</v>
      </c>
      <c r="N32" s="33">
        <f t="shared" si="0"/>
        <v>0</v>
      </c>
      <c r="O32" s="34">
        <f t="shared" si="1"/>
        <v>256.66666666666669</v>
      </c>
      <c r="P32" s="55">
        <v>27</v>
      </c>
      <c r="Q32" s="33">
        <f t="shared" si="19"/>
        <v>13.649999999999999</v>
      </c>
      <c r="R32" s="33">
        <f t="shared" si="25"/>
        <v>110.36999999999998</v>
      </c>
      <c r="S32" s="33">
        <f t="shared" si="26"/>
        <v>61.807199999999995</v>
      </c>
      <c r="T32" s="33">
        <f t="shared" si="2"/>
        <v>17.624393742765658</v>
      </c>
      <c r="U32" s="33">
        <f t="shared" si="20"/>
        <v>70</v>
      </c>
      <c r="V32" s="33">
        <f t="shared" si="3"/>
        <v>9</v>
      </c>
      <c r="W32" s="33">
        <v>0</v>
      </c>
      <c r="X32" s="33">
        <f t="shared" si="4"/>
        <v>428.01002576865017</v>
      </c>
      <c r="Y32" s="38">
        <f t="shared" si="5"/>
        <v>171.34335910198348</v>
      </c>
      <c r="AA32" s="71">
        <v>27</v>
      </c>
      <c r="AB32" s="33">
        <f t="shared" si="6"/>
        <v>0</v>
      </c>
      <c r="AC32" s="308">
        <f t="shared" si="41"/>
        <v>0</v>
      </c>
      <c r="AD32" s="101">
        <f t="shared" si="8"/>
        <v>0</v>
      </c>
      <c r="AE32" s="101">
        <f t="shared" si="9"/>
        <v>0</v>
      </c>
      <c r="AF32" s="197">
        <f t="shared" si="36"/>
        <v>0</v>
      </c>
      <c r="AG32" s="197">
        <f t="shared" si="37"/>
        <v>0</v>
      </c>
      <c r="AH32" s="197">
        <f t="shared" si="38"/>
        <v>0</v>
      </c>
      <c r="AI32" s="202">
        <f t="shared" si="39"/>
        <v>0</v>
      </c>
      <c r="AK32" s="71">
        <v>27</v>
      </c>
      <c r="AL32" s="33">
        <f t="shared" si="10"/>
        <v>0</v>
      </c>
      <c r="AM32" s="33">
        <f t="shared" si="11"/>
        <v>0</v>
      </c>
      <c r="AN32" s="33">
        <f t="shared" si="12"/>
        <v>0</v>
      </c>
      <c r="AO32" s="33">
        <f t="shared" si="13"/>
        <v>0</v>
      </c>
      <c r="AP32" s="33">
        <f t="shared" si="14"/>
        <v>0</v>
      </c>
      <c r="AQ32" s="197">
        <f t="shared" si="15"/>
        <v>0</v>
      </c>
      <c r="AR32" s="197">
        <f t="shared" si="16"/>
        <v>0</v>
      </c>
      <c r="AS32" s="197">
        <f t="shared" si="17"/>
        <v>0</v>
      </c>
      <c r="AT32" s="197">
        <f t="shared" si="18"/>
        <v>0</v>
      </c>
      <c r="AU32" s="33"/>
      <c r="AV32" s="33"/>
      <c r="AW32" s="33"/>
      <c r="AX32" s="33"/>
      <c r="AY32" s="167">
        <f t="shared" si="27"/>
        <v>3.44</v>
      </c>
    </row>
    <row r="33" spans="2:51">
      <c r="B33" s="40">
        <f t="shared" si="34"/>
        <v>36</v>
      </c>
      <c r="C33" s="155">
        <f t="shared" si="40"/>
        <v>40</v>
      </c>
      <c r="D33" s="140">
        <f>D34+21</f>
        <v>137</v>
      </c>
      <c r="E33" s="144">
        <f t="shared" si="32"/>
        <v>1.56</v>
      </c>
      <c r="F33" s="42">
        <f t="shared" si="33"/>
        <v>213.72</v>
      </c>
      <c r="G33" s="51">
        <f t="shared" si="35"/>
        <v>16.379999999999995</v>
      </c>
      <c r="I33" s="55">
        <v>28</v>
      </c>
      <c r="J33" s="33">
        <f t="shared" si="21"/>
        <v>0</v>
      </c>
      <c r="K33" s="33">
        <f t="shared" si="22"/>
        <v>0</v>
      </c>
      <c r="L33" s="33">
        <f t="shared" si="23"/>
        <v>70</v>
      </c>
      <c r="M33" s="33">
        <f t="shared" si="24"/>
        <v>0</v>
      </c>
      <c r="N33" s="33">
        <f t="shared" si="0"/>
        <v>0</v>
      </c>
      <c r="O33" s="34">
        <f t="shared" si="1"/>
        <v>256.66666666666669</v>
      </c>
      <c r="P33" s="55">
        <v>28</v>
      </c>
      <c r="Q33" s="33">
        <f t="shared" si="19"/>
        <v>13.649999999999999</v>
      </c>
      <c r="R33" s="33">
        <f t="shared" si="25"/>
        <v>124.01999999999998</v>
      </c>
      <c r="S33" s="33">
        <f t="shared" si="26"/>
        <v>69.4512</v>
      </c>
      <c r="T33" s="33">
        <f t="shared" si="2"/>
        <v>19.537108821210285</v>
      </c>
      <c r="U33" s="33">
        <f t="shared" si="20"/>
        <v>70</v>
      </c>
      <c r="V33" s="33">
        <f t="shared" si="3"/>
        <v>9.3333333333333339</v>
      </c>
      <c r="W33" s="33">
        <v>0</v>
      </c>
      <c r="X33" s="33">
        <f t="shared" si="4"/>
        <v>445.87686008583017</v>
      </c>
      <c r="Y33" s="38">
        <f t="shared" si="5"/>
        <v>189.21019341916349</v>
      </c>
      <c r="AA33" s="71">
        <v>28</v>
      </c>
      <c r="AB33" s="33">
        <f t="shared" si="6"/>
        <v>0</v>
      </c>
      <c r="AC33" s="308">
        <f t="shared" si="41"/>
        <v>0</v>
      </c>
      <c r="AD33" s="101">
        <f t="shared" si="8"/>
        <v>0</v>
      </c>
      <c r="AE33" s="101">
        <f t="shared" si="9"/>
        <v>0</v>
      </c>
      <c r="AF33" s="197">
        <f t="shared" si="36"/>
        <v>0</v>
      </c>
      <c r="AG33" s="197">
        <f t="shared" si="37"/>
        <v>0</v>
      </c>
      <c r="AH33" s="197">
        <f t="shared" si="38"/>
        <v>0</v>
      </c>
      <c r="AI33" s="202">
        <f t="shared" si="39"/>
        <v>0</v>
      </c>
      <c r="AK33" s="71">
        <v>28</v>
      </c>
      <c r="AL33" s="33">
        <f t="shared" si="10"/>
        <v>0</v>
      </c>
      <c r="AM33" s="33">
        <f t="shared" si="11"/>
        <v>0</v>
      </c>
      <c r="AN33" s="33">
        <f t="shared" si="12"/>
        <v>0</v>
      </c>
      <c r="AO33" s="33">
        <f t="shared" si="13"/>
        <v>0</v>
      </c>
      <c r="AP33" s="33">
        <f t="shared" si="14"/>
        <v>0</v>
      </c>
      <c r="AQ33" s="197">
        <f t="shared" si="15"/>
        <v>0</v>
      </c>
      <c r="AR33" s="197">
        <f t="shared" si="16"/>
        <v>0</v>
      </c>
      <c r="AS33" s="197">
        <f t="shared" si="17"/>
        <v>0</v>
      </c>
      <c r="AT33" s="197">
        <f t="shared" si="18"/>
        <v>0</v>
      </c>
      <c r="AU33" s="33"/>
      <c r="AV33" s="33"/>
      <c r="AW33" s="33"/>
      <c r="AX33" s="33"/>
      <c r="AY33" s="167">
        <f t="shared" si="27"/>
        <v>3.44</v>
      </c>
    </row>
    <row r="34" spans="2:51" ht="16" thickBot="1">
      <c r="B34" s="40">
        <f t="shared" si="34"/>
        <v>40</v>
      </c>
      <c r="C34" s="155">
        <f t="shared" si="40"/>
        <v>41</v>
      </c>
      <c r="D34" s="140">
        <v>116</v>
      </c>
      <c r="E34" s="144">
        <f t="shared" si="32"/>
        <v>1.56</v>
      </c>
      <c r="F34" s="42">
        <f t="shared" si="33"/>
        <v>180.96</v>
      </c>
      <c r="G34" s="51">
        <f t="shared" si="35"/>
        <v>-32.759999999999991</v>
      </c>
      <c r="I34" s="55">
        <v>29</v>
      </c>
      <c r="J34" s="33">
        <f t="shared" si="21"/>
        <v>0</v>
      </c>
      <c r="K34" s="33">
        <f t="shared" si="22"/>
        <v>0</v>
      </c>
      <c r="L34" s="33">
        <f t="shared" si="23"/>
        <v>70</v>
      </c>
      <c r="M34" s="33">
        <f t="shared" si="24"/>
        <v>0</v>
      </c>
      <c r="N34" s="33">
        <f t="shared" si="0"/>
        <v>0</v>
      </c>
      <c r="O34" s="34">
        <f t="shared" si="1"/>
        <v>256.66666666666669</v>
      </c>
      <c r="P34" s="55">
        <v>29</v>
      </c>
      <c r="Q34" s="35">
        <f t="shared" si="19"/>
        <v>13.649999999999999</v>
      </c>
      <c r="R34" s="33">
        <f t="shared" si="25"/>
        <v>137.66999999999999</v>
      </c>
      <c r="S34" s="33">
        <f t="shared" si="26"/>
        <v>77.095200000000006</v>
      </c>
      <c r="T34" s="33">
        <f t="shared" si="2"/>
        <v>21.425423842069357</v>
      </c>
      <c r="U34" s="33">
        <f t="shared" si="20"/>
        <v>70</v>
      </c>
      <c r="V34" s="33">
        <f t="shared" si="3"/>
        <v>9.6666666666666661</v>
      </c>
      <c r="W34" s="33">
        <v>0</v>
      </c>
      <c r="X34" s="33">
        <f t="shared" si="4"/>
        <v>463.70119763604856</v>
      </c>
      <c r="Y34" s="38">
        <f t="shared" si="5"/>
        <v>207.03453096938188</v>
      </c>
      <c r="AA34" s="71">
        <v>29</v>
      </c>
      <c r="AB34" s="146">
        <f t="shared" si="6"/>
        <v>0</v>
      </c>
      <c r="AC34" s="308">
        <f t="shared" si="41"/>
        <v>0</v>
      </c>
      <c r="AD34" s="102">
        <f t="shared" si="8"/>
        <v>0</v>
      </c>
      <c r="AE34" s="102">
        <f t="shared" si="9"/>
        <v>0</v>
      </c>
      <c r="AF34" s="199">
        <f t="shared" si="36"/>
        <v>0</v>
      </c>
      <c r="AG34" s="199">
        <f t="shared" si="37"/>
        <v>0</v>
      </c>
      <c r="AH34" s="197">
        <f t="shared" si="38"/>
        <v>0</v>
      </c>
      <c r="AI34" s="202">
        <f t="shared" si="39"/>
        <v>0</v>
      </c>
      <c r="AK34" s="71">
        <v>29</v>
      </c>
      <c r="AL34" s="146">
        <f t="shared" si="10"/>
        <v>0</v>
      </c>
      <c r="AM34" s="35">
        <f t="shared" si="11"/>
        <v>0</v>
      </c>
      <c r="AN34" s="35">
        <f t="shared" si="12"/>
        <v>0</v>
      </c>
      <c r="AO34" s="35">
        <f t="shared" si="13"/>
        <v>0</v>
      </c>
      <c r="AP34" s="35">
        <f t="shared" si="14"/>
        <v>0</v>
      </c>
      <c r="AQ34" s="197">
        <f t="shared" si="15"/>
        <v>0</v>
      </c>
      <c r="AR34" s="197">
        <f t="shared" si="16"/>
        <v>0</v>
      </c>
      <c r="AS34" s="197">
        <f t="shared" si="17"/>
        <v>0</v>
      </c>
      <c r="AT34" s="197">
        <f t="shared" si="18"/>
        <v>0</v>
      </c>
      <c r="AU34" s="33"/>
      <c r="AV34" s="33"/>
      <c r="AW34" s="33"/>
      <c r="AX34" s="33"/>
      <c r="AY34" s="167">
        <f t="shared" si="27"/>
        <v>3.44</v>
      </c>
    </row>
    <row r="35" spans="2:51" ht="16" thickBot="1">
      <c r="B35" s="40">
        <f t="shared" si="34"/>
        <v>41</v>
      </c>
      <c r="C35" s="155">
        <f t="shared" si="40"/>
        <v>45</v>
      </c>
      <c r="D35" s="140">
        <f>D36+21</f>
        <v>158</v>
      </c>
      <c r="E35" s="144">
        <f t="shared" si="32"/>
        <v>1.56</v>
      </c>
      <c r="F35" s="42">
        <f t="shared" si="33"/>
        <v>246.48000000000002</v>
      </c>
      <c r="G35" s="51">
        <f t="shared" si="35"/>
        <v>16.380000000000003</v>
      </c>
      <c r="I35" s="87">
        <v>30</v>
      </c>
      <c r="J35" s="162">
        <f>IF($I35&lt;=$F$10,IF(AND(D8=B100,F12=C194),($F$11*$F$13+J34*50%),$F$11*$F$13+J34),)</f>
        <v>0</v>
      </c>
      <c r="K35" s="53">
        <f t="shared" si="22"/>
        <v>0</v>
      </c>
      <c r="L35" s="53">
        <f t="shared" si="23"/>
        <v>70</v>
      </c>
      <c r="M35" s="53">
        <f t="shared" si="24"/>
        <v>0</v>
      </c>
      <c r="N35" s="54">
        <f t="shared" si="0"/>
        <v>0</v>
      </c>
      <c r="O35" s="69">
        <f t="shared" si="1"/>
        <v>256.66666666666669</v>
      </c>
      <c r="P35" s="87">
        <v>30</v>
      </c>
      <c r="Q35" s="53">
        <f t="shared" si="19"/>
        <v>13.649999999999999</v>
      </c>
      <c r="R35" s="54">
        <f t="shared" si="25"/>
        <v>151.32</v>
      </c>
      <c r="S35" s="53">
        <f t="shared" si="26"/>
        <v>84.739200000000011</v>
      </c>
      <c r="T35" s="54">
        <f t="shared" si="2"/>
        <v>23.292033444816514</v>
      </c>
      <c r="U35" s="54">
        <f t="shared" si="20"/>
        <v>70</v>
      </c>
      <c r="V35" s="53">
        <f t="shared" si="3"/>
        <v>10</v>
      </c>
      <c r="W35" s="54">
        <v>0</v>
      </c>
      <c r="X35" s="69">
        <f t="shared" si="4"/>
        <v>481.48773158305545</v>
      </c>
      <c r="Y35" s="65">
        <f t="shared" si="5"/>
        <v>224.82106491638876</v>
      </c>
      <c r="AA35" s="73">
        <v>30</v>
      </c>
      <c r="AB35" s="146">
        <f t="shared" si="6"/>
        <v>0</v>
      </c>
      <c r="AC35" s="308">
        <f t="shared" si="41"/>
        <v>0</v>
      </c>
      <c r="AD35" s="102">
        <f t="shared" si="8"/>
        <v>0</v>
      </c>
      <c r="AE35" s="102">
        <f t="shared" si="9"/>
        <v>0</v>
      </c>
      <c r="AF35" s="203">
        <f t="shared" si="36"/>
        <v>0</v>
      </c>
      <c r="AG35" s="198">
        <f t="shared" si="37"/>
        <v>0</v>
      </c>
      <c r="AH35" s="204">
        <f t="shared" si="38"/>
        <v>0</v>
      </c>
      <c r="AI35" s="205">
        <f t="shared" si="39"/>
        <v>0</v>
      </c>
      <c r="AK35" s="73">
        <v>30</v>
      </c>
      <c r="AL35" s="146">
        <f t="shared" si="10"/>
        <v>0</v>
      </c>
      <c r="AM35" s="35">
        <f t="shared" si="11"/>
        <v>0</v>
      </c>
      <c r="AN35" s="35">
        <f t="shared" si="12"/>
        <v>0</v>
      </c>
      <c r="AO35" s="35">
        <f t="shared" si="13"/>
        <v>0</v>
      </c>
      <c r="AP35" s="35">
        <f t="shared" si="14"/>
        <v>0</v>
      </c>
      <c r="AQ35" s="198">
        <f t="shared" si="15"/>
        <v>0</v>
      </c>
      <c r="AR35" s="198">
        <f t="shared" si="16"/>
        <v>0</v>
      </c>
      <c r="AS35" s="198">
        <f t="shared" si="17"/>
        <v>0</v>
      </c>
      <c r="AT35" s="198">
        <f t="shared" si="18"/>
        <v>0</v>
      </c>
      <c r="AU35" s="53"/>
      <c r="AV35" s="53"/>
      <c r="AW35" s="53"/>
      <c r="AX35" s="53"/>
      <c r="AY35" s="168">
        <f t="shared" si="27"/>
        <v>3.44</v>
      </c>
    </row>
    <row r="36" spans="2:51">
      <c r="B36" s="40">
        <f t="shared" si="34"/>
        <v>45</v>
      </c>
      <c r="C36" s="155">
        <f t="shared" si="40"/>
        <v>46</v>
      </c>
      <c r="D36" s="140">
        <v>137</v>
      </c>
      <c r="E36" s="144">
        <f t="shared" si="32"/>
        <v>1.56</v>
      </c>
      <c r="F36" s="42">
        <f t="shared" si="33"/>
        <v>213.72</v>
      </c>
      <c r="G36" s="51">
        <f t="shared" si="35"/>
        <v>-32.760000000000019</v>
      </c>
      <c r="I36" s="55">
        <v>31</v>
      </c>
      <c r="J36" s="33">
        <f t="shared" si="21"/>
        <v>0</v>
      </c>
      <c r="K36" s="33">
        <f t="shared" si="22"/>
        <v>0</v>
      </c>
      <c r="L36" s="33">
        <f t="shared" si="23"/>
        <v>70</v>
      </c>
      <c r="M36" s="33">
        <f t="shared" si="24"/>
        <v>0</v>
      </c>
      <c r="N36" s="33">
        <f t="shared" si="0"/>
        <v>0</v>
      </c>
      <c r="O36" s="34">
        <f t="shared" si="1"/>
        <v>256.66666666666669</v>
      </c>
      <c r="P36" s="55">
        <v>31</v>
      </c>
      <c r="Q36" s="33">
        <f t="shared" si="19"/>
        <v>-32.759999999999991</v>
      </c>
      <c r="R36" s="33">
        <f t="shared" si="25"/>
        <v>118.56</v>
      </c>
      <c r="S36" s="33">
        <f t="shared" si="26"/>
        <v>66.393600000000006</v>
      </c>
      <c r="T36" s="33">
        <f t="shared" si="2"/>
        <v>18.775122997078544</v>
      </c>
      <c r="U36" s="33">
        <f t="shared" si="20"/>
        <v>70</v>
      </c>
      <c r="V36" s="33">
        <f t="shared" si="3"/>
        <v>10</v>
      </c>
      <c r="W36" s="33">
        <v>0</v>
      </c>
      <c r="X36" s="33">
        <f t="shared" si="4"/>
        <v>441.66885921991178</v>
      </c>
      <c r="Y36" s="38">
        <f t="shared" si="5"/>
        <v>185.0021925532451</v>
      </c>
      <c r="AA36" s="71">
        <v>31</v>
      </c>
      <c r="AB36" s="33">
        <f t="shared" si="6"/>
        <v>21</v>
      </c>
      <c r="AC36" s="308">
        <f t="shared" si="41"/>
        <v>0</v>
      </c>
      <c r="AD36" s="101">
        <f t="shared" si="8"/>
        <v>0</v>
      </c>
      <c r="AE36" s="101">
        <f t="shared" si="9"/>
        <v>0</v>
      </c>
      <c r="AF36" s="197">
        <f t="shared" si="36"/>
        <v>0</v>
      </c>
      <c r="AG36" s="197">
        <f t="shared" si="37"/>
        <v>0</v>
      </c>
      <c r="AH36" s="197">
        <f t="shared" si="38"/>
        <v>0</v>
      </c>
      <c r="AI36" s="202">
        <f t="shared" si="39"/>
        <v>0</v>
      </c>
      <c r="AK36" s="71">
        <v>31</v>
      </c>
      <c r="AL36" s="33">
        <f t="shared" si="10"/>
        <v>21</v>
      </c>
      <c r="AM36" s="33">
        <f t="shared" si="11"/>
        <v>0</v>
      </c>
      <c r="AN36" s="33">
        <f t="shared" si="12"/>
        <v>0</v>
      </c>
      <c r="AO36" s="33">
        <f t="shared" si="13"/>
        <v>0</v>
      </c>
      <c r="AP36" s="33">
        <f t="shared" si="14"/>
        <v>1</v>
      </c>
      <c r="AQ36" s="197">
        <f t="shared" si="15"/>
        <v>0</v>
      </c>
      <c r="AR36" s="197">
        <f t="shared" si="16"/>
        <v>0</v>
      </c>
      <c r="AS36" s="197">
        <f t="shared" si="17"/>
        <v>0</v>
      </c>
      <c r="AT36" s="197">
        <f t="shared" si="18"/>
        <v>21</v>
      </c>
      <c r="AU36" s="33"/>
      <c r="AV36" s="33"/>
      <c r="AW36" s="33"/>
      <c r="AX36" s="33"/>
      <c r="AY36" s="76"/>
    </row>
    <row r="37" spans="2:51">
      <c r="B37" s="40">
        <f t="shared" si="34"/>
        <v>46</v>
      </c>
      <c r="C37" s="155">
        <f t="shared" si="40"/>
        <v>50</v>
      </c>
      <c r="D37" s="140">
        <f>D38+21</f>
        <v>178</v>
      </c>
      <c r="E37" s="144">
        <f t="shared" si="32"/>
        <v>1.56</v>
      </c>
      <c r="F37" s="42">
        <f t="shared" si="33"/>
        <v>277.68</v>
      </c>
      <c r="G37" s="51">
        <f t="shared" si="35"/>
        <v>15.990000000000002</v>
      </c>
      <c r="I37" s="55">
        <v>32</v>
      </c>
      <c r="J37" s="33">
        <f t="shared" si="21"/>
        <v>0</v>
      </c>
      <c r="K37" s="33">
        <f t="shared" si="22"/>
        <v>0</v>
      </c>
      <c r="L37" s="33">
        <f t="shared" si="23"/>
        <v>70</v>
      </c>
      <c r="M37" s="33">
        <f t="shared" si="24"/>
        <v>0</v>
      </c>
      <c r="N37" s="33">
        <f t="shared" si="0"/>
        <v>0</v>
      </c>
      <c r="O37" s="34">
        <f t="shared" si="1"/>
        <v>256.66666666666669</v>
      </c>
      <c r="P37" s="55">
        <v>32</v>
      </c>
      <c r="Q37" s="33">
        <f t="shared" si="19"/>
        <v>15.600000000000001</v>
      </c>
      <c r="R37" s="33">
        <f t="shared" si="25"/>
        <v>134.16</v>
      </c>
      <c r="S37" s="33">
        <f t="shared" si="26"/>
        <v>75.129600000000011</v>
      </c>
      <c r="T37" s="33">
        <f t="shared" si="2"/>
        <v>20.942027818647581</v>
      </c>
      <c r="U37" s="33">
        <f t="shared" si="20"/>
        <v>70</v>
      </c>
      <c r="V37" s="33">
        <f t="shared" si="3"/>
        <v>10</v>
      </c>
      <c r="W37" s="33">
        <v>0</v>
      </c>
      <c r="X37" s="33">
        <f t="shared" si="4"/>
        <v>460.65808511747787</v>
      </c>
      <c r="Y37" s="38">
        <f t="shared" si="5"/>
        <v>203.99141845081118</v>
      </c>
      <c r="AA37" s="71">
        <v>32</v>
      </c>
      <c r="AB37" s="33">
        <f t="shared" si="6"/>
        <v>0</v>
      </c>
      <c r="AC37" s="308">
        <f t="shared" si="41"/>
        <v>0</v>
      </c>
      <c r="AD37" s="101">
        <f t="shared" si="8"/>
        <v>0</v>
      </c>
      <c r="AE37" s="101">
        <f t="shared" si="9"/>
        <v>0</v>
      </c>
      <c r="AF37" s="197">
        <f t="shared" si="36"/>
        <v>0</v>
      </c>
      <c r="AG37" s="197">
        <f t="shared" si="37"/>
        <v>0</v>
      </c>
      <c r="AH37" s="197">
        <f t="shared" si="38"/>
        <v>0</v>
      </c>
      <c r="AI37" s="202">
        <f t="shared" si="39"/>
        <v>0</v>
      </c>
      <c r="AK37" s="71">
        <v>32</v>
      </c>
      <c r="AL37" s="33">
        <f t="shared" si="10"/>
        <v>0</v>
      </c>
      <c r="AM37" s="33">
        <f t="shared" si="11"/>
        <v>0</v>
      </c>
      <c r="AN37" s="33">
        <f t="shared" si="12"/>
        <v>0</v>
      </c>
      <c r="AO37" s="33">
        <f t="shared" si="13"/>
        <v>0</v>
      </c>
      <c r="AP37" s="33">
        <f t="shared" si="14"/>
        <v>0</v>
      </c>
      <c r="AQ37" s="197">
        <f t="shared" si="15"/>
        <v>0</v>
      </c>
      <c r="AR37" s="197">
        <f t="shared" si="16"/>
        <v>0</v>
      </c>
      <c r="AS37" s="197">
        <f t="shared" si="17"/>
        <v>0</v>
      </c>
      <c r="AT37" s="197">
        <f t="shared" si="18"/>
        <v>0</v>
      </c>
      <c r="AU37" s="33"/>
      <c r="AV37" s="33"/>
      <c r="AW37" s="33"/>
      <c r="AX37" s="33"/>
      <c r="AY37" s="76"/>
    </row>
    <row r="38" spans="2:51">
      <c r="B38" s="40">
        <f t="shared" si="34"/>
        <v>50</v>
      </c>
      <c r="C38" s="155">
        <f t="shared" si="40"/>
        <v>51</v>
      </c>
      <c r="D38" s="140">
        <v>157</v>
      </c>
      <c r="E38" s="144">
        <f t="shared" si="32"/>
        <v>1.56</v>
      </c>
      <c r="F38" s="42">
        <f t="shared" si="33"/>
        <v>244.92000000000002</v>
      </c>
      <c r="G38" s="51">
        <f t="shared" si="35"/>
        <v>-32.759999999999991</v>
      </c>
      <c r="I38" s="55">
        <v>33</v>
      </c>
      <c r="J38" s="33">
        <f t="shared" si="21"/>
        <v>0</v>
      </c>
      <c r="K38" s="33">
        <f t="shared" si="22"/>
        <v>0</v>
      </c>
      <c r="L38" s="33">
        <f t="shared" si="23"/>
        <v>70</v>
      </c>
      <c r="M38" s="33">
        <f t="shared" si="24"/>
        <v>0</v>
      </c>
      <c r="N38" s="33">
        <f t="shared" si="0"/>
        <v>0</v>
      </c>
      <c r="O38" s="34">
        <f t="shared" si="1"/>
        <v>256.66666666666669</v>
      </c>
      <c r="P38" s="55">
        <v>33</v>
      </c>
      <c r="Q38" s="33">
        <f t="shared" si="19"/>
        <v>15.600000000000001</v>
      </c>
      <c r="R38" s="33">
        <f t="shared" si="25"/>
        <v>149.76</v>
      </c>
      <c r="S38" s="33">
        <f t="shared" si="26"/>
        <v>83.865600000000001</v>
      </c>
      <c r="T38" s="33">
        <f t="shared" si="2"/>
        <v>23.079732033574274</v>
      </c>
      <c r="U38" s="33">
        <f t="shared" si="20"/>
        <v>70</v>
      </c>
      <c r="V38" s="33">
        <f t="shared" si="3"/>
        <v>10</v>
      </c>
      <c r="W38" s="33">
        <v>0</v>
      </c>
      <c r="X38" s="33">
        <f t="shared" si="4"/>
        <v>479.59645329180853</v>
      </c>
      <c r="Y38" s="38">
        <f t="shared" si="5"/>
        <v>222.92978662514184</v>
      </c>
      <c r="AA38" s="71">
        <v>33</v>
      </c>
      <c r="AB38" s="33">
        <f t="shared" si="6"/>
        <v>0</v>
      </c>
      <c r="AC38" s="308">
        <f t="shared" si="41"/>
        <v>0</v>
      </c>
      <c r="AD38" s="101">
        <f t="shared" si="8"/>
        <v>0</v>
      </c>
      <c r="AE38" s="101">
        <f t="shared" si="9"/>
        <v>0</v>
      </c>
      <c r="AF38" s="197">
        <f t="shared" si="36"/>
        <v>0</v>
      </c>
      <c r="AG38" s="197">
        <f t="shared" si="37"/>
        <v>0</v>
      </c>
      <c r="AH38" s="197">
        <f t="shared" si="38"/>
        <v>0</v>
      </c>
      <c r="AI38" s="202">
        <f t="shared" si="39"/>
        <v>0</v>
      </c>
      <c r="AK38" s="71">
        <v>33</v>
      </c>
      <c r="AL38" s="33">
        <f t="shared" si="10"/>
        <v>0</v>
      </c>
      <c r="AM38" s="33">
        <f t="shared" si="11"/>
        <v>0</v>
      </c>
      <c r="AN38" s="33">
        <f t="shared" si="12"/>
        <v>0</v>
      </c>
      <c r="AO38" s="33">
        <f t="shared" si="13"/>
        <v>0</v>
      </c>
      <c r="AP38" s="33">
        <f t="shared" si="14"/>
        <v>0</v>
      </c>
      <c r="AQ38" s="197">
        <f t="shared" si="15"/>
        <v>0</v>
      </c>
      <c r="AR38" s="197">
        <f t="shared" si="16"/>
        <v>0</v>
      </c>
      <c r="AS38" s="197">
        <f t="shared" si="17"/>
        <v>0</v>
      </c>
      <c r="AT38" s="197">
        <f t="shared" si="18"/>
        <v>0</v>
      </c>
      <c r="AU38" s="33"/>
      <c r="AV38" s="33"/>
      <c r="AW38" s="33"/>
      <c r="AX38" s="33"/>
      <c r="AY38" s="76"/>
    </row>
    <row r="39" spans="2:51">
      <c r="B39" s="40">
        <f t="shared" si="34"/>
        <v>51</v>
      </c>
      <c r="C39" s="155">
        <f t="shared" si="40"/>
        <v>55</v>
      </c>
      <c r="D39" s="140">
        <f>D40+21</f>
        <v>197</v>
      </c>
      <c r="E39" s="144">
        <f t="shared" si="32"/>
        <v>1.56</v>
      </c>
      <c r="F39" s="42">
        <f t="shared" si="33"/>
        <v>307.32</v>
      </c>
      <c r="G39" s="51">
        <f t="shared" si="35"/>
        <v>15.599999999999994</v>
      </c>
      <c r="I39" s="55">
        <v>34</v>
      </c>
      <c r="J39" s="33">
        <f t="shared" si="21"/>
        <v>0</v>
      </c>
      <c r="K39" s="33">
        <f t="shared" si="22"/>
        <v>0</v>
      </c>
      <c r="L39" s="33">
        <f t="shared" si="23"/>
        <v>70</v>
      </c>
      <c r="M39" s="33">
        <f t="shared" si="24"/>
        <v>0</v>
      </c>
      <c r="N39" s="33">
        <f t="shared" si="0"/>
        <v>0</v>
      </c>
      <c r="O39" s="34">
        <f t="shared" si="1"/>
        <v>256.66666666666669</v>
      </c>
      <c r="P39" s="55">
        <v>34</v>
      </c>
      <c r="Q39" s="33">
        <f t="shared" si="19"/>
        <v>15.600000000000001</v>
      </c>
      <c r="R39" s="33">
        <f t="shared" si="25"/>
        <v>165.35999999999999</v>
      </c>
      <c r="S39" s="33">
        <f t="shared" si="26"/>
        <v>92.601600000000005</v>
      </c>
      <c r="T39" s="33">
        <f t="shared" si="2"/>
        <v>25.191623861555186</v>
      </c>
      <c r="U39" s="33">
        <f t="shared" si="20"/>
        <v>70</v>
      </c>
      <c r="V39" s="33">
        <f t="shared" si="3"/>
        <v>10</v>
      </c>
      <c r="W39" s="33">
        <v>0</v>
      </c>
      <c r="X39" s="33">
        <f t="shared" si="4"/>
        <v>498.48986489220869</v>
      </c>
      <c r="Y39" s="38">
        <f t="shared" si="5"/>
        <v>241.823198225542</v>
      </c>
      <c r="AA39" s="71">
        <v>34</v>
      </c>
      <c r="AB39" s="33">
        <f t="shared" si="6"/>
        <v>0</v>
      </c>
      <c r="AC39" s="308">
        <f t="shared" si="41"/>
        <v>0</v>
      </c>
      <c r="AD39" s="101">
        <f t="shared" si="8"/>
        <v>0</v>
      </c>
      <c r="AE39" s="101">
        <f t="shared" si="9"/>
        <v>0</v>
      </c>
      <c r="AF39" s="197">
        <f t="shared" si="36"/>
        <v>0</v>
      </c>
      <c r="AG39" s="197">
        <f t="shared" si="37"/>
        <v>0</v>
      </c>
      <c r="AH39" s="197">
        <f t="shared" si="38"/>
        <v>0</v>
      </c>
      <c r="AI39" s="202">
        <f t="shared" si="39"/>
        <v>0</v>
      </c>
      <c r="AK39" s="71">
        <v>34</v>
      </c>
      <c r="AL39" s="33">
        <f t="shared" si="10"/>
        <v>0</v>
      </c>
      <c r="AM39" s="33">
        <f t="shared" si="11"/>
        <v>0</v>
      </c>
      <c r="AN39" s="33">
        <f t="shared" si="12"/>
        <v>0</v>
      </c>
      <c r="AO39" s="33">
        <f t="shared" si="13"/>
        <v>0</v>
      </c>
      <c r="AP39" s="33">
        <f t="shared" si="14"/>
        <v>0</v>
      </c>
      <c r="AQ39" s="197">
        <f t="shared" si="15"/>
        <v>0</v>
      </c>
      <c r="AR39" s="197">
        <f t="shared" si="16"/>
        <v>0</v>
      </c>
      <c r="AS39" s="197">
        <f t="shared" si="17"/>
        <v>0</v>
      </c>
      <c r="AT39" s="197">
        <f t="shared" si="18"/>
        <v>0</v>
      </c>
      <c r="AU39" s="33"/>
      <c r="AV39" s="33"/>
      <c r="AW39" s="33"/>
      <c r="AX39" s="33"/>
      <c r="AY39" s="76"/>
    </row>
    <row r="40" spans="2:51">
      <c r="B40" s="40">
        <f t="shared" si="34"/>
        <v>55</v>
      </c>
      <c r="C40" s="155">
        <f t="shared" si="40"/>
        <v>56</v>
      </c>
      <c r="D40" s="140">
        <v>176</v>
      </c>
      <c r="E40" s="144">
        <f t="shared" si="32"/>
        <v>1.56</v>
      </c>
      <c r="F40" s="42">
        <f t="shared" si="33"/>
        <v>274.56</v>
      </c>
      <c r="G40" s="51">
        <f t="shared" si="35"/>
        <v>-32.759999999999991</v>
      </c>
      <c r="I40" s="55">
        <v>35</v>
      </c>
      <c r="J40" s="33">
        <f t="shared" si="21"/>
        <v>0</v>
      </c>
      <c r="K40" s="33">
        <f t="shared" si="22"/>
        <v>0</v>
      </c>
      <c r="L40" s="33">
        <f t="shared" si="23"/>
        <v>70</v>
      </c>
      <c r="M40" s="33">
        <f t="shared" si="24"/>
        <v>0</v>
      </c>
      <c r="N40" s="33">
        <f t="shared" si="0"/>
        <v>0</v>
      </c>
      <c r="O40" s="34">
        <f t="shared" si="1"/>
        <v>256.66666666666669</v>
      </c>
      <c r="P40" s="55">
        <v>35</v>
      </c>
      <c r="Q40" s="33">
        <f t="shared" si="19"/>
        <v>15.600000000000001</v>
      </c>
      <c r="R40" s="33">
        <f t="shared" si="25"/>
        <v>180.95999999999998</v>
      </c>
      <c r="S40" s="33">
        <f t="shared" si="26"/>
        <v>101.33759999999999</v>
      </c>
      <c r="T40" s="33">
        <f t="shared" si="2"/>
        <v>27.280415454305565</v>
      </c>
      <c r="U40" s="33">
        <f t="shared" si="20"/>
        <v>70</v>
      </c>
      <c r="V40" s="33">
        <f t="shared" si="3"/>
        <v>10</v>
      </c>
      <c r="W40" s="33">
        <v>0</v>
      </c>
      <c r="X40" s="33">
        <f t="shared" si="4"/>
        <v>517.34304358291558</v>
      </c>
      <c r="Y40" s="38">
        <f t="shared" si="5"/>
        <v>260.6763769162489</v>
      </c>
      <c r="AA40" s="71">
        <v>35</v>
      </c>
      <c r="AB40" s="33">
        <f t="shared" si="6"/>
        <v>0</v>
      </c>
      <c r="AC40" s="308">
        <f t="shared" si="41"/>
        <v>0</v>
      </c>
      <c r="AD40" s="101">
        <f t="shared" si="8"/>
        <v>0</v>
      </c>
      <c r="AE40" s="101">
        <f t="shared" si="9"/>
        <v>0</v>
      </c>
      <c r="AF40" s="197">
        <f t="shared" si="36"/>
        <v>0</v>
      </c>
      <c r="AG40" s="197">
        <f t="shared" si="37"/>
        <v>0</v>
      </c>
      <c r="AH40" s="197">
        <f t="shared" si="38"/>
        <v>0</v>
      </c>
      <c r="AI40" s="202">
        <f t="shared" si="39"/>
        <v>0</v>
      </c>
      <c r="AK40" s="71">
        <v>35</v>
      </c>
      <c r="AL40" s="33">
        <f t="shared" si="10"/>
        <v>0</v>
      </c>
      <c r="AM40" s="33">
        <f t="shared" si="11"/>
        <v>0</v>
      </c>
      <c r="AN40" s="33">
        <f t="shared" si="12"/>
        <v>0</v>
      </c>
      <c r="AO40" s="33">
        <f t="shared" si="13"/>
        <v>0</v>
      </c>
      <c r="AP40" s="33">
        <f t="shared" si="14"/>
        <v>0</v>
      </c>
      <c r="AQ40" s="197">
        <f t="shared" si="15"/>
        <v>0</v>
      </c>
      <c r="AR40" s="197">
        <f t="shared" si="16"/>
        <v>0</v>
      </c>
      <c r="AS40" s="197">
        <f t="shared" si="17"/>
        <v>0</v>
      </c>
      <c r="AT40" s="197">
        <f t="shared" si="18"/>
        <v>0</v>
      </c>
      <c r="AU40" s="33"/>
      <c r="AV40" s="33"/>
      <c r="AW40" s="33"/>
      <c r="AX40" s="33"/>
      <c r="AY40" s="76"/>
    </row>
    <row r="41" spans="2:51">
      <c r="B41" s="40">
        <f t="shared" si="34"/>
        <v>56</v>
      </c>
      <c r="C41" s="155">
        <f t="shared" si="40"/>
        <v>60</v>
      </c>
      <c r="D41" s="140">
        <f>D42+21</f>
        <v>214</v>
      </c>
      <c r="E41" s="144">
        <f t="shared" si="32"/>
        <v>1.56</v>
      </c>
      <c r="F41" s="42">
        <f t="shared" si="33"/>
        <v>333.84000000000003</v>
      </c>
      <c r="G41" s="51">
        <f t="shared" si="35"/>
        <v>14.820000000000007</v>
      </c>
      <c r="I41" s="55">
        <v>36</v>
      </c>
      <c r="J41" s="33">
        <f t="shared" si="21"/>
        <v>0</v>
      </c>
      <c r="K41" s="33">
        <f t="shared" si="22"/>
        <v>0</v>
      </c>
      <c r="L41" s="33">
        <f t="shared" si="23"/>
        <v>70</v>
      </c>
      <c r="M41" s="33">
        <f t="shared" si="24"/>
        <v>0</v>
      </c>
      <c r="N41" s="33">
        <f t="shared" si="0"/>
        <v>0</v>
      </c>
      <c r="O41" s="34">
        <f t="shared" si="1"/>
        <v>256.66666666666669</v>
      </c>
      <c r="P41" s="55">
        <v>36</v>
      </c>
      <c r="Q41" s="33">
        <f t="shared" si="19"/>
        <v>-32.759999999999991</v>
      </c>
      <c r="R41" s="33">
        <f t="shared" si="25"/>
        <v>148.19999999999999</v>
      </c>
      <c r="S41" s="33">
        <f t="shared" si="26"/>
        <v>82.992000000000004</v>
      </c>
      <c r="T41" s="33">
        <f t="shared" si="2"/>
        <v>22.867173045817324</v>
      </c>
      <c r="U41" s="33">
        <f t="shared" si="20"/>
        <v>70</v>
      </c>
      <c r="V41" s="33">
        <f t="shared" si="3"/>
        <v>10</v>
      </c>
      <c r="W41" s="33">
        <v>0</v>
      </c>
      <c r="X41" s="33">
        <f t="shared" si="4"/>
        <v>477.70472638813186</v>
      </c>
      <c r="Y41" s="38">
        <f t="shared" si="5"/>
        <v>221.03805972146517</v>
      </c>
      <c r="AA41" s="71">
        <v>36</v>
      </c>
      <c r="AB41" s="33">
        <f t="shared" si="6"/>
        <v>21</v>
      </c>
      <c r="AC41" s="308">
        <f t="shared" si="41"/>
        <v>0</v>
      </c>
      <c r="AD41" s="101">
        <f t="shared" si="8"/>
        <v>0</v>
      </c>
      <c r="AE41" s="101">
        <f t="shared" si="9"/>
        <v>0</v>
      </c>
      <c r="AF41" s="197">
        <f t="shared" si="36"/>
        <v>0</v>
      </c>
      <c r="AG41" s="197">
        <f t="shared" si="37"/>
        <v>0</v>
      </c>
      <c r="AH41" s="197">
        <f t="shared" si="38"/>
        <v>0</v>
      </c>
      <c r="AI41" s="202">
        <f t="shared" si="39"/>
        <v>0</v>
      </c>
      <c r="AK41" s="71">
        <v>36</v>
      </c>
      <c r="AL41" s="33">
        <f t="shared" si="10"/>
        <v>21</v>
      </c>
      <c r="AM41" s="33">
        <f t="shared" si="11"/>
        <v>0</v>
      </c>
      <c r="AN41" s="33">
        <f t="shared" si="12"/>
        <v>0</v>
      </c>
      <c r="AO41" s="33">
        <f t="shared" si="13"/>
        <v>0</v>
      </c>
      <c r="AP41" s="33">
        <f t="shared" si="14"/>
        <v>1</v>
      </c>
      <c r="AQ41" s="197">
        <f t="shared" si="15"/>
        <v>0</v>
      </c>
      <c r="AR41" s="197">
        <f t="shared" si="16"/>
        <v>0</v>
      </c>
      <c r="AS41" s="197">
        <f t="shared" si="17"/>
        <v>0</v>
      </c>
      <c r="AT41" s="197">
        <f t="shared" si="18"/>
        <v>21</v>
      </c>
      <c r="AU41" s="33"/>
      <c r="AV41" s="33"/>
      <c r="AW41" s="33"/>
      <c r="AX41" s="33"/>
      <c r="AY41" s="76"/>
    </row>
    <row r="42" spans="2:51">
      <c r="B42" s="40">
        <f t="shared" si="34"/>
        <v>60</v>
      </c>
      <c r="C42" s="155">
        <f t="shared" si="40"/>
        <v>61</v>
      </c>
      <c r="D42" s="140">
        <v>193</v>
      </c>
      <c r="E42" s="144">
        <f t="shared" si="32"/>
        <v>1.56</v>
      </c>
      <c r="F42" s="42">
        <f t="shared" si="33"/>
        <v>301.08</v>
      </c>
      <c r="G42" s="51">
        <f t="shared" si="35"/>
        <v>-32.760000000000048</v>
      </c>
      <c r="I42" s="55">
        <v>37</v>
      </c>
      <c r="J42" s="33">
        <f t="shared" si="21"/>
        <v>0</v>
      </c>
      <c r="K42" s="33">
        <f t="shared" si="22"/>
        <v>0</v>
      </c>
      <c r="L42" s="33">
        <f t="shared" si="23"/>
        <v>70</v>
      </c>
      <c r="M42" s="33">
        <f t="shared" si="24"/>
        <v>0</v>
      </c>
      <c r="N42" s="33">
        <f t="shared" si="0"/>
        <v>0</v>
      </c>
      <c r="O42" s="34">
        <f t="shared" si="1"/>
        <v>256.66666666666669</v>
      </c>
      <c r="P42" s="55">
        <v>37</v>
      </c>
      <c r="Q42" s="33">
        <f t="shared" si="19"/>
        <v>16.379999999999995</v>
      </c>
      <c r="R42" s="33">
        <f t="shared" si="25"/>
        <v>164.57999999999998</v>
      </c>
      <c r="S42" s="33">
        <f t="shared" si="26"/>
        <v>92.1648</v>
      </c>
      <c r="T42" s="33">
        <f t="shared" si="2"/>
        <v>25.086598199241433</v>
      </c>
      <c r="U42" s="33">
        <f t="shared" si="20"/>
        <v>70</v>
      </c>
      <c r="V42" s="33">
        <f t="shared" si="3"/>
        <v>10</v>
      </c>
      <c r="W42" s="33">
        <v>0</v>
      </c>
      <c r="X42" s="33">
        <f t="shared" si="4"/>
        <v>497.54618519701211</v>
      </c>
      <c r="Y42" s="38">
        <f t="shared" si="5"/>
        <v>240.87951853034542</v>
      </c>
      <c r="AA42" s="71">
        <v>37</v>
      </c>
      <c r="AB42" s="33">
        <f t="shared" si="6"/>
        <v>0</v>
      </c>
      <c r="AC42" s="308">
        <f t="shared" si="41"/>
        <v>0</v>
      </c>
      <c r="AD42" s="101">
        <f t="shared" si="8"/>
        <v>0</v>
      </c>
      <c r="AE42" s="101">
        <f t="shared" si="9"/>
        <v>0</v>
      </c>
      <c r="AF42" s="197">
        <f t="shared" si="36"/>
        <v>0</v>
      </c>
      <c r="AG42" s="197">
        <f t="shared" si="37"/>
        <v>0</v>
      </c>
      <c r="AH42" s="197">
        <f t="shared" si="38"/>
        <v>0</v>
      </c>
      <c r="AI42" s="202">
        <f t="shared" si="39"/>
        <v>0</v>
      </c>
      <c r="AK42" s="71">
        <v>37</v>
      </c>
      <c r="AL42" s="33">
        <f t="shared" si="10"/>
        <v>0</v>
      </c>
      <c r="AM42" s="33">
        <f t="shared" si="11"/>
        <v>0</v>
      </c>
      <c r="AN42" s="33">
        <f t="shared" si="12"/>
        <v>0</v>
      </c>
      <c r="AO42" s="33">
        <f t="shared" si="13"/>
        <v>0</v>
      </c>
      <c r="AP42" s="33">
        <f t="shared" si="14"/>
        <v>0</v>
      </c>
      <c r="AQ42" s="197">
        <f t="shared" si="15"/>
        <v>0</v>
      </c>
      <c r="AR42" s="197">
        <f t="shared" si="16"/>
        <v>0</v>
      </c>
      <c r="AS42" s="197">
        <f t="shared" si="17"/>
        <v>0</v>
      </c>
      <c r="AT42" s="197">
        <f t="shared" si="18"/>
        <v>0</v>
      </c>
      <c r="AU42" s="33"/>
      <c r="AV42" s="33"/>
      <c r="AW42" s="33"/>
      <c r="AX42" s="33"/>
      <c r="AY42" s="76"/>
    </row>
    <row r="43" spans="2:51">
      <c r="B43" s="40">
        <f t="shared" si="34"/>
        <v>61</v>
      </c>
      <c r="C43" s="155">
        <f t="shared" si="40"/>
        <v>65</v>
      </c>
      <c r="D43" s="140">
        <f>D44+21</f>
        <v>229</v>
      </c>
      <c r="E43" s="144">
        <f t="shared" si="32"/>
        <v>1.56</v>
      </c>
      <c r="F43" s="42">
        <f>D43*E43</f>
        <v>357.24</v>
      </c>
      <c r="G43" s="51">
        <f>(F43-F42)/(C43-B43)</f>
        <v>14.040000000000006</v>
      </c>
      <c r="I43" s="55">
        <v>38</v>
      </c>
      <c r="J43" s="33">
        <f t="shared" si="21"/>
        <v>0</v>
      </c>
      <c r="K43" s="33">
        <f t="shared" si="22"/>
        <v>0</v>
      </c>
      <c r="L43" s="33">
        <f t="shared" si="23"/>
        <v>70</v>
      </c>
      <c r="M43" s="33">
        <f t="shared" si="24"/>
        <v>0</v>
      </c>
      <c r="N43" s="33">
        <f t="shared" si="0"/>
        <v>0</v>
      </c>
      <c r="O43" s="34">
        <f t="shared" si="1"/>
        <v>256.66666666666669</v>
      </c>
      <c r="P43" s="55">
        <v>38</v>
      </c>
      <c r="Q43" s="33">
        <f t="shared" si="19"/>
        <v>16.379999999999995</v>
      </c>
      <c r="R43" s="33">
        <f t="shared" si="25"/>
        <v>180.95999999999998</v>
      </c>
      <c r="S43" s="33">
        <f t="shared" si="26"/>
        <v>101.33759999999999</v>
      </c>
      <c r="T43" s="33">
        <f t="shared" si="2"/>
        <v>27.280415454305565</v>
      </c>
      <c r="U43" s="33">
        <f t="shared" si="20"/>
        <v>70</v>
      </c>
      <c r="V43" s="33">
        <f t="shared" si="3"/>
        <v>10</v>
      </c>
      <c r="W43" s="33">
        <v>0</v>
      </c>
      <c r="X43" s="33">
        <f t="shared" si="4"/>
        <v>517.34304358291558</v>
      </c>
      <c r="Y43" s="38">
        <f t="shared" si="5"/>
        <v>260.6763769162489</v>
      </c>
      <c r="AA43" s="71">
        <v>38</v>
      </c>
      <c r="AB43" s="33">
        <f t="shared" si="6"/>
        <v>0</v>
      </c>
      <c r="AC43" s="308">
        <f t="shared" si="41"/>
        <v>0</v>
      </c>
      <c r="AD43" s="101">
        <f t="shared" si="8"/>
        <v>0</v>
      </c>
      <c r="AE43" s="101">
        <f t="shared" si="9"/>
        <v>0</v>
      </c>
      <c r="AF43" s="197">
        <f t="shared" si="36"/>
        <v>0</v>
      </c>
      <c r="AG43" s="197">
        <f t="shared" si="37"/>
        <v>0</v>
      </c>
      <c r="AH43" s="197">
        <f t="shared" si="38"/>
        <v>0</v>
      </c>
      <c r="AI43" s="202">
        <f t="shared" si="39"/>
        <v>0</v>
      </c>
      <c r="AK43" s="71">
        <v>38</v>
      </c>
      <c r="AL43" s="33">
        <f t="shared" si="10"/>
        <v>0</v>
      </c>
      <c r="AM43" s="33">
        <f t="shared" si="11"/>
        <v>0</v>
      </c>
      <c r="AN43" s="33">
        <f t="shared" si="12"/>
        <v>0</v>
      </c>
      <c r="AO43" s="33">
        <f t="shared" si="13"/>
        <v>0</v>
      </c>
      <c r="AP43" s="33">
        <f t="shared" si="14"/>
        <v>0</v>
      </c>
      <c r="AQ43" s="197">
        <f t="shared" si="15"/>
        <v>0</v>
      </c>
      <c r="AR43" s="197">
        <f t="shared" si="16"/>
        <v>0</v>
      </c>
      <c r="AS43" s="197">
        <f t="shared" si="17"/>
        <v>0</v>
      </c>
      <c r="AT43" s="197">
        <f t="shared" si="18"/>
        <v>0</v>
      </c>
      <c r="AU43" s="33"/>
      <c r="AV43" s="33"/>
      <c r="AW43" s="33"/>
      <c r="AX43" s="33"/>
      <c r="AY43" s="76"/>
    </row>
    <row r="44" spans="2:51">
      <c r="B44" s="40">
        <f t="shared" si="34"/>
        <v>65</v>
      </c>
      <c r="C44" s="155">
        <f t="shared" si="40"/>
        <v>66</v>
      </c>
      <c r="D44" s="140">
        <v>208</v>
      </c>
      <c r="E44" s="144">
        <f t="shared" si="32"/>
        <v>1.56</v>
      </c>
      <c r="F44" s="42">
        <f>D44*E44</f>
        <v>324.48</v>
      </c>
      <c r="G44" s="51">
        <f>(F44-F43)/(C44-B44)</f>
        <v>-32.759999999999991</v>
      </c>
      <c r="I44" s="55">
        <v>39</v>
      </c>
      <c r="J44" s="33">
        <f t="shared" si="21"/>
        <v>0</v>
      </c>
      <c r="K44" s="33">
        <f t="shared" si="22"/>
        <v>0</v>
      </c>
      <c r="L44" s="33">
        <f t="shared" si="23"/>
        <v>70</v>
      </c>
      <c r="M44" s="33">
        <f t="shared" si="24"/>
        <v>0</v>
      </c>
      <c r="N44" s="33">
        <f t="shared" si="0"/>
        <v>0</v>
      </c>
      <c r="O44" s="34">
        <f t="shared" si="1"/>
        <v>256.66666666666669</v>
      </c>
      <c r="P44" s="55">
        <v>39</v>
      </c>
      <c r="Q44" s="33">
        <f t="shared" si="19"/>
        <v>16.379999999999995</v>
      </c>
      <c r="R44" s="33">
        <f t="shared" si="25"/>
        <v>197.33999999999997</v>
      </c>
      <c r="S44" s="33">
        <f t="shared" si="26"/>
        <v>110.51039999999999</v>
      </c>
      <c r="T44" s="33">
        <f t="shared" si="2"/>
        <v>29.451206375056387</v>
      </c>
      <c r="U44" s="33">
        <f t="shared" si="20"/>
        <v>70</v>
      </c>
      <c r="V44" s="33">
        <f t="shared" si="3"/>
        <v>10</v>
      </c>
      <c r="W44" s="33">
        <v>0</v>
      </c>
      <c r="X44" s="33">
        <f t="shared" si="4"/>
        <v>537.09979776988973</v>
      </c>
      <c r="Y44" s="38">
        <f t="shared" si="5"/>
        <v>280.43313110322305</v>
      </c>
      <c r="AA44" s="71">
        <v>39</v>
      </c>
      <c r="AB44" s="33">
        <f t="shared" si="6"/>
        <v>0</v>
      </c>
      <c r="AC44" s="308">
        <f t="shared" si="41"/>
        <v>0</v>
      </c>
      <c r="AD44" s="101">
        <f t="shared" si="8"/>
        <v>0</v>
      </c>
      <c r="AE44" s="101">
        <f t="shared" si="9"/>
        <v>0</v>
      </c>
      <c r="AF44" s="197">
        <f t="shared" si="36"/>
        <v>0</v>
      </c>
      <c r="AG44" s="197">
        <f t="shared" si="37"/>
        <v>0</v>
      </c>
      <c r="AH44" s="197">
        <f t="shared" si="38"/>
        <v>0</v>
      </c>
      <c r="AI44" s="202">
        <f t="shared" si="39"/>
        <v>0</v>
      </c>
      <c r="AK44" s="71">
        <v>39</v>
      </c>
      <c r="AL44" s="33">
        <f t="shared" si="10"/>
        <v>0</v>
      </c>
      <c r="AM44" s="33">
        <f t="shared" si="11"/>
        <v>0</v>
      </c>
      <c r="AN44" s="33">
        <f t="shared" si="12"/>
        <v>0</v>
      </c>
      <c r="AO44" s="33">
        <f t="shared" si="13"/>
        <v>0</v>
      </c>
      <c r="AP44" s="33">
        <f t="shared" si="14"/>
        <v>0</v>
      </c>
      <c r="AQ44" s="197">
        <f t="shared" si="15"/>
        <v>0</v>
      </c>
      <c r="AR44" s="197">
        <f t="shared" si="16"/>
        <v>0</v>
      </c>
      <c r="AS44" s="197">
        <f t="shared" si="17"/>
        <v>0</v>
      </c>
      <c r="AT44" s="197">
        <f t="shared" si="18"/>
        <v>0</v>
      </c>
      <c r="AU44" s="33"/>
      <c r="AV44" s="33"/>
      <c r="AW44" s="33"/>
      <c r="AX44" s="33"/>
      <c r="AY44" s="76"/>
    </row>
    <row r="45" spans="2:51">
      <c r="B45" s="40">
        <f t="shared" si="34"/>
        <v>66</v>
      </c>
      <c r="C45" s="155">
        <f t="shared" si="40"/>
        <v>70</v>
      </c>
      <c r="D45" s="140">
        <f>D46+21</f>
        <v>242</v>
      </c>
      <c r="E45" s="144">
        <f t="shared" si="32"/>
        <v>1.56</v>
      </c>
      <c r="F45" s="42">
        <f>D45*E45</f>
        <v>377.52000000000004</v>
      </c>
      <c r="G45" s="51">
        <f>(F45-F44)/(C45-B45)</f>
        <v>13.260000000000005</v>
      </c>
      <c r="I45" s="55">
        <v>40</v>
      </c>
      <c r="J45" s="33">
        <f t="shared" si="21"/>
        <v>0</v>
      </c>
      <c r="K45" s="33">
        <f t="shared" si="22"/>
        <v>0</v>
      </c>
      <c r="L45" s="33">
        <f t="shared" si="23"/>
        <v>70</v>
      </c>
      <c r="M45" s="33">
        <f t="shared" si="24"/>
        <v>0</v>
      </c>
      <c r="N45" s="33">
        <f t="shared" si="0"/>
        <v>0</v>
      </c>
      <c r="O45" s="34">
        <f t="shared" si="1"/>
        <v>256.66666666666669</v>
      </c>
      <c r="P45" s="55">
        <v>40</v>
      </c>
      <c r="Q45" s="33">
        <f t="shared" si="19"/>
        <v>16.379999999999995</v>
      </c>
      <c r="R45" s="33">
        <f t="shared" si="25"/>
        <v>213.71999999999997</v>
      </c>
      <c r="S45" s="33">
        <f t="shared" si="26"/>
        <v>119.6832</v>
      </c>
      <c r="T45" s="33">
        <f t="shared" si="2"/>
        <v>31.601099532596166</v>
      </c>
      <c r="U45" s="33">
        <f t="shared" si="20"/>
        <v>70</v>
      </c>
      <c r="V45" s="33">
        <f t="shared" si="3"/>
        <v>10</v>
      </c>
      <c r="W45" s="33">
        <v>0</v>
      </c>
      <c r="X45" s="33">
        <f t="shared" si="4"/>
        <v>556.82015501927151</v>
      </c>
      <c r="Y45" s="38">
        <f t="shared" si="5"/>
        <v>300.15348835260482</v>
      </c>
      <c r="AA45" s="71">
        <v>40</v>
      </c>
      <c r="AB45" s="33">
        <f t="shared" si="6"/>
        <v>0</v>
      </c>
      <c r="AC45" s="308">
        <f t="shared" si="41"/>
        <v>0</v>
      </c>
      <c r="AD45" s="101">
        <f t="shared" si="8"/>
        <v>0</v>
      </c>
      <c r="AE45" s="101">
        <f t="shared" si="9"/>
        <v>0</v>
      </c>
      <c r="AF45" s="197">
        <f t="shared" si="36"/>
        <v>0</v>
      </c>
      <c r="AG45" s="197">
        <f t="shared" si="37"/>
        <v>0</v>
      </c>
      <c r="AH45" s="197">
        <f t="shared" si="38"/>
        <v>0</v>
      </c>
      <c r="AI45" s="202">
        <f t="shared" si="39"/>
        <v>0</v>
      </c>
      <c r="AK45" s="71">
        <v>40</v>
      </c>
      <c r="AL45" s="33">
        <f t="shared" si="10"/>
        <v>0</v>
      </c>
      <c r="AM45" s="33">
        <f t="shared" si="11"/>
        <v>0</v>
      </c>
      <c r="AN45" s="33">
        <f t="shared" si="12"/>
        <v>0</v>
      </c>
      <c r="AO45" s="33">
        <f t="shared" si="13"/>
        <v>0</v>
      </c>
      <c r="AP45" s="33">
        <f t="shared" si="14"/>
        <v>0</v>
      </c>
      <c r="AQ45" s="197">
        <f t="shared" si="15"/>
        <v>0</v>
      </c>
      <c r="AR45" s="197">
        <f t="shared" si="16"/>
        <v>0</v>
      </c>
      <c r="AS45" s="197">
        <f t="shared" si="17"/>
        <v>0</v>
      </c>
      <c r="AT45" s="197">
        <f t="shared" si="18"/>
        <v>0</v>
      </c>
      <c r="AU45" s="33"/>
      <c r="AV45" s="33"/>
      <c r="AW45" s="33"/>
      <c r="AX45" s="33"/>
      <c r="AY45" s="76"/>
    </row>
    <row r="46" spans="2:51">
      <c r="B46" s="40">
        <f t="shared" si="34"/>
        <v>70</v>
      </c>
      <c r="C46" s="155">
        <f t="shared" si="40"/>
        <v>71</v>
      </c>
      <c r="D46" s="140">
        <v>221</v>
      </c>
      <c r="E46" s="144">
        <f t="shared" si="32"/>
        <v>1.56</v>
      </c>
      <c r="F46" s="42">
        <f>D46*E46</f>
        <v>344.76</v>
      </c>
      <c r="G46" s="51">
        <f>(F46-F45)/(C46-B46)</f>
        <v>-32.760000000000048</v>
      </c>
      <c r="I46" s="55">
        <v>41</v>
      </c>
      <c r="J46" s="33">
        <f t="shared" si="21"/>
        <v>0</v>
      </c>
      <c r="K46" s="33">
        <f t="shared" si="22"/>
        <v>0</v>
      </c>
      <c r="L46" s="33">
        <f t="shared" si="23"/>
        <v>70</v>
      </c>
      <c r="M46" s="33">
        <f t="shared" si="24"/>
        <v>0</v>
      </c>
      <c r="N46" s="33">
        <f t="shared" si="0"/>
        <v>0</v>
      </c>
      <c r="O46" s="34">
        <f t="shared" si="1"/>
        <v>256.66666666666669</v>
      </c>
      <c r="P46" s="55">
        <v>41</v>
      </c>
      <c r="Q46" s="33">
        <f t="shared" si="19"/>
        <v>-32.759999999999991</v>
      </c>
      <c r="R46" s="33">
        <f t="shared" si="25"/>
        <v>180.95999999999998</v>
      </c>
      <c r="S46" s="33">
        <f t="shared" si="26"/>
        <v>101.33759999999999</v>
      </c>
      <c r="T46" s="33">
        <f t="shared" si="2"/>
        <v>27.280415454305565</v>
      </c>
      <c r="U46" s="33">
        <f t="shared" si="20"/>
        <v>70</v>
      </c>
      <c r="V46" s="33">
        <f t="shared" si="3"/>
        <v>10</v>
      </c>
      <c r="W46" s="33">
        <v>0</v>
      </c>
      <c r="X46" s="33">
        <f t="shared" si="4"/>
        <v>517.34304358291558</v>
      </c>
      <c r="Y46" s="38">
        <f t="shared" si="5"/>
        <v>260.6763769162489</v>
      </c>
      <c r="AA46" s="71">
        <v>41</v>
      </c>
      <c r="AB46" s="33">
        <f t="shared" si="6"/>
        <v>21</v>
      </c>
      <c r="AC46" s="308">
        <f t="shared" si="41"/>
        <v>0.15</v>
      </c>
      <c r="AD46" s="101">
        <f t="shared" si="8"/>
        <v>0</v>
      </c>
      <c r="AE46" s="101">
        <f t="shared" si="9"/>
        <v>0</v>
      </c>
      <c r="AF46" s="197">
        <f t="shared" si="36"/>
        <v>3.0420776092139543</v>
      </c>
      <c r="AG46" s="197">
        <f t="shared" si="37"/>
        <v>0</v>
      </c>
      <c r="AH46" s="197">
        <f t="shared" si="38"/>
        <v>0</v>
      </c>
      <c r="AI46" s="202">
        <f t="shared" si="39"/>
        <v>3.0420776092139543</v>
      </c>
      <c r="AK46" s="71">
        <v>41</v>
      </c>
      <c r="AL46" s="33">
        <f t="shared" si="10"/>
        <v>21</v>
      </c>
      <c r="AM46" s="33">
        <f t="shared" si="11"/>
        <v>0.3</v>
      </c>
      <c r="AN46" s="33">
        <f t="shared" si="12"/>
        <v>0</v>
      </c>
      <c r="AO46" s="33">
        <f t="shared" si="13"/>
        <v>0</v>
      </c>
      <c r="AP46" s="33">
        <f t="shared" si="14"/>
        <v>0.7</v>
      </c>
      <c r="AQ46" s="197">
        <f t="shared" si="15"/>
        <v>6.3</v>
      </c>
      <c r="AR46" s="197">
        <f t="shared" si="16"/>
        <v>0</v>
      </c>
      <c r="AS46" s="197">
        <f t="shared" si="17"/>
        <v>0</v>
      </c>
      <c r="AT46" s="197">
        <f t="shared" si="18"/>
        <v>14.7</v>
      </c>
      <c r="AU46" s="33"/>
      <c r="AV46" s="33"/>
      <c r="AW46" s="33"/>
      <c r="AX46" s="33"/>
      <c r="AY46" s="76"/>
    </row>
    <row r="47" spans="2:51">
      <c r="B47" s="40">
        <f t="shared" si="34"/>
        <v>71</v>
      </c>
      <c r="C47" s="155">
        <f t="shared" si="40"/>
        <v>75</v>
      </c>
      <c r="D47" s="140">
        <f>D48+21</f>
        <v>252</v>
      </c>
      <c r="E47" s="144">
        <f t="shared" si="32"/>
        <v>1.56</v>
      </c>
      <c r="F47" s="42">
        <f t="shared" ref="F47" si="42">D47*E47</f>
        <v>393.12</v>
      </c>
      <c r="G47" s="51">
        <f t="shared" ref="G47" si="43">(F47-F46)/(C47-B47)</f>
        <v>12.090000000000003</v>
      </c>
      <c r="I47" s="55">
        <v>42</v>
      </c>
      <c r="J47" s="33">
        <f t="shared" si="21"/>
        <v>0</v>
      </c>
      <c r="K47" s="33">
        <f t="shared" si="22"/>
        <v>0</v>
      </c>
      <c r="L47" s="33">
        <f t="shared" si="23"/>
        <v>70</v>
      </c>
      <c r="M47" s="33">
        <f t="shared" si="24"/>
        <v>0</v>
      </c>
      <c r="N47" s="33">
        <f t="shared" si="0"/>
        <v>0</v>
      </c>
      <c r="O47" s="34">
        <f t="shared" si="1"/>
        <v>256.66666666666669</v>
      </c>
      <c r="P47" s="55">
        <v>42</v>
      </c>
      <c r="Q47" s="33">
        <f t="shared" si="19"/>
        <v>16.380000000000003</v>
      </c>
      <c r="R47" s="33">
        <f t="shared" si="25"/>
        <v>197.33999999999997</v>
      </c>
      <c r="S47" s="33">
        <f t="shared" si="26"/>
        <v>110.51039999999999</v>
      </c>
      <c r="T47" s="33">
        <f t="shared" si="2"/>
        <v>29.451206375056387</v>
      </c>
      <c r="U47" s="33">
        <f t="shared" si="20"/>
        <v>70</v>
      </c>
      <c r="V47" s="33">
        <f t="shared" si="3"/>
        <v>10</v>
      </c>
      <c r="W47" s="33">
        <v>0</v>
      </c>
      <c r="X47" s="33">
        <f t="shared" si="4"/>
        <v>537.09979776988973</v>
      </c>
      <c r="Y47" s="38">
        <f t="shared" si="5"/>
        <v>280.43313110322305</v>
      </c>
      <c r="AA47" s="71">
        <v>42</v>
      </c>
      <c r="AB47" s="33">
        <f t="shared" si="6"/>
        <v>0</v>
      </c>
      <c r="AC47" s="308">
        <f t="shared" si="41"/>
        <v>0</v>
      </c>
      <c r="AD47" s="101">
        <f t="shared" si="8"/>
        <v>0</v>
      </c>
      <c r="AE47" s="101">
        <f t="shared" si="9"/>
        <v>0</v>
      </c>
      <c r="AF47" s="197">
        <f t="shared" si="36"/>
        <v>2.9824243227813962</v>
      </c>
      <c r="AG47" s="197">
        <f t="shared" si="37"/>
        <v>0</v>
      </c>
      <c r="AH47" s="197">
        <f t="shared" si="38"/>
        <v>0</v>
      </c>
      <c r="AI47" s="202">
        <f t="shared" si="39"/>
        <v>2.9824243227813962</v>
      </c>
      <c r="AK47" s="71">
        <v>42</v>
      </c>
      <c r="AL47" s="33">
        <f t="shared" si="10"/>
        <v>0</v>
      </c>
      <c r="AM47" s="33">
        <f t="shared" si="11"/>
        <v>0</v>
      </c>
      <c r="AN47" s="33">
        <f t="shared" si="12"/>
        <v>0</v>
      </c>
      <c r="AO47" s="33">
        <f t="shared" si="13"/>
        <v>0</v>
      </c>
      <c r="AP47" s="33">
        <f t="shared" si="14"/>
        <v>0</v>
      </c>
      <c r="AQ47" s="197">
        <f t="shared" si="15"/>
        <v>0</v>
      </c>
      <c r="AR47" s="197">
        <f t="shared" si="16"/>
        <v>0</v>
      </c>
      <c r="AS47" s="197">
        <f t="shared" si="17"/>
        <v>0</v>
      </c>
      <c r="AT47" s="197">
        <f t="shared" si="18"/>
        <v>0</v>
      </c>
      <c r="AU47" s="33"/>
      <c r="AV47" s="33"/>
      <c r="AW47" s="33"/>
      <c r="AX47" s="33"/>
      <c r="AY47" s="76"/>
    </row>
    <row r="48" spans="2:51">
      <c r="B48" s="40">
        <f t="shared" si="34"/>
        <v>75</v>
      </c>
      <c r="C48" s="155">
        <f t="shared" si="40"/>
        <v>76</v>
      </c>
      <c r="D48" s="140">
        <v>231</v>
      </c>
      <c r="E48" s="144">
        <f t="shared" si="32"/>
        <v>1.56</v>
      </c>
      <c r="F48" s="42">
        <f t="shared" ref="F48:F78" si="44">D48*E48</f>
        <v>360.36</v>
      </c>
      <c r="G48" s="51">
        <f t="shared" ref="G48:G78" si="45">(F48-F47)/(C48-B48)</f>
        <v>-32.759999999999991</v>
      </c>
      <c r="I48" s="55">
        <v>43</v>
      </c>
      <c r="J48" s="33">
        <f t="shared" si="21"/>
        <v>0</v>
      </c>
      <c r="K48" s="33">
        <f t="shared" si="22"/>
        <v>0</v>
      </c>
      <c r="L48" s="33">
        <f t="shared" si="23"/>
        <v>70</v>
      </c>
      <c r="M48" s="33">
        <f t="shared" si="24"/>
        <v>0</v>
      </c>
      <c r="N48" s="33">
        <f t="shared" si="0"/>
        <v>0</v>
      </c>
      <c r="O48" s="34">
        <f t="shared" si="1"/>
        <v>256.66666666666669</v>
      </c>
      <c r="P48" s="55">
        <v>43</v>
      </c>
      <c r="Q48" s="33">
        <f t="shared" si="19"/>
        <v>16.380000000000003</v>
      </c>
      <c r="R48" s="33">
        <f t="shared" si="25"/>
        <v>213.71999999999997</v>
      </c>
      <c r="S48" s="33">
        <f t="shared" si="26"/>
        <v>119.6832</v>
      </c>
      <c r="T48" s="33">
        <f t="shared" si="2"/>
        <v>31.601099532596166</v>
      </c>
      <c r="U48" s="33">
        <f t="shared" si="20"/>
        <v>70</v>
      </c>
      <c r="V48" s="33">
        <f t="shared" si="3"/>
        <v>10</v>
      </c>
      <c r="W48" s="33">
        <v>0</v>
      </c>
      <c r="X48" s="33">
        <f t="shared" si="4"/>
        <v>556.82015501927151</v>
      </c>
      <c r="Y48" s="38">
        <f t="shared" si="5"/>
        <v>300.15348835260482</v>
      </c>
      <c r="AA48" s="71">
        <v>43</v>
      </c>
      <c r="AB48" s="33">
        <f t="shared" si="6"/>
        <v>0</v>
      </c>
      <c r="AC48" s="308">
        <f t="shared" si="41"/>
        <v>0</v>
      </c>
      <c r="AD48" s="101">
        <f t="shared" si="8"/>
        <v>0</v>
      </c>
      <c r="AE48" s="101">
        <f t="shared" si="9"/>
        <v>0</v>
      </c>
      <c r="AF48" s="197">
        <f t="shared" si="36"/>
        <v>2.9239408009108687</v>
      </c>
      <c r="AG48" s="197">
        <f t="shared" si="37"/>
        <v>0</v>
      </c>
      <c r="AH48" s="197">
        <f t="shared" si="38"/>
        <v>0</v>
      </c>
      <c r="AI48" s="202">
        <f t="shared" si="39"/>
        <v>2.9239408009108687</v>
      </c>
      <c r="AK48" s="71">
        <v>43</v>
      </c>
      <c r="AL48" s="33">
        <f t="shared" si="10"/>
        <v>0</v>
      </c>
      <c r="AM48" s="33">
        <f t="shared" si="11"/>
        <v>0</v>
      </c>
      <c r="AN48" s="33">
        <f t="shared" si="12"/>
        <v>0</v>
      </c>
      <c r="AO48" s="33">
        <f t="shared" si="13"/>
        <v>0</v>
      </c>
      <c r="AP48" s="33">
        <f t="shared" si="14"/>
        <v>0</v>
      </c>
      <c r="AQ48" s="197">
        <f t="shared" si="15"/>
        <v>0</v>
      </c>
      <c r="AR48" s="197">
        <f t="shared" si="16"/>
        <v>0</v>
      </c>
      <c r="AS48" s="197">
        <f t="shared" si="17"/>
        <v>0</v>
      </c>
      <c r="AT48" s="197">
        <f t="shared" si="18"/>
        <v>0</v>
      </c>
      <c r="AU48" s="33"/>
      <c r="AV48" s="33"/>
      <c r="AW48" s="33"/>
      <c r="AX48" s="33"/>
      <c r="AY48" s="76"/>
    </row>
    <row r="49" spans="2:51">
      <c r="B49" s="40">
        <f t="shared" si="34"/>
        <v>76</v>
      </c>
      <c r="C49" s="155">
        <f t="shared" si="40"/>
        <v>80</v>
      </c>
      <c r="D49" s="140">
        <f>D50+21</f>
        <v>261</v>
      </c>
      <c r="E49" s="144">
        <f t="shared" si="32"/>
        <v>1.56</v>
      </c>
      <c r="F49" s="42">
        <f t="shared" si="44"/>
        <v>407.16</v>
      </c>
      <c r="G49" s="51">
        <f t="shared" si="45"/>
        <v>11.700000000000003</v>
      </c>
      <c r="I49" s="55">
        <v>44</v>
      </c>
      <c r="J49" s="33">
        <f t="shared" si="21"/>
        <v>0</v>
      </c>
      <c r="K49" s="33">
        <f t="shared" si="22"/>
        <v>0</v>
      </c>
      <c r="L49" s="33">
        <f t="shared" si="23"/>
        <v>70</v>
      </c>
      <c r="M49" s="33">
        <f t="shared" si="24"/>
        <v>0</v>
      </c>
      <c r="N49" s="33">
        <f t="shared" si="0"/>
        <v>0</v>
      </c>
      <c r="O49" s="34">
        <f t="shared" si="1"/>
        <v>256.66666666666669</v>
      </c>
      <c r="P49" s="55">
        <v>44</v>
      </c>
      <c r="Q49" s="33">
        <f t="shared" si="19"/>
        <v>16.380000000000003</v>
      </c>
      <c r="R49" s="33">
        <f t="shared" si="25"/>
        <v>230.09999999999997</v>
      </c>
      <c r="S49" s="33">
        <f t="shared" si="26"/>
        <v>128.85599999999999</v>
      </c>
      <c r="T49" s="33">
        <f t="shared" si="2"/>
        <v>33.731878688740906</v>
      </c>
      <c r="U49" s="33">
        <f t="shared" si="20"/>
        <v>70</v>
      </c>
      <c r="V49" s="33">
        <f t="shared" si="3"/>
        <v>10</v>
      </c>
      <c r="W49" s="33">
        <v>0</v>
      </c>
      <c r="X49" s="33">
        <f t="shared" si="4"/>
        <v>576.50722204955707</v>
      </c>
      <c r="Y49" s="38">
        <f t="shared" si="5"/>
        <v>319.84055538289039</v>
      </c>
      <c r="AA49" s="71">
        <v>44</v>
      </c>
      <c r="AB49" s="33">
        <f t="shared" si="6"/>
        <v>0</v>
      </c>
      <c r="AC49" s="308">
        <f t="shared" si="41"/>
        <v>0</v>
      </c>
      <c r="AD49" s="101">
        <f t="shared" si="8"/>
        <v>0</v>
      </c>
      <c r="AE49" s="101">
        <f t="shared" si="9"/>
        <v>0</v>
      </c>
      <c r="AF49" s="197">
        <f t="shared" si="36"/>
        <v>2.8666041052327964</v>
      </c>
      <c r="AG49" s="197">
        <f t="shared" si="37"/>
        <v>0</v>
      </c>
      <c r="AH49" s="197">
        <f t="shared" si="38"/>
        <v>0</v>
      </c>
      <c r="AI49" s="202">
        <f t="shared" si="39"/>
        <v>2.8666041052327964</v>
      </c>
      <c r="AK49" s="71">
        <v>44</v>
      </c>
      <c r="AL49" s="33">
        <f t="shared" si="10"/>
        <v>0</v>
      </c>
      <c r="AM49" s="33">
        <f t="shared" si="11"/>
        <v>0</v>
      </c>
      <c r="AN49" s="33">
        <f t="shared" si="12"/>
        <v>0</v>
      </c>
      <c r="AO49" s="33">
        <f t="shared" si="13"/>
        <v>0</v>
      </c>
      <c r="AP49" s="33">
        <f t="shared" si="14"/>
        <v>0</v>
      </c>
      <c r="AQ49" s="197">
        <f t="shared" si="15"/>
        <v>0</v>
      </c>
      <c r="AR49" s="197">
        <f t="shared" si="16"/>
        <v>0</v>
      </c>
      <c r="AS49" s="197">
        <f t="shared" si="17"/>
        <v>0</v>
      </c>
      <c r="AT49" s="197">
        <f t="shared" si="18"/>
        <v>0</v>
      </c>
      <c r="AU49" s="33"/>
      <c r="AV49" s="33"/>
      <c r="AW49" s="33"/>
      <c r="AX49" s="33"/>
      <c r="AY49" s="76"/>
    </row>
    <row r="50" spans="2:51">
      <c r="B50" s="40">
        <f t="shared" si="34"/>
        <v>80</v>
      </c>
      <c r="C50" s="155">
        <f t="shared" si="40"/>
        <v>81</v>
      </c>
      <c r="D50" s="140">
        <v>240</v>
      </c>
      <c r="E50" s="144">
        <f t="shared" si="32"/>
        <v>1.56</v>
      </c>
      <c r="F50" s="42">
        <f t="shared" si="44"/>
        <v>374.40000000000003</v>
      </c>
      <c r="G50" s="51">
        <f t="shared" si="45"/>
        <v>-32.759999999999991</v>
      </c>
      <c r="I50" s="55">
        <v>45</v>
      </c>
      <c r="J50" s="33">
        <f t="shared" si="21"/>
        <v>0</v>
      </c>
      <c r="K50" s="33">
        <f t="shared" si="22"/>
        <v>0</v>
      </c>
      <c r="L50" s="33">
        <f t="shared" si="23"/>
        <v>70</v>
      </c>
      <c r="M50" s="33">
        <f t="shared" si="24"/>
        <v>0</v>
      </c>
      <c r="N50" s="33">
        <f t="shared" si="0"/>
        <v>0</v>
      </c>
      <c r="O50" s="34">
        <f t="shared" si="1"/>
        <v>256.66666666666669</v>
      </c>
      <c r="P50" s="55">
        <v>45</v>
      </c>
      <c r="Q50" s="33">
        <f t="shared" si="19"/>
        <v>16.380000000000003</v>
      </c>
      <c r="R50" s="33">
        <f t="shared" si="25"/>
        <v>246.47999999999996</v>
      </c>
      <c r="S50" s="33">
        <f t="shared" si="26"/>
        <v>138.02879999999999</v>
      </c>
      <c r="T50" s="33">
        <f t="shared" si="2"/>
        <v>35.845059256813073</v>
      </c>
      <c r="U50" s="33">
        <f t="shared" si="20"/>
        <v>70</v>
      </c>
      <c r="V50" s="33">
        <f t="shared" si="3"/>
        <v>10</v>
      </c>
      <c r="W50" s="33">
        <v>0</v>
      </c>
      <c r="X50" s="33">
        <f t="shared" si="4"/>
        <v>596.16363820561617</v>
      </c>
      <c r="Y50" s="38">
        <f t="shared" si="5"/>
        <v>339.49697153894948</v>
      </c>
      <c r="AA50" s="71">
        <v>45</v>
      </c>
      <c r="AB50" s="33">
        <f t="shared" si="6"/>
        <v>0</v>
      </c>
      <c r="AC50" s="308">
        <f t="shared" si="41"/>
        <v>0</v>
      </c>
      <c r="AD50" s="101">
        <f t="shared" si="8"/>
        <v>0</v>
      </c>
      <c r="AE50" s="101">
        <f t="shared" si="9"/>
        <v>0</v>
      </c>
      <c r="AF50" s="197">
        <f t="shared" si="36"/>
        <v>2.8103917471850397</v>
      </c>
      <c r="AG50" s="197">
        <f t="shared" si="37"/>
        <v>0</v>
      </c>
      <c r="AH50" s="197">
        <f t="shared" si="38"/>
        <v>0</v>
      </c>
      <c r="AI50" s="202">
        <f t="shared" si="39"/>
        <v>2.8103917471850397</v>
      </c>
      <c r="AK50" s="71">
        <v>45</v>
      </c>
      <c r="AL50" s="33">
        <f t="shared" si="10"/>
        <v>0</v>
      </c>
      <c r="AM50" s="33">
        <f t="shared" si="11"/>
        <v>0</v>
      </c>
      <c r="AN50" s="33">
        <f t="shared" si="12"/>
        <v>0</v>
      </c>
      <c r="AO50" s="33">
        <f t="shared" si="13"/>
        <v>0</v>
      </c>
      <c r="AP50" s="33">
        <f t="shared" si="14"/>
        <v>0</v>
      </c>
      <c r="AQ50" s="197">
        <f t="shared" si="15"/>
        <v>0</v>
      </c>
      <c r="AR50" s="197">
        <f t="shared" si="16"/>
        <v>0</v>
      </c>
      <c r="AS50" s="197">
        <f t="shared" si="17"/>
        <v>0</v>
      </c>
      <c r="AT50" s="197">
        <f t="shared" si="18"/>
        <v>0</v>
      </c>
      <c r="AU50" s="33"/>
      <c r="AV50" s="33"/>
      <c r="AW50" s="33"/>
      <c r="AX50" s="33"/>
      <c r="AY50" s="76"/>
    </row>
    <row r="51" spans="2:51">
      <c r="B51" s="40">
        <f t="shared" si="34"/>
        <v>81</v>
      </c>
      <c r="C51" s="155">
        <f t="shared" si="40"/>
        <v>85</v>
      </c>
      <c r="D51" s="140">
        <f>D52+21</f>
        <v>269</v>
      </c>
      <c r="E51" s="144">
        <f t="shared" si="32"/>
        <v>1.56</v>
      </c>
      <c r="F51" s="42">
        <f t="shared" si="44"/>
        <v>419.64</v>
      </c>
      <c r="G51" s="51">
        <f t="shared" si="45"/>
        <v>11.309999999999988</v>
      </c>
      <c r="I51" s="55">
        <v>46</v>
      </c>
      <c r="J51" s="33">
        <f t="shared" si="21"/>
        <v>0</v>
      </c>
      <c r="K51" s="33">
        <f t="shared" si="22"/>
        <v>0</v>
      </c>
      <c r="L51" s="33">
        <f t="shared" si="23"/>
        <v>70</v>
      </c>
      <c r="M51" s="33">
        <f t="shared" si="24"/>
        <v>0</v>
      </c>
      <c r="N51" s="33">
        <f t="shared" si="0"/>
        <v>0</v>
      </c>
      <c r="O51" s="34">
        <f t="shared" si="1"/>
        <v>256.66666666666669</v>
      </c>
      <c r="P51" s="55">
        <v>46</v>
      </c>
      <c r="Q51" s="33">
        <f t="shared" si="19"/>
        <v>-32.760000000000019</v>
      </c>
      <c r="R51" s="33">
        <f t="shared" si="25"/>
        <v>213.71999999999994</v>
      </c>
      <c r="S51" s="33">
        <f t="shared" si="26"/>
        <v>119.68319999999999</v>
      </c>
      <c r="T51" s="33">
        <f t="shared" si="2"/>
        <v>31.601099532596166</v>
      </c>
      <c r="U51" s="33">
        <f t="shared" si="20"/>
        <v>70</v>
      </c>
      <c r="V51" s="33">
        <f t="shared" si="3"/>
        <v>10</v>
      </c>
      <c r="W51" s="33">
        <v>0</v>
      </c>
      <c r="X51" s="33">
        <f t="shared" si="4"/>
        <v>556.82015501927151</v>
      </c>
      <c r="Y51" s="38">
        <f t="shared" si="5"/>
        <v>300.15348835260482</v>
      </c>
      <c r="AA51" s="71">
        <v>46</v>
      </c>
      <c r="AB51" s="33">
        <f t="shared" si="6"/>
        <v>21</v>
      </c>
      <c r="AC51" s="308">
        <f t="shared" si="41"/>
        <v>0.25</v>
      </c>
      <c r="AD51" s="101">
        <f t="shared" si="8"/>
        <v>0</v>
      </c>
      <c r="AE51" s="101">
        <f t="shared" si="9"/>
        <v>0</v>
      </c>
      <c r="AF51" s="197">
        <f t="shared" si="36"/>
        <v>7.8254110278823692</v>
      </c>
      <c r="AG51" s="197">
        <f t="shared" si="37"/>
        <v>0</v>
      </c>
      <c r="AH51" s="197">
        <f t="shared" si="38"/>
        <v>0</v>
      </c>
      <c r="AI51" s="202">
        <f t="shared" si="39"/>
        <v>7.8254110278823692</v>
      </c>
      <c r="AK51" s="71">
        <v>46</v>
      </c>
      <c r="AL51" s="33">
        <f t="shared" si="10"/>
        <v>21</v>
      </c>
      <c r="AM51" s="33">
        <f t="shared" si="11"/>
        <v>0.5</v>
      </c>
      <c r="AN51" s="33">
        <f t="shared" si="12"/>
        <v>0</v>
      </c>
      <c r="AO51" s="33">
        <f t="shared" si="13"/>
        <v>0</v>
      </c>
      <c r="AP51" s="33">
        <f t="shared" si="14"/>
        <v>0.5</v>
      </c>
      <c r="AQ51" s="197">
        <f t="shared" si="15"/>
        <v>10.5</v>
      </c>
      <c r="AR51" s="197">
        <f t="shared" si="16"/>
        <v>0</v>
      </c>
      <c r="AS51" s="197">
        <f t="shared" si="17"/>
        <v>0</v>
      </c>
      <c r="AT51" s="197">
        <f t="shared" si="18"/>
        <v>10.5</v>
      </c>
      <c r="AU51" s="33"/>
      <c r="AV51" s="33"/>
      <c r="AW51" s="33"/>
      <c r="AX51" s="33"/>
      <c r="AY51" s="76"/>
    </row>
    <row r="52" spans="2:51">
      <c r="B52" s="40">
        <f t="shared" si="34"/>
        <v>85</v>
      </c>
      <c r="C52" s="155">
        <f t="shared" si="40"/>
        <v>86</v>
      </c>
      <c r="D52" s="140">
        <v>248</v>
      </c>
      <c r="E52" s="144">
        <f t="shared" si="32"/>
        <v>1.56</v>
      </c>
      <c r="F52" s="42">
        <f t="shared" si="44"/>
        <v>386.88</v>
      </c>
      <c r="G52" s="51">
        <f t="shared" si="45"/>
        <v>-32.759999999999991</v>
      </c>
      <c r="I52" s="55">
        <v>47</v>
      </c>
      <c r="J52" s="33">
        <f t="shared" si="21"/>
        <v>0</v>
      </c>
      <c r="K52" s="33">
        <f t="shared" si="22"/>
        <v>0</v>
      </c>
      <c r="L52" s="33">
        <f t="shared" si="23"/>
        <v>70</v>
      </c>
      <c r="M52" s="33">
        <f t="shared" si="24"/>
        <v>0</v>
      </c>
      <c r="N52" s="33">
        <f t="shared" si="0"/>
        <v>0</v>
      </c>
      <c r="O52" s="34">
        <f t="shared" si="1"/>
        <v>256.66666666666669</v>
      </c>
      <c r="P52" s="55">
        <v>47</v>
      </c>
      <c r="Q52" s="33">
        <f t="shared" si="19"/>
        <v>15.990000000000002</v>
      </c>
      <c r="R52" s="33">
        <f t="shared" si="25"/>
        <v>229.70999999999995</v>
      </c>
      <c r="S52" s="33">
        <f t="shared" si="26"/>
        <v>128.63759999999999</v>
      </c>
      <c r="T52" s="33">
        <f t="shared" si="2"/>
        <v>33.681355926028921</v>
      </c>
      <c r="U52" s="33">
        <f t="shared" si="20"/>
        <v>70</v>
      </c>
      <c r="V52" s="33">
        <f t="shared" si="3"/>
        <v>10</v>
      </c>
      <c r="W52" s="33">
        <v>0</v>
      </c>
      <c r="X52" s="33">
        <f t="shared" si="4"/>
        <v>576.03884823783358</v>
      </c>
      <c r="Y52" s="38">
        <f t="shared" si="5"/>
        <v>319.37218157116689</v>
      </c>
      <c r="AA52" s="71">
        <v>47</v>
      </c>
      <c r="AB52" s="33">
        <f t="shared" si="6"/>
        <v>0</v>
      </c>
      <c r="AC52" s="308">
        <f t="shared" si="41"/>
        <v>0</v>
      </c>
      <c r="AD52" s="101">
        <f t="shared" si="8"/>
        <v>0</v>
      </c>
      <c r="AE52" s="101">
        <f t="shared" si="9"/>
        <v>0</v>
      </c>
      <c r="AF52" s="197">
        <f t="shared" si="36"/>
        <v>7.6719594906550252</v>
      </c>
      <c r="AG52" s="197">
        <f t="shared" si="37"/>
        <v>0</v>
      </c>
      <c r="AH52" s="197">
        <f t="shared" si="38"/>
        <v>0</v>
      </c>
      <c r="AI52" s="202">
        <f t="shared" si="39"/>
        <v>7.6719594906550252</v>
      </c>
      <c r="AK52" s="71">
        <v>47</v>
      </c>
      <c r="AL52" s="33">
        <f t="shared" si="10"/>
        <v>0</v>
      </c>
      <c r="AM52" s="33">
        <f t="shared" si="11"/>
        <v>0</v>
      </c>
      <c r="AN52" s="33">
        <f t="shared" si="12"/>
        <v>0</v>
      </c>
      <c r="AO52" s="33">
        <f t="shared" si="13"/>
        <v>0</v>
      </c>
      <c r="AP52" s="33">
        <f t="shared" si="14"/>
        <v>0</v>
      </c>
      <c r="AQ52" s="197">
        <f t="shared" si="15"/>
        <v>0</v>
      </c>
      <c r="AR52" s="197">
        <f t="shared" si="16"/>
        <v>0</v>
      </c>
      <c r="AS52" s="197">
        <f t="shared" si="17"/>
        <v>0</v>
      </c>
      <c r="AT52" s="197">
        <f t="shared" si="18"/>
        <v>0</v>
      </c>
      <c r="AU52" s="33"/>
      <c r="AV52" s="33"/>
      <c r="AW52" s="33"/>
      <c r="AX52" s="33"/>
      <c r="AY52" s="76"/>
    </row>
    <row r="53" spans="2:51">
      <c r="B53" s="40">
        <f t="shared" si="34"/>
        <v>86</v>
      </c>
      <c r="C53" s="155">
        <f t="shared" si="40"/>
        <v>90</v>
      </c>
      <c r="D53" s="140">
        <f>D54+21</f>
        <v>275</v>
      </c>
      <c r="E53" s="144">
        <f t="shared" si="32"/>
        <v>1.56</v>
      </c>
      <c r="F53" s="42">
        <f t="shared" si="44"/>
        <v>429</v>
      </c>
      <c r="G53" s="51">
        <f t="shared" si="45"/>
        <v>10.530000000000001</v>
      </c>
      <c r="I53" s="55">
        <v>48</v>
      </c>
      <c r="J53" s="33">
        <f t="shared" si="21"/>
        <v>0</v>
      </c>
      <c r="K53" s="33">
        <f t="shared" si="22"/>
        <v>0</v>
      </c>
      <c r="L53" s="33">
        <f t="shared" si="23"/>
        <v>70</v>
      </c>
      <c r="M53" s="33">
        <f t="shared" si="24"/>
        <v>0</v>
      </c>
      <c r="N53" s="33">
        <f t="shared" si="0"/>
        <v>0</v>
      </c>
      <c r="O53" s="34">
        <f t="shared" si="1"/>
        <v>256.66666666666669</v>
      </c>
      <c r="P53" s="55">
        <v>48</v>
      </c>
      <c r="Q53" s="33">
        <f t="shared" si="19"/>
        <v>15.990000000000002</v>
      </c>
      <c r="R53" s="33">
        <f t="shared" si="25"/>
        <v>245.69999999999996</v>
      </c>
      <c r="S53" s="33">
        <f t="shared" si="26"/>
        <v>137.59199999999998</v>
      </c>
      <c r="T53" s="33">
        <f t="shared" si="2"/>
        <v>35.744810729505772</v>
      </c>
      <c r="U53" s="33">
        <f t="shared" si="20"/>
        <v>70</v>
      </c>
      <c r="V53" s="33">
        <f t="shared" si="3"/>
        <v>10</v>
      </c>
      <c r="W53" s="33">
        <v>0</v>
      </c>
      <c r="X53" s="33">
        <f t="shared" si="4"/>
        <v>595.22827868722254</v>
      </c>
      <c r="Y53" s="38">
        <f t="shared" si="5"/>
        <v>338.56161202055586</v>
      </c>
      <c r="AA53" s="71">
        <v>48</v>
      </c>
      <c r="AB53" s="33">
        <f t="shared" si="6"/>
        <v>0</v>
      </c>
      <c r="AC53" s="308">
        <f t="shared" si="41"/>
        <v>0</v>
      </c>
      <c r="AD53" s="101">
        <f t="shared" si="8"/>
        <v>0</v>
      </c>
      <c r="AE53" s="101">
        <f t="shared" si="9"/>
        <v>0</v>
      </c>
      <c r="AF53" s="197">
        <f t="shared" si="36"/>
        <v>7.5215170444765143</v>
      </c>
      <c r="AG53" s="197">
        <f t="shared" si="37"/>
        <v>0</v>
      </c>
      <c r="AH53" s="197">
        <f t="shared" si="38"/>
        <v>0</v>
      </c>
      <c r="AI53" s="202">
        <f t="shared" si="39"/>
        <v>7.5215170444765143</v>
      </c>
      <c r="AK53" s="71">
        <v>48</v>
      </c>
      <c r="AL53" s="33">
        <f t="shared" si="10"/>
        <v>0</v>
      </c>
      <c r="AM53" s="33">
        <f t="shared" si="11"/>
        <v>0</v>
      </c>
      <c r="AN53" s="33">
        <f t="shared" si="12"/>
        <v>0</v>
      </c>
      <c r="AO53" s="33">
        <f t="shared" si="13"/>
        <v>0</v>
      </c>
      <c r="AP53" s="33">
        <f t="shared" si="14"/>
        <v>0</v>
      </c>
      <c r="AQ53" s="197">
        <f t="shared" si="15"/>
        <v>0</v>
      </c>
      <c r="AR53" s="197">
        <f t="shared" si="16"/>
        <v>0</v>
      </c>
      <c r="AS53" s="197">
        <f t="shared" si="17"/>
        <v>0</v>
      </c>
      <c r="AT53" s="197">
        <f t="shared" si="18"/>
        <v>0</v>
      </c>
      <c r="AU53" s="33"/>
      <c r="AV53" s="33"/>
      <c r="AW53" s="33"/>
      <c r="AX53" s="33"/>
      <c r="AY53" s="76"/>
    </row>
    <row r="54" spans="2:51">
      <c r="B54" s="40">
        <f t="shared" si="34"/>
        <v>90</v>
      </c>
      <c r="C54" s="155">
        <f t="shared" si="40"/>
        <v>91</v>
      </c>
      <c r="D54" s="140">
        <v>254</v>
      </c>
      <c r="E54" s="144">
        <f t="shared" si="32"/>
        <v>1.56</v>
      </c>
      <c r="F54" s="42">
        <f t="shared" si="44"/>
        <v>396.24</v>
      </c>
      <c r="G54" s="51">
        <f t="shared" si="45"/>
        <v>-32.759999999999991</v>
      </c>
      <c r="I54" s="55">
        <v>49</v>
      </c>
      <c r="J54" s="33">
        <f t="shared" si="21"/>
        <v>0</v>
      </c>
      <c r="K54" s="33">
        <f t="shared" si="22"/>
        <v>0</v>
      </c>
      <c r="L54" s="33">
        <f t="shared" si="23"/>
        <v>70</v>
      </c>
      <c r="M54" s="33">
        <f t="shared" si="24"/>
        <v>0</v>
      </c>
      <c r="N54" s="33">
        <f t="shared" si="0"/>
        <v>0</v>
      </c>
      <c r="O54" s="34">
        <f t="shared" si="1"/>
        <v>256.66666666666669</v>
      </c>
      <c r="P54" s="55">
        <v>49</v>
      </c>
      <c r="Q54" s="33">
        <f t="shared" si="19"/>
        <v>15.990000000000002</v>
      </c>
      <c r="R54" s="33">
        <f t="shared" si="25"/>
        <v>261.68999999999994</v>
      </c>
      <c r="S54" s="33">
        <f t="shared" si="26"/>
        <v>146.54639999999998</v>
      </c>
      <c r="T54" s="33">
        <f t="shared" si="2"/>
        <v>37.7926818187577</v>
      </c>
      <c r="U54" s="33">
        <f t="shared" si="20"/>
        <v>70</v>
      </c>
      <c r="V54" s="33">
        <f t="shared" si="3"/>
        <v>10</v>
      </c>
      <c r="W54" s="33">
        <v>0</v>
      </c>
      <c r="X54" s="33">
        <f t="shared" si="4"/>
        <v>614.39056750100292</v>
      </c>
      <c r="Y54" s="38">
        <f t="shared" si="5"/>
        <v>357.72390083433623</v>
      </c>
      <c r="AA54" s="71">
        <v>49</v>
      </c>
      <c r="AB54" s="33">
        <f t="shared" si="6"/>
        <v>0</v>
      </c>
      <c r="AC54" s="308">
        <f t="shared" si="41"/>
        <v>0</v>
      </c>
      <c r="AD54" s="101">
        <f t="shared" si="8"/>
        <v>0</v>
      </c>
      <c r="AE54" s="101">
        <f t="shared" si="9"/>
        <v>0</v>
      </c>
      <c r="AF54" s="197">
        <f t="shared" si="36"/>
        <v>7.3740246829067315</v>
      </c>
      <c r="AG54" s="197">
        <f t="shared" si="37"/>
        <v>0</v>
      </c>
      <c r="AH54" s="197">
        <f t="shared" si="38"/>
        <v>0</v>
      </c>
      <c r="AI54" s="202">
        <f t="shared" si="39"/>
        <v>7.3740246829067315</v>
      </c>
      <c r="AK54" s="71">
        <v>49</v>
      </c>
      <c r="AL54" s="33">
        <f t="shared" si="10"/>
        <v>0</v>
      </c>
      <c r="AM54" s="33">
        <f t="shared" si="11"/>
        <v>0</v>
      </c>
      <c r="AN54" s="33">
        <f t="shared" si="12"/>
        <v>0</v>
      </c>
      <c r="AO54" s="33">
        <f t="shared" si="13"/>
        <v>0</v>
      </c>
      <c r="AP54" s="33">
        <f t="shared" si="14"/>
        <v>0</v>
      </c>
      <c r="AQ54" s="197">
        <f t="shared" si="15"/>
        <v>0</v>
      </c>
      <c r="AR54" s="197">
        <f t="shared" si="16"/>
        <v>0</v>
      </c>
      <c r="AS54" s="197">
        <f t="shared" si="17"/>
        <v>0</v>
      </c>
      <c r="AT54" s="197">
        <f t="shared" si="18"/>
        <v>0</v>
      </c>
      <c r="AU54" s="33"/>
      <c r="AV54" s="33"/>
      <c r="AW54" s="33"/>
      <c r="AX54" s="33"/>
      <c r="AY54" s="76"/>
    </row>
    <row r="55" spans="2:51">
      <c r="B55" s="40">
        <f t="shared" si="34"/>
        <v>91</v>
      </c>
      <c r="C55" s="155">
        <f t="shared" si="40"/>
        <v>95</v>
      </c>
      <c r="D55" s="140">
        <f>D56+21</f>
        <v>279</v>
      </c>
      <c r="E55" s="144">
        <f t="shared" si="32"/>
        <v>1.56</v>
      </c>
      <c r="F55" s="42">
        <f t="shared" si="44"/>
        <v>435.24</v>
      </c>
      <c r="G55" s="51">
        <f t="shared" si="45"/>
        <v>9.75</v>
      </c>
      <c r="I55" s="55">
        <v>50</v>
      </c>
      <c r="J55" s="33">
        <f t="shared" si="21"/>
        <v>0</v>
      </c>
      <c r="K55" s="33">
        <f t="shared" si="22"/>
        <v>0</v>
      </c>
      <c r="L55" s="33">
        <f t="shared" si="23"/>
        <v>70</v>
      </c>
      <c r="M55" s="33">
        <f t="shared" si="24"/>
        <v>0</v>
      </c>
      <c r="N55" s="33">
        <f t="shared" si="0"/>
        <v>0</v>
      </c>
      <c r="O55" s="34">
        <f t="shared" si="1"/>
        <v>256.66666666666669</v>
      </c>
      <c r="P55" s="55">
        <v>50</v>
      </c>
      <c r="Q55" s="33">
        <f t="shared" si="19"/>
        <v>15.990000000000002</v>
      </c>
      <c r="R55" s="33">
        <f t="shared" si="25"/>
        <v>277.67999999999995</v>
      </c>
      <c r="S55" s="33">
        <f t="shared" si="26"/>
        <v>155.5008</v>
      </c>
      <c r="T55" s="33">
        <f t="shared" si="2"/>
        <v>39.826029828200333</v>
      </c>
      <c r="U55" s="33">
        <f t="shared" si="20"/>
        <v>70</v>
      </c>
      <c r="V55" s="33">
        <f t="shared" si="3"/>
        <v>10</v>
      </c>
      <c r="W55" s="33">
        <v>0</v>
      </c>
      <c r="X55" s="33">
        <f t="shared" si="4"/>
        <v>633.52756195078211</v>
      </c>
      <c r="Y55" s="38">
        <f t="shared" si="5"/>
        <v>376.86089528411543</v>
      </c>
      <c r="AA55" s="71">
        <v>50</v>
      </c>
      <c r="AB55" s="33">
        <f t="shared" si="6"/>
        <v>0</v>
      </c>
      <c r="AC55" s="308">
        <f t="shared" si="41"/>
        <v>0</v>
      </c>
      <c r="AD55" s="101">
        <f t="shared" si="8"/>
        <v>0</v>
      </c>
      <c r="AE55" s="101">
        <f t="shared" si="9"/>
        <v>0</v>
      </c>
      <c r="AF55" s="197">
        <f t="shared" si="36"/>
        <v>7.229424556585875</v>
      </c>
      <c r="AG55" s="197">
        <f t="shared" si="37"/>
        <v>0</v>
      </c>
      <c r="AH55" s="197">
        <f t="shared" si="38"/>
        <v>0</v>
      </c>
      <c r="AI55" s="202">
        <f t="shared" si="39"/>
        <v>7.229424556585875</v>
      </c>
      <c r="AK55" s="71">
        <v>50</v>
      </c>
      <c r="AL55" s="33">
        <f t="shared" si="10"/>
        <v>0</v>
      </c>
      <c r="AM55" s="33">
        <f t="shared" si="11"/>
        <v>0</v>
      </c>
      <c r="AN55" s="33">
        <f t="shared" si="12"/>
        <v>0</v>
      </c>
      <c r="AO55" s="33">
        <f t="shared" si="13"/>
        <v>0</v>
      </c>
      <c r="AP55" s="33">
        <f t="shared" si="14"/>
        <v>0</v>
      </c>
      <c r="AQ55" s="197">
        <f t="shared" si="15"/>
        <v>0</v>
      </c>
      <c r="AR55" s="197">
        <f t="shared" si="16"/>
        <v>0</v>
      </c>
      <c r="AS55" s="197">
        <f t="shared" si="17"/>
        <v>0</v>
      </c>
      <c r="AT55" s="197">
        <f t="shared" si="18"/>
        <v>0</v>
      </c>
      <c r="AU55" s="33"/>
      <c r="AV55" s="33"/>
      <c r="AW55" s="33"/>
      <c r="AX55" s="33"/>
      <c r="AY55" s="76"/>
    </row>
    <row r="56" spans="2:51">
      <c r="B56" s="40">
        <f t="shared" si="34"/>
        <v>95</v>
      </c>
      <c r="C56" s="155">
        <f t="shared" si="40"/>
        <v>96</v>
      </c>
      <c r="D56" s="140">
        <v>258</v>
      </c>
      <c r="E56" s="144">
        <f t="shared" si="32"/>
        <v>1.56</v>
      </c>
      <c r="F56" s="42">
        <f t="shared" si="44"/>
        <v>402.48</v>
      </c>
      <c r="G56" s="51">
        <f t="shared" si="45"/>
        <v>-32.759999999999991</v>
      </c>
      <c r="I56" s="55">
        <v>51</v>
      </c>
      <c r="J56" s="33">
        <f t="shared" si="21"/>
        <v>0</v>
      </c>
      <c r="K56" s="33">
        <f t="shared" si="22"/>
        <v>0</v>
      </c>
      <c r="L56" s="33">
        <f t="shared" si="23"/>
        <v>70</v>
      </c>
      <c r="M56" s="33">
        <f t="shared" si="24"/>
        <v>0</v>
      </c>
      <c r="N56" s="33">
        <f t="shared" si="0"/>
        <v>0</v>
      </c>
      <c r="O56" s="34">
        <f t="shared" si="1"/>
        <v>256.66666666666669</v>
      </c>
      <c r="P56" s="55">
        <v>51</v>
      </c>
      <c r="Q56" s="33">
        <f t="shared" si="19"/>
        <v>-32.759999999999991</v>
      </c>
      <c r="R56" s="33">
        <f t="shared" si="25"/>
        <v>244.91999999999996</v>
      </c>
      <c r="S56" s="33">
        <f t="shared" si="26"/>
        <v>137.15519999999998</v>
      </c>
      <c r="T56" s="33">
        <f t="shared" si="2"/>
        <v>35.644525151069693</v>
      </c>
      <c r="U56" s="33">
        <f t="shared" si="20"/>
        <v>70</v>
      </c>
      <c r="V56" s="33">
        <f t="shared" si="3"/>
        <v>10</v>
      </c>
      <c r="W56" s="33">
        <v>0</v>
      </c>
      <c r="X56" s="33">
        <f t="shared" si="4"/>
        <v>594.292854638113</v>
      </c>
      <c r="Y56" s="38">
        <f t="shared" si="5"/>
        <v>337.62618797144631</v>
      </c>
      <c r="AA56" s="71">
        <v>51</v>
      </c>
      <c r="AB56" s="33">
        <f t="shared" si="6"/>
        <v>21</v>
      </c>
      <c r="AC56" s="308">
        <f t="shared" si="41"/>
        <v>0.3</v>
      </c>
      <c r="AD56" s="101">
        <f t="shared" si="8"/>
        <v>0</v>
      </c>
      <c r="AE56" s="101">
        <f t="shared" si="9"/>
        <v>0</v>
      </c>
      <c r="AF56" s="197">
        <f t="shared" si="36"/>
        <v>13.17181516897271</v>
      </c>
      <c r="AG56" s="197">
        <f t="shared" si="37"/>
        <v>0</v>
      </c>
      <c r="AH56" s="197">
        <f t="shared" si="38"/>
        <v>0</v>
      </c>
      <c r="AI56" s="202">
        <f t="shared" si="39"/>
        <v>13.17181516897271</v>
      </c>
      <c r="AK56" s="71">
        <v>51</v>
      </c>
      <c r="AL56" s="33">
        <f t="shared" si="10"/>
        <v>21</v>
      </c>
      <c r="AM56" s="33">
        <f t="shared" si="11"/>
        <v>0.6</v>
      </c>
      <c r="AN56" s="33">
        <f t="shared" si="12"/>
        <v>0</v>
      </c>
      <c r="AO56" s="33">
        <f t="shared" si="13"/>
        <v>0</v>
      </c>
      <c r="AP56" s="33">
        <f t="shared" si="14"/>
        <v>0.4</v>
      </c>
      <c r="AQ56" s="197">
        <f t="shared" si="15"/>
        <v>12.6</v>
      </c>
      <c r="AR56" s="197">
        <f t="shared" si="16"/>
        <v>0</v>
      </c>
      <c r="AS56" s="197">
        <f t="shared" si="17"/>
        <v>0</v>
      </c>
      <c r="AT56" s="197">
        <f t="shared" si="18"/>
        <v>8.4</v>
      </c>
      <c r="AU56" s="33"/>
      <c r="AV56" s="33"/>
      <c r="AW56" s="33"/>
      <c r="AX56" s="33"/>
      <c r="AY56" s="76"/>
    </row>
    <row r="57" spans="2:51">
      <c r="B57" s="40">
        <f t="shared" si="34"/>
        <v>96</v>
      </c>
      <c r="C57" s="155">
        <f t="shared" si="40"/>
        <v>100</v>
      </c>
      <c r="D57" s="140">
        <f>D58+21</f>
        <v>282</v>
      </c>
      <c r="E57" s="144">
        <f t="shared" si="32"/>
        <v>1.56</v>
      </c>
      <c r="F57" s="42">
        <f t="shared" si="44"/>
        <v>439.92</v>
      </c>
      <c r="G57" s="51">
        <f t="shared" si="45"/>
        <v>9.36</v>
      </c>
      <c r="I57" s="55">
        <v>52</v>
      </c>
      <c r="J57" s="33">
        <f t="shared" si="21"/>
        <v>0</v>
      </c>
      <c r="K57" s="33">
        <f t="shared" si="22"/>
        <v>0</v>
      </c>
      <c r="L57" s="33">
        <f t="shared" si="23"/>
        <v>70</v>
      </c>
      <c r="M57" s="33">
        <f t="shared" si="24"/>
        <v>0</v>
      </c>
      <c r="N57" s="33">
        <f t="shared" si="0"/>
        <v>0</v>
      </c>
      <c r="O57" s="34">
        <f t="shared" si="1"/>
        <v>256.66666666666669</v>
      </c>
      <c r="P57" s="55">
        <v>52</v>
      </c>
      <c r="Q57" s="33">
        <f t="shared" si="19"/>
        <v>15.599999999999994</v>
      </c>
      <c r="R57" s="33">
        <f t="shared" si="25"/>
        <v>260.52</v>
      </c>
      <c r="S57" s="33">
        <f t="shared" si="26"/>
        <v>145.8912</v>
      </c>
      <c r="T57" s="33">
        <f t="shared" si="2"/>
        <v>37.643342098399685</v>
      </c>
      <c r="U57" s="33">
        <f t="shared" si="20"/>
        <v>70</v>
      </c>
      <c r="V57" s="33">
        <f t="shared" si="3"/>
        <v>10</v>
      </c>
      <c r="W57" s="33">
        <v>0</v>
      </c>
      <c r="X57" s="33">
        <f t="shared" si="4"/>
        <v>612.98932748804611</v>
      </c>
      <c r="Y57" s="38">
        <f t="shared" si="5"/>
        <v>356.32266082137943</v>
      </c>
      <c r="AA57" s="71">
        <v>52</v>
      </c>
      <c r="AB57" s="33">
        <f t="shared" si="6"/>
        <v>0</v>
      </c>
      <c r="AC57" s="308">
        <f t="shared" si="41"/>
        <v>0</v>
      </c>
      <c r="AD57" s="101">
        <f t="shared" si="8"/>
        <v>0</v>
      </c>
      <c r="AE57" s="101">
        <f t="shared" si="9"/>
        <v>0</v>
      </c>
      <c r="AF57" s="197">
        <f t="shared" si="36"/>
        <v>12.913523907523116</v>
      </c>
      <c r="AG57" s="197">
        <f t="shared" si="37"/>
        <v>0</v>
      </c>
      <c r="AH57" s="197">
        <f t="shared" si="38"/>
        <v>0</v>
      </c>
      <c r="AI57" s="202">
        <f t="shared" si="39"/>
        <v>12.913523907523116</v>
      </c>
      <c r="AK57" s="71">
        <v>52</v>
      </c>
      <c r="AL57" s="33">
        <f t="shared" si="10"/>
        <v>0</v>
      </c>
      <c r="AM57" s="33">
        <f t="shared" si="11"/>
        <v>0</v>
      </c>
      <c r="AN57" s="33">
        <f t="shared" si="12"/>
        <v>0</v>
      </c>
      <c r="AO57" s="33">
        <f t="shared" si="13"/>
        <v>0</v>
      </c>
      <c r="AP57" s="33">
        <f t="shared" si="14"/>
        <v>0</v>
      </c>
      <c r="AQ57" s="197">
        <f t="shared" si="15"/>
        <v>0</v>
      </c>
      <c r="AR57" s="197">
        <f t="shared" si="16"/>
        <v>0</v>
      </c>
      <c r="AS57" s="197">
        <f t="shared" si="17"/>
        <v>0</v>
      </c>
      <c r="AT57" s="197">
        <f t="shared" si="18"/>
        <v>0</v>
      </c>
      <c r="AU57" s="33"/>
      <c r="AV57" s="33"/>
      <c r="AW57" s="33"/>
      <c r="AX57" s="33"/>
      <c r="AY57" s="76"/>
    </row>
    <row r="58" spans="2:51">
      <c r="B58" s="40">
        <f t="shared" si="34"/>
        <v>100</v>
      </c>
      <c r="C58" s="155">
        <f t="shared" si="40"/>
        <v>101</v>
      </c>
      <c r="D58" s="140">
        <v>261</v>
      </c>
      <c r="E58" s="144">
        <f t="shared" si="32"/>
        <v>1.56</v>
      </c>
      <c r="F58" s="42">
        <f t="shared" si="44"/>
        <v>407.16</v>
      </c>
      <c r="G58" s="51">
        <f t="shared" si="45"/>
        <v>-32.759999999999991</v>
      </c>
      <c r="I58" s="55">
        <v>53</v>
      </c>
      <c r="J58" s="33">
        <f t="shared" si="21"/>
        <v>0</v>
      </c>
      <c r="K58" s="33">
        <f t="shared" si="22"/>
        <v>0</v>
      </c>
      <c r="L58" s="33">
        <f t="shared" si="23"/>
        <v>70</v>
      </c>
      <c r="M58" s="33">
        <f t="shared" si="24"/>
        <v>0</v>
      </c>
      <c r="N58" s="33">
        <f t="shared" si="0"/>
        <v>0</v>
      </c>
      <c r="O58" s="34">
        <f t="shared" si="1"/>
        <v>256.66666666666669</v>
      </c>
      <c r="P58" s="55">
        <v>53</v>
      </c>
      <c r="Q58" s="33">
        <f t="shared" si="19"/>
        <v>15.599999999999994</v>
      </c>
      <c r="R58" s="33">
        <f t="shared" si="25"/>
        <v>276.12</v>
      </c>
      <c r="S58" s="33">
        <f t="shared" si="26"/>
        <v>154.62720000000002</v>
      </c>
      <c r="T58" s="33">
        <f t="shared" si="2"/>
        <v>39.62826685000794</v>
      </c>
      <c r="U58" s="33">
        <f t="shared" si="20"/>
        <v>70</v>
      </c>
      <c r="V58" s="33">
        <f t="shared" si="3"/>
        <v>10</v>
      </c>
      <c r="W58" s="33">
        <v>0</v>
      </c>
      <c r="X58" s="33">
        <f t="shared" si="4"/>
        <v>631.66160476376388</v>
      </c>
      <c r="Y58" s="38">
        <f t="shared" si="5"/>
        <v>374.99493809709719</v>
      </c>
      <c r="AA58" s="71">
        <v>53</v>
      </c>
      <c r="AB58" s="33">
        <f t="shared" si="6"/>
        <v>0</v>
      </c>
      <c r="AC58" s="308">
        <f t="shared" si="41"/>
        <v>0</v>
      </c>
      <c r="AD58" s="101">
        <f t="shared" si="8"/>
        <v>0</v>
      </c>
      <c r="AE58" s="101">
        <f t="shared" si="9"/>
        <v>0</v>
      </c>
      <c r="AF58" s="197">
        <f t="shared" si="36"/>
        <v>12.660297580168434</v>
      </c>
      <c r="AG58" s="197">
        <f t="shared" si="37"/>
        <v>0</v>
      </c>
      <c r="AH58" s="197">
        <f t="shared" si="38"/>
        <v>0</v>
      </c>
      <c r="AI58" s="202">
        <f t="shared" si="39"/>
        <v>12.660297580168434</v>
      </c>
      <c r="AK58" s="71">
        <v>53</v>
      </c>
      <c r="AL58" s="33">
        <f t="shared" si="10"/>
        <v>0</v>
      </c>
      <c r="AM58" s="33">
        <f t="shared" si="11"/>
        <v>0</v>
      </c>
      <c r="AN58" s="33">
        <f t="shared" si="12"/>
        <v>0</v>
      </c>
      <c r="AO58" s="33">
        <f t="shared" si="13"/>
        <v>0</v>
      </c>
      <c r="AP58" s="33">
        <f t="shared" si="14"/>
        <v>0</v>
      </c>
      <c r="AQ58" s="197">
        <f t="shared" si="15"/>
        <v>0</v>
      </c>
      <c r="AR58" s="197">
        <f t="shared" si="16"/>
        <v>0</v>
      </c>
      <c r="AS58" s="197">
        <f t="shared" si="17"/>
        <v>0</v>
      </c>
      <c r="AT58" s="197">
        <f t="shared" si="18"/>
        <v>0</v>
      </c>
      <c r="AU58" s="33"/>
      <c r="AV58" s="33"/>
      <c r="AW58" s="33"/>
      <c r="AX58" s="33"/>
      <c r="AY58" s="76"/>
    </row>
    <row r="59" spans="2:51">
      <c r="B59" s="40">
        <f t="shared" si="34"/>
        <v>101</v>
      </c>
      <c r="C59" s="155">
        <f t="shared" si="40"/>
        <v>105</v>
      </c>
      <c r="D59" s="140">
        <f>D60+20</f>
        <v>284</v>
      </c>
      <c r="E59" s="144">
        <f t="shared" si="32"/>
        <v>1.56</v>
      </c>
      <c r="F59" s="42">
        <f t="shared" si="44"/>
        <v>443.04</v>
      </c>
      <c r="G59" s="51">
        <f t="shared" si="45"/>
        <v>8.9699999999999989</v>
      </c>
      <c r="I59" s="55">
        <v>54</v>
      </c>
      <c r="J59" s="33">
        <f t="shared" si="21"/>
        <v>0</v>
      </c>
      <c r="K59" s="33">
        <f t="shared" si="22"/>
        <v>0</v>
      </c>
      <c r="L59" s="33">
        <f t="shared" si="23"/>
        <v>70</v>
      </c>
      <c r="M59" s="33">
        <f t="shared" si="24"/>
        <v>0</v>
      </c>
      <c r="N59" s="33">
        <f t="shared" si="0"/>
        <v>0</v>
      </c>
      <c r="O59" s="34">
        <f t="shared" si="1"/>
        <v>256.66666666666669</v>
      </c>
      <c r="P59" s="55">
        <v>54</v>
      </c>
      <c r="Q59" s="33">
        <f t="shared" si="19"/>
        <v>15.599999999999994</v>
      </c>
      <c r="R59" s="33">
        <f t="shared" si="25"/>
        <v>291.72000000000003</v>
      </c>
      <c r="S59" s="33">
        <f t="shared" si="26"/>
        <v>163.36320000000003</v>
      </c>
      <c r="T59" s="33">
        <f t="shared" si="2"/>
        <v>41.600173715581626</v>
      </c>
      <c r="U59" s="33">
        <f t="shared" si="20"/>
        <v>70</v>
      </c>
      <c r="V59" s="33">
        <f t="shared" si="3"/>
        <v>10</v>
      </c>
      <c r="W59" s="33">
        <v>0</v>
      </c>
      <c r="X59" s="33">
        <f t="shared" si="4"/>
        <v>650.31120922130469</v>
      </c>
      <c r="Y59" s="38">
        <f t="shared" si="5"/>
        <v>393.64454255463801</v>
      </c>
      <c r="AA59" s="71">
        <v>54</v>
      </c>
      <c r="AB59" s="33">
        <f t="shared" si="6"/>
        <v>0</v>
      </c>
      <c r="AC59" s="308">
        <f t="shared" si="41"/>
        <v>0</v>
      </c>
      <c r="AD59" s="101">
        <f t="shared" si="8"/>
        <v>0</v>
      </c>
      <c r="AE59" s="101">
        <f t="shared" si="9"/>
        <v>0</v>
      </c>
      <c r="AF59" s="197">
        <f t="shared" si="36"/>
        <v>12.412036866640369</v>
      </c>
      <c r="AG59" s="197">
        <f t="shared" si="37"/>
        <v>0</v>
      </c>
      <c r="AH59" s="197">
        <f t="shared" si="38"/>
        <v>0</v>
      </c>
      <c r="AI59" s="202">
        <f t="shared" si="39"/>
        <v>12.412036866640369</v>
      </c>
      <c r="AK59" s="71">
        <v>54</v>
      </c>
      <c r="AL59" s="33">
        <f t="shared" si="10"/>
        <v>0</v>
      </c>
      <c r="AM59" s="33">
        <f t="shared" si="11"/>
        <v>0</v>
      </c>
      <c r="AN59" s="33">
        <f t="shared" si="12"/>
        <v>0</v>
      </c>
      <c r="AO59" s="33">
        <f t="shared" si="13"/>
        <v>0</v>
      </c>
      <c r="AP59" s="33">
        <f t="shared" si="14"/>
        <v>0</v>
      </c>
      <c r="AQ59" s="197">
        <f t="shared" si="15"/>
        <v>0</v>
      </c>
      <c r="AR59" s="197">
        <f t="shared" si="16"/>
        <v>0</v>
      </c>
      <c r="AS59" s="197">
        <f t="shared" si="17"/>
        <v>0</v>
      </c>
      <c r="AT59" s="197">
        <f t="shared" si="18"/>
        <v>0</v>
      </c>
      <c r="AU59" s="33"/>
      <c r="AV59" s="33"/>
      <c r="AW59" s="33"/>
      <c r="AX59" s="33"/>
      <c r="AY59" s="76"/>
    </row>
    <row r="60" spans="2:51">
      <c r="B60" s="40">
        <f t="shared" si="34"/>
        <v>105</v>
      </c>
      <c r="C60" s="155">
        <f t="shared" si="40"/>
        <v>106</v>
      </c>
      <c r="D60" s="140">
        <v>264</v>
      </c>
      <c r="E60" s="144">
        <f t="shared" si="32"/>
        <v>1.56</v>
      </c>
      <c r="F60" s="42">
        <f t="shared" si="44"/>
        <v>411.84000000000003</v>
      </c>
      <c r="G60" s="51">
        <f t="shared" si="45"/>
        <v>-31.199999999999989</v>
      </c>
      <c r="I60" s="55">
        <v>55</v>
      </c>
      <c r="J60" s="33">
        <f t="shared" si="21"/>
        <v>0</v>
      </c>
      <c r="K60" s="33">
        <f t="shared" si="22"/>
        <v>0</v>
      </c>
      <c r="L60" s="33">
        <f t="shared" si="23"/>
        <v>70</v>
      </c>
      <c r="M60" s="33">
        <f t="shared" si="24"/>
        <v>0</v>
      </c>
      <c r="N60" s="33">
        <f t="shared" si="0"/>
        <v>0</v>
      </c>
      <c r="O60" s="34">
        <f t="shared" si="1"/>
        <v>256.66666666666669</v>
      </c>
      <c r="P60" s="55">
        <v>55</v>
      </c>
      <c r="Q60" s="33">
        <f t="shared" si="19"/>
        <v>15.599999999999994</v>
      </c>
      <c r="R60" s="33">
        <f t="shared" si="25"/>
        <v>307.32000000000005</v>
      </c>
      <c r="S60" s="33">
        <f t="shared" si="26"/>
        <v>172.09920000000005</v>
      </c>
      <c r="T60" s="33">
        <f t="shared" si="2"/>
        <v>43.559838214506989</v>
      </c>
      <c r="U60" s="33">
        <f t="shared" si="20"/>
        <v>70</v>
      </c>
      <c r="V60" s="33">
        <f t="shared" si="3"/>
        <v>10</v>
      </c>
      <c r="W60" s="33">
        <v>0</v>
      </c>
      <c r="X60" s="33">
        <f t="shared" si="4"/>
        <v>668.93949155693315</v>
      </c>
      <c r="Y60" s="38">
        <f t="shared" si="5"/>
        <v>412.27282489026646</v>
      </c>
      <c r="AA60" s="71">
        <v>55</v>
      </c>
      <c r="AB60" s="33">
        <f t="shared" si="6"/>
        <v>0</v>
      </c>
      <c r="AC60" s="308">
        <f t="shared" si="41"/>
        <v>0</v>
      </c>
      <c r="AD60" s="101">
        <f t="shared" si="8"/>
        <v>0</v>
      </c>
      <c r="AE60" s="101">
        <f t="shared" si="9"/>
        <v>0</v>
      </c>
      <c r="AF60" s="197">
        <f t="shared" si="36"/>
        <v>12.168644394280506</v>
      </c>
      <c r="AG60" s="197">
        <f t="shared" si="37"/>
        <v>0</v>
      </c>
      <c r="AH60" s="197">
        <f t="shared" si="38"/>
        <v>0</v>
      </c>
      <c r="AI60" s="202">
        <f t="shared" si="39"/>
        <v>12.168644394280506</v>
      </c>
      <c r="AK60" s="71">
        <v>55</v>
      </c>
      <c r="AL60" s="33">
        <f t="shared" si="10"/>
        <v>0</v>
      </c>
      <c r="AM60" s="33">
        <f t="shared" si="11"/>
        <v>0</v>
      </c>
      <c r="AN60" s="33">
        <f t="shared" si="12"/>
        <v>0</v>
      </c>
      <c r="AO60" s="33">
        <f t="shared" si="13"/>
        <v>0</v>
      </c>
      <c r="AP60" s="33">
        <f t="shared" si="14"/>
        <v>0</v>
      </c>
      <c r="AQ60" s="197">
        <f t="shared" si="15"/>
        <v>0</v>
      </c>
      <c r="AR60" s="197">
        <f t="shared" si="16"/>
        <v>0</v>
      </c>
      <c r="AS60" s="197">
        <f t="shared" si="17"/>
        <v>0</v>
      </c>
      <c r="AT60" s="197">
        <f t="shared" si="18"/>
        <v>0</v>
      </c>
      <c r="AU60" s="33"/>
      <c r="AV60" s="33"/>
      <c r="AW60" s="33"/>
      <c r="AX60" s="33"/>
      <c r="AY60" s="76"/>
    </row>
    <row r="61" spans="2:51">
      <c r="B61" s="40">
        <f t="shared" si="34"/>
        <v>106</v>
      </c>
      <c r="C61" s="155">
        <f t="shared" si="40"/>
        <v>110</v>
      </c>
      <c r="D61" s="140">
        <f>D62+19</f>
        <v>285</v>
      </c>
      <c r="E61" s="144">
        <f t="shared" si="32"/>
        <v>1.56</v>
      </c>
      <c r="F61" s="42">
        <f t="shared" si="44"/>
        <v>444.6</v>
      </c>
      <c r="G61" s="51">
        <f t="shared" si="45"/>
        <v>8.1899999999999977</v>
      </c>
      <c r="I61" s="55">
        <v>56</v>
      </c>
      <c r="J61" s="33">
        <f t="shared" si="21"/>
        <v>0</v>
      </c>
      <c r="K61" s="33">
        <f t="shared" si="22"/>
        <v>0</v>
      </c>
      <c r="L61" s="33">
        <f t="shared" si="23"/>
        <v>70</v>
      </c>
      <c r="M61" s="33">
        <f t="shared" si="24"/>
        <v>0</v>
      </c>
      <c r="N61" s="33">
        <f t="shared" si="0"/>
        <v>0</v>
      </c>
      <c r="O61" s="34">
        <f t="shared" si="1"/>
        <v>256.66666666666669</v>
      </c>
      <c r="P61" s="55">
        <v>56</v>
      </c>
      <c r="Q61" s="33">
        <f t="shared" si="19"/>
        <v>-32.759999999999991</v>
      </c>
      <c r="R61" s="33">
        <f t="shared" si="25"/>
        <v>274.56000000000006</v>
      </c>
      <c r="S61" s="33">
        <f t="shared" si="26"/>
        <v>153.75360000000003</v>
      </c>
      <c r="T61" s="33">
        <f t="shared" si="2"/>
        <v>39.430373774012359</v>
      </c>
      <c r="U61" s="33">
        <f t="shared" si="20"/>
        <v>70</v>
      </c>
      <c r="V61" s="33">
        <f t="shared" si="3"/>
        <v>10</v>
      </c>
      <c r="W61" s="33">
        <v>0</v>
      </c>
      <c r="X61" s="33">
        <f t="shared" si="4"/>
        <v>629.79542098973832</v>
      </c>
      <c r="Y61" s="38">
        <f t="shared" si="5"/>
        <v>373.12875432307163</v>
      </c>
      <c r="AA61" s="71">
        <v>56</v>
      </c>
      <c r="AB61" s="33">
        <f t="shared" si="6"/>
        <v>21</v>
      </c>
      <c r="AC61" s="308">
        <f t="shared" si="41"/>
        <v>0.35</v>
      </c>
      <c r="AD61" s="101">
        <f t="shared" si="8"/>
        <v>0</v>
      </c>
      <c r="AE61" s="101">
        <f t="shared" si="9"/>
        <v>0</v>
      </c>
      <c r="AF61" s="197">
        <f t="shared" si="36"/>
        <v>19.028205788014763</v>
      </c>
      <c r="AG61" s="197">
        <f t="shared" si="37"/>
        <v>0</v>
      </c>
      <c r="AH61" s="197">
        <f t="shared" si="38"/>
        <v>0</v>
      </c>
      <c r="AI61" s="202">
        <f t="shared" si="39"/>
        <v>19.028205788014763</v>
      </c>
      <c r="AK61" s="71">
        <v>56</v>
      </c>
      <c r="AL61" s="33">
        <f t="shared" si="10"/>
        <v>21</v>
      </c>
      <c r="AM61" s="33">
        <f t="shared" si="11"/>
        <v>0.7</v>
      </c>
      <c r="AN61" s="33">
        <f t="shared" si="12"/>
        <v>0</v>
      </c>
      <c r="AO61" s="33">
        <f t="shared" si="13"/>
        <v>0</v>
      </c>
      <c r="AP61" s="33">
        <f t="shared" si="14"/>
        <v>0.30000000000000004</v>
      </c>
      <c r="AQ61" s="197">
        <f t="shared" si="15"/>
        <v>14.7</v>
      </c>
      <c r="AR61" s="197">
        <f t="shared" si="16"/>
        <v>0</v>
      </c>
      <c r="AS61" s="197">
        <f t="shared" si="17"/>
        <v>0</v>
      </c>
      <c r="AT61" s="197">
        <f t="shared" si="18"/>
        <v>6.3000000000000007</v>
      </c>
      <c r="AU61" s="33"/>
      <c r="AV61" s="33"/>
      <c r="AW61" s="33"/>
      <c r="AX61" s="33"/>
      <c r="AY61" s="76"/>
    </row>
    <row r="62" spans="2:51">
      <c r="B62" s="40">
        <f t="shared" si="34"/>
        <v>110</v>
      </c>
      <c r="C62" s="155">
        <f t="shared" si="40"/>
        <v>111</v>
      </c>
      <c r="D62" s="140">
        <v>266</v>
      </c>
      <c r="E62" s="144">
        <f t="shared" si="32"/>
        <v>1.56</v>
      </c>
      <c r="F62" s="42">
        <f t="shared" si="44"/>
        <v>414.96000000000004</v>
      </c>
      <c r="G62" s="51">
        <f t="shared" si="45"/>
        <v>-29.639999999999986</v>
      </c>
      <c r="I62" s="55">
        <v>57</v>
      </c>
      <c r="J62" s="33">
        <f t="shared" si="21"/>
        <v>0</v>
      </c>
      <c r="K62" s="33">
        <f t="shared" si="22"/>
        <v>0</v>
      </c>
      <c r="L62" s="33">
        <f t="shared" si="23"/>
        <v>70</v>
      </c>
      <c r="M62" s="33">
        <f t="shared" si="24"/>
        <v>0</v>
      </c>
      <c r="N62" s="33">
        <f t="shared" si="0"/>
        <v>0</v>
      </c>
      <c r="O62" s="34">
        <f t="shared" si="1"/>
        <v>256.66666666666669</v>
      </c>
      <c r="P62" s="55">
        <v>57</v>
      </c>
      <c r="Q62" s="33">
        <f t="shared" si="19"/>
        <v>14.820000000000007</v>
      </c>
      <c r="R62" s="33">
        <f t="shared" si="25"/>
        <v>289.38000000000005</v>
      </c>
      <c r="S62" s="33">
        <f t="shared" si="26"/>
        <v>162.05280000000005</v>
      </c>
      <c r="T62" s="33">
        <f t="shared" si="2"/>
        <v>41.305186080427518</v>
      </c>
      <c r="U62" s="33">
        <f t="shared" si="20"/>
        <v>70</v>
      </c>
      <c r="V62" s="33">
        <f t="shared" si="3"/>
        <v>10</v>
      </c>
      <c r="W62" s="33">
        <v>0</v>
      </c>
      <c r="X62" s="33">
        <f t="shared" si="4"/>
        <v>647.51515909007799</v>
      </c>
      <c r="Y62" s="38">
        <f t="shared" si="5"/>
        <v>390.8484924234113</v>
      </c>
      <c r="AA62" s="71">
        <v>57</v>
      </c>
      <c r="AB62" s="33">
        <f t="shared" si="6"/>
        <v>0</v>
      </c>
      <c r="AC62" s="308">
        <f t="shared" si="41"/>
        <v>0</v>
      </c>
      <c r="AD62" s="101">
        <f t="shared" si="8"/>
        <v>0</v>
      </c>
      <c r="AE62" s="101">
        <f t="shared" si="9"/>
        <v>0</v>
      </c>
      <c r="AF62" s="197">
        <f t="shared" si="36"/>
        <v>18.65507427857132</v>
      </c>
      <c r="AG62" s="197">
        <f t="shared" si="37"/>
        <v>0</v>
      </c>
      <c r="AH62" s="197">
        <f t="shared" si="38"/>
        <v>0</v>
      </c>
      <c r="AI62" s="202">
        <f t="shared" si="39"/>
        <v>18.65507427857132</v>
      </c>
      <c r="AK62" s="71">
        <v>57</v>
      </c>
      <c r="AL62" s="33">
        <f t="shared" si="10"/>
        <v>0</v>
      </c>
      <c r="AM62" s="33">
        <f t="shared" si="11"/>
        <v>0</v>
      </c>
      <c r="AN62" s="33">
        <f t="shared" si="12"/>
        <v>0</v>
      </c>
      <c r="AO62" s="33">
        <f t="shared" si="13"/>
        <v>0</v>
      </c>
      <c r="AP62" s="33">
        <f t="shared" si="14"/>
        <v>0</v>
      </c>
      <c r="AQ62" s="197">
        <f t="shared" si="15"/>
        <v>0</v>
      </c>
      <c r="AR62" s="197">
        <f t="shared" si="16"/>
        <v>0</v>
      </c>
      <c r="AS62" s="197">
        <f t="shared" si="17"/>
        <v>0</v>
      </c>
      <c r="AT62" s="197">
        <f t="shared" si="18"/>
        <v>0</v>
      </c>
      <c r="AU62" s="33"/>
      <c r="AV62" s="33"/>
      <c r="AW62" s="33"/>
      <c r="AX62" s="33"/>
      <c r="AY62" s="76"/>
    </row>
    <row r="63" spans="2:51">
      <c r="B63" s="40">
        <f t="shared" si="34"/>
        <v>111</v>
      </c>
      <c r="C63" s="155">
        <f t="shared" si="40"/>
        <v>115</v>
      </c>
      <c r="D63" s="140">
        <f>D64+18</f>
        <v>285</v>
      </c>
      <c r="E63" s="144">
        <f t="shared" si="32"/>
        <v>1.56</v>
      </c>
      <c r="F63" s="42">
        <f t="shared" si="44"/>
        <v>444.6</v>
      </c>
      <c r="G63" s="51">
        <f t="shared" si="45"/>
        <v>7.4099999999999966</v>
      </c>
      <c r="I63" s="55">
        <v>58</v>
      </c>
      <c r="J63" s="33">
        <f t="shared" si="21"/>
        <v>0</v>
      </c>
      <c r="K63" s="33">
        <f t="shared" si="22"/>
        <v>0</v>
      </c>
      <c r="L63" s="33">
        <f t="shared" si="23"/>
        <v>70</v>
      </c>
      <c r="M63" s="33">
        <f t="shared" si="24"/>
        <v>0</v>
      </c>
      <c r="N63" s="33">
        <f t="shared" si="0"/>
        <v>0</v>
      </c>
      <c r="O63" s="34">
        <f t="shared" si="1"/>
        <v>256.66666666666669</v>
      </c>
      <c r="P63" s="55">
        <v>58</v>
      </c>
      <c r="Q63" s="33">
        <f t="shared" si="19"/>
        <v>14.820000000000007</v>
      </c>
      <c r="R63" s="33">
        <f t="shared" si="25"/>
        <v>304.20000000000005</v>
      </c>
      <c r="S63" s="33">
        <f t="shared" si="26"/>
        <v>170.35200000000003</v>
      </c>
      <c r="T63" s="33">
        <f t="shared" si="2"/>
        <v>43.168850382694487</v>
      </c>
      <c r="U63" s="33">
        <f t="shared" si="20"/>
        <v>70</v>
      </c>
      <c r="V63" s="33">
        <f t="shared" si="3"/>
        <v>10</v>
      </c>
      <c r="W63" s="33">
        <v>0</v>
      </c>
      <c r="X63" s="33">
        <f t="shared" si="4"/>
        <v>665.21548108319291</v>
      </c>
      <c r="Y63" s="38">
        <f t="shared" si="5"/>
        <v>408.54881441652623</v>
      </c>
      <c r="AA63" s="71">
        <v>58</v>
      </c>
      <c r="AB63" s="33">
        <f t="shared" si="6"/>
        <v>0</v>
      </c>
      <c r="AC63" s="308">
        <f t="shared" si="41"/>
        <v>0</v>
      </c>
      <c r="AD63" s="101">
        <f t="shared" si="8"/>
        <v>0</v>
      </c>
      <c r="AE63" s="101">
        <f t="shared" si="9"/>
        <v>0</v>
      </c>
      <c r="AF63" s="197">
        <f t="shared" si="36"/>
        <v>18.289259650440314</v>
      </c>
      <c r="AG63" s="197">
        <f t="shared" si="37"/>
        <v>0</v>
      </c>
      <c r="AH63" s="197">
        <f t="shared" si="38"/>
        <v>0</v>
      </c>
      <c r="AI63" s="202">
        <f t="shared" si="39"/>
        <v>18.289259650440314</v>
      </c>
      <c r="AK63" s="71">
        <v>58</v>
      </c>
      <c r="AL63" s="33">
        <f t="shared" si="10"/>
        <v>0</v>
      </c>
      <c r="AM63" s="33">
        <f t="shared" si="11"/>
        <v>0</v>
      </c>
      <c r="AN63" s="33">
        <f t="shared" si="12"/>
        <v>0</v>
      </c>
      <c r="AO63" s="33">
        <f t="shared" si="13"/>
        <v>0</v>
      </c>
      <c r="AP63" s="33">
        <f t="shared" si="14"/>
        <v>0</v>
      </c>
      <c r="AQ63" s="197">
        <f t="shared" si="15"/>
        <v>0</v>
      </c>
      <c r="AR63" s="197">
        <f t="shared" si="16"/>
        <v>0</v>
      </c>
      <c r="AS63" s="197">
        <f t="shared" si="17"/>
        <v>0</v>
      </c>
      <c r="AT63" s="197">
        <f t="shared" si="18"/>
        <v>0</v>
      </c>
      <c r="AU63" s="33"/>
      <c r="AV63" s="33"/>
      <c r="AW63" s="33"/>
      <c r="AX63" s="33"/>
      <c r="AY63" s="76"/>
    </row>
    <row r="64" spans="2:51">
      <c r="B64" s="40">
        <f t="shared" si="34"/>
        <v>115</v>
      </c>
      <c r="C64" s="155">
        <f t="shared" si="40"/>
        <v>116</v>
      </c>
      <c r="D64" s="140">
        <v>267</v>
      </c>
      <c r="E64" s="144">
        <f t="shared" si="32"/>
        <v>1.56</v>
      </c>
      <c r="F64" s="42">
        <f t="shared" si="44"/>
        <v>416.52000000000004</v>
      </c>
      <c r="G64" s="51">
        <f t="shared" si="45"/>
        <v>-28.079999999999984</v>
      </c>
      <c r="I64" s="55">
        <v>59</v>
      </c>
      <c r="J64" s="33">
        <f t="shared" si="21"/>
        <v>0</v>
      </c>
      <c r="K64" s="33">
        <f t="shared" si="22"/>
        <v>0</v>
      </c>
      <c r="L64" s="33">
        <f t="shared" si="23"/>
        <v>70</v>
      </c>
      <c r="M64" s="33">
        <f t="shared" si="24"/>
        <v>0</v>
      </c>
      <c r="N64" s="33">
        <f t="shared" si="0"/>
        <v>0</v>
      </c>
      <c r="O64" s="34">
        <f t="shared" si="1"/>
        <v>256.66666666666669</v>
      </c>
      <c r="P64" s="55">
        <v>59</v>
      </c>
      <c r="Q64" s="33">
        <f t="shared" si="19"/>
        <v>14.820000000000007</v>
      </c>
      <c r="R64" s="33">
        <f t="shared" si="25"/>
        <v>319.02000000000004</v>
      </c>
      <c r="S64" s="33">
        <f t="shared" si="26"/>
        <v>178.65120000000005</v>
      </c>
      <c r="T64" s="33">
        <f t="shared" si="2"/>
        <v>45.021971780480087</v>
      </c>
      <c r="U64" s="33">
        <f t="shared" si="20"/>
        <v>70</v>
      </c>
      <c r="V64" s="33">
        <f t="shared" si="3"/>
        <v>10</v>
      </c>
      <c r="W64" s="33">
        <v>0</v>
      </c>
      <c r="X64" s="33">
        <f t="shared" si="4"/>
        <v>682.8974408510029</v>
      </c>
      <c r="Y64" s="38">
        <f t="shared" si="5"/>
        <v>426.23077418433621</v>
      </c>
      <c r="AA64" s="71">
        <v>59</v>
      </c>
      <c r="AB64" s="33">
        <f t="shared" si="6"/>
        <v>0</v>
      </c>
      <c r="AC64" s="308">
        <f t="shared" si="41"/>
        <v>0</v>
      </c>
      <c r="AD64" s="101">
        <f t="shared" si="8"/>
        <v>0</v>
      </c>
      <c r="AE64" s="101">
        <f t="shared" si="9"/>
        <v>0</v>
      </c>
      <c r="AF64" s="197">
        <f t="shared" si="36"/>
        <v>17.930618424042066</v>
      </c>
      <c r="AG64" s="197">
        <f t="shared" si="37"/>
        <v>0</v>
      </c>
      <c r="AH64" s="197">
        <f t="shared" si="38"/>
        <v>0</v>
      </c>
      <c r="AI64" s="202">
        <f t="shared" si="39"/>
        <v>17.930618424042066</v>
      </c>
      <c r="AK64" s="71">
        <v>59</v>
      </c>
      <c r="AL64" s="33">
        <f t="shared" si="10"/>
        <v>0</v>
      </c>
      <c r="AM64" s="33">
        <f t="shared" si="11"/>
        <v>0</v>
      </c>
      <c r="AN64" s="33">
        <f t="shared" si="12"/>
        <v>0</v>
      </c>
      <c r="AO64" s="33">
        <f t="shared" si="13"/>
        <v>0</v>
      </c>
      <c r="AP64" s="33">
        <f t="shared" si="14"/>
        <v>0</v>
      </c>
      <c r="AQ64" s="197">
        <f t="shared" si="15"/>
        <v>0</v>
      </c>
      <c r="AR64" s="197">
        <f t="shared" si="16"/>
        <v>0</v>
      </c>
      <c r="AS64" s="197">
        <f t="shared" si="17"/>
        <v>0</v>
      </c>
      <c r="AT64" s="197">
        <f t="shared" si="18"/>
        <v>0</v>
      </c>
      <c r="AU64" s="33"/>
      <c r="AV64" s="33"/>
      <c r="AW64" s="33"/>
      <c r="AX64" s="33"/>
      <c r="AY64" s="76"/>
    </row>
    <row r="65" spans="2:51">
      <c r="B65" s="40">
        <f t="shared" si="34"/>
        <v>116</v>
      </c>
      <c r="C65" s="155">
        <f t="shared" si="40"/>
        <v>120</v>
      </c>
      <c r="D65" s="140">
        <f>D66+17</f>
        <v>285</v>
      </c>
      <c r="E65" s="144">
        <f t="shared" si="32"/>
        <v>1.56</v>
      </c>
      <c r="F65" s="42">
        <f t="shared" si="44"/>
        <v>444.6</v>
      </c>
      <c r="G65" s="51">
        <f t="shared" si="45"/>
        <v>7.019999999999996</v>
      </c>
      <c r="I65" s="55">
        <v>60</v>
      </c>
      <c r="J65" s="33">
        <f t="shared" si="21"/>
        <v>0</v>
      </c>
      <c r="K65" s="33">
        <f t="shared" si="22"/>
        <v>0</v>
      </c>
      <c r="L65" s="33">
        <f t="shared" si="23"/>
        <v>70</v>
      </c>
      <c r="M65" s="33">
        <f t="shared" si="24"/>
        <v>0</v>
      </c>
      <c r="N65" s="33">
        <f t="shared" si="0"/>
        <v>0</v>
      </c>
      <c r="O65" s="34">
        <f t="shared" si="1"/>
        <v>256.66666666666669</v>
      </c>
      <c r="P65" s="55">
        <v>60</v>
      </c>
      <c r="Q65" s="33">
        <f t="shared" si="19"/>
        <v>14.820000000000007</v>
      </c>
      <c r="R65" s="33">
        <f t="shared" si="25"/>
        <v>333.84000000000003</v>
      </c>
      <c r="S65" s="33">
        <f t="shared" si="26"/>
        <v>186.95040000000003</v>
      </c>
      <c r="T65" s="33">
        <f t="shared" si="2"/>
        <v>46.865095976617653</v>
      </c>
      <c r="U65" s="33">
        <f t="shared" si="20"/>
        <v>70</v>
      </c>
      <c r="V65" s="33">
        <f t="shared" si="3"/>
        <v>10</v>
      </c>
      <c r="W65" s="33">
        <v>0</v>
      </c>
      <c r="X65" s="33">
        <f t="shared" si="4"/>
        <v>700.56198882594254</v>
      </c>
      <c r="Y65" s="38">
        <f t="shared" si="5"/>
        <v>443.89532215927585</v>
      </c>
      <c r="AA65" s="71">
        <v>60</v>
      </c>
      <c r="AB65" s="33">
        <f t="shared" si="6"/>
        <v>0</v>
      </c>
      <c r="AC65" s="308">
        <f t="shared" si="41"/>
        <v>0</v>
      </c>
      <c r="AD65" s="101">
        <f t="shared" si="8"/>
        <v>0</v>
      </c>
      <c r="AE65" s="101">
        <f t="shared" si="9"/>
        <v>0</v>
      </c>
      <c r="AF65" s="197">
        <f t="shared" si="36"/>
        <v>17.57900993334394</v>
      </c>
      <c r="AG65" s="197">
        <f t="shared" si="37"/>
        <v>0</v>
      </c>
      <c r="AH65" s="197">
        <f t="shared" si="38"/>
        <v>0</v>
      </c>
      <c r="AI65" s="202">
        <f t="shared" si="39"/>
        <v>17.57900993334394</v>
      </c>
      <c r="AK65" s="71">
        <v>60</v>
      </c>
      <c r="AL65" s="33">
        <f t="shared" si="10"/>
        <v>0</v>
      </c>
      <c r="AM65" s="33">
        <f t="shared" si="11"/>
        <v>0</v>
      </c>
      <c r="AN65" s="33">
        <f t="shared" si="12"/>
        <v>0</v>
      </c>
      <c r="AO65" s="33">
        <f t="shared" si="13"/>
        <v>0</v>
      </c>
      <c r="AP65" s="33">
        <f t="shared" si="14"/>
        <v>0</v>
      </c>
      <c r="AQ65" s="197">
        <f t="shared" si="15"/>
        <v>0</v>
      </c>
      <c r="AR65" s="197">
        <f t="shared" si="16"/>
        <v>0</v>
      </c>
      <c r="AS65" s="197">
        <f t="shared" si="17"/>
        <v>0</v>
      </c>
      <c r="AT65" s="197">
        <f t="shared" si="18"/>
        <v>0</v>
      </c>
      <c r="AU65" s="33"/>
      <c r="AV65" s="33"/>
      <c r="AW65" s="33"/>
      <c r="AX65" s="33"/>
      <c r="AY65" s="76"/>
    </row>
    <row r="66" spans="2:51">
      <c r="B66" s="40">
        <f t="shared" si="34"/>
        <v>120</v>
      </c>
      <c r="C66" s="155">
        <f t="shared" si="40"/>
        <v>121</v>
      </c>
      <c r="D66" s="140">
        <v>268</v>
      </c>
      <c r="E66" s="144">
        <f t="shared" si="32"/>
        <v>1.56</v>
      </c>
      <c r="F66" s="42">
        <f t="shared" si="44"/>
        <v>418.08000000000004</v>
      </c>
      <c r="G66" s="51">
        <f t="shared" si="45"/>
        <v>-26.519999999999982</v>
      </c>
      <c r="I66" s="55">
        <v>61</v>
      </c>
      <c r="J66" s="33">
        <f t="shared" si="21"/>
        <v>0</v>
      </c>
      <c r="K66" s="33">
        <f t="shared" si="22"/>
        <v>0</v>
      </c>
      <c r="L66" s="33">
        <f t="shared" si="23"/>
        <v>70</v>
      </c>
      <c r="M66" s="33">
        <f t="shared" si="24"/>
        <v>0</v>
      </c>
      <c r="N66" s="33">
        <f t="shared" si="0"/>
        <v>0</v>
      </c>
      <c r="O66" s="34">
        <f t="shared" si="1"/>
        <v>256.66666666666669</v>
      </c>
      <c r="P66" s="55">
        <v>61</v>
      </c>
      <c r="Q66" s="33">
        <f t="shared" si="19"/>
        <v>-32.760000000000048</v>
      </c>
      <c r="R66" s="33">
        <f t="shared" si="25"/>
        <v>301.08</v>
      </c>
      <c r="S66" s="33">
        <f t="shared" si="26"/>
        <v>168.60480000000001</v>
      </c>
      <c r="T66" s="33">
        <f t="shared" si="2"/>
        <v>42.777395484149757</v>
      </c>
      <c r="U66" s="33">
        <f t="shared" si="20"/>
        <v>70</v>
      </c>
      <c r="V66" s="33">
        <f t="shared" si="3"/>
        <v>10</v>
      </c>
      <c r="W66" s="33">
        <v>0</v>
      </c>
      <c r="X66" s="33">
        <f t="shared" si="4"/>
        <v>661.49065713489415</v>
      </c>
      <c r="Y66" s="38">
        <f t="shared" si="5"/>
        <v>404.82399046822746</v>
      </c>
      <c r="AA66" s="71">
        <v>61</v>
      </c>
      <c r="AB66" s="33">
        <f t="shared" si="6"/>
        <v>21</v>
      </c>
      <c r="AC66" s="308">
        <f t="shared" si="41"/>
        <v>0.4</v>
      </c>
      <c r="AD66" s="101">
        <f t="shared" si="8"/>
        <v>0</v>
      </c>
      <c r="AE66" s="101">
        <f t="shared" si="9"/>
        <v>0</v>
      </c>
      <c r="AF66" s="197">
        <f t="shared" si="36"/>
        <v>25.346503228592276</v>
      </c>
      <c r="AG66" s="197">
        <f t="shared" si="37"/>
        <v>0</v>
      </c>
      <c r="AH66" s="197">
        <f t="shared" si="38"/>
        <v>0</v>
      </c>
      <c r="AI66" s="202">
        <f t="shared" si="39"/>
        <v>25.346503228592276</v>
      </c>
      <c r="AK66" s="71">
        <v>61</v>
      </c>
      <c r="AL66" s="33">
        <f t="shared" si="10"/>
        <v>21</v>
      </c>
      <c r="AM66" s="33">
        <f t="shared" si="11"/>
        <v>0.8</v>
      </c>
      <c r="AN66" s="33">
        <f t="shared" si="12"/>
        <v>0</v>
      </c>
      <c r="AO66" s="33">
        <f t="shared" si="13"/>
        <v>0</v>
      </c>
      <c r="AP66" s="33">
        <f t="shared" si="14"/>
        <v>0.19999999999999996</v>
      </c>
      <c r="AQ66" s="197">
        <f t="shared" si="15"/>
        <v>16.8</v>
      </c>
      <c r="AR66" s="197">
        <f t="shared" si="16"/>
        <v>0</v>
      </c>
      <c r="AS66" s="197">
        <f t="shared" si="17"/>
        <v>0</v>
      </c>
      <c r="AT66" s="197">
        <f t="shared" si="18"/>
        <v>4.1999999999999993</v>
      </c>
      <c r="AU66" s="33"/>
      <c r="AV66" s="33"/>
      <c r="AW66" s="33"/>
      <c r="AX66" s="33"/>
      <c r="AY66" s="76"/>
    </row>
    <row r="67" spans="2:51">
      <c r="B67" s="40">
        <f t="shared" si="34"/>
        <v>121</v>
      </c>
      <c r="C67" s="155">
        <f t="shared" si="40"/>
        <v>125</v>
      </c>
      <c r="D67" s="140">
        <f>D68+16</f>
        <v>284</v>
      </c>
      <c r="E67" s="144">
        <f t="shared" si="32"/>
        <v>1.56</v>
      </c>
      <c r="F67" s="42">
        <f t="shared" si="44"/>
        <v>443.04</v>
      </c>
      <c r="G67" s="51">
        <f t="shared" si="45"/>
        <v>6.2399999999999949</v>
      </c>
      <c r="I67" s="55">
        <v>62</v>
      </c>
      <c r="J67" s="33">
        <f t="shared" si="21"/>
        <v>0</v>
      </c>
      <c r="K67" s="33">
        <f t="shared" si="22"/>
        <v>0</v>
      </c>
      <c r="L67" s="33">
        <f t="shared" si="23"/>
        <v>70</v>
      </c>
      <c r="M67" s="33">
        <f t="shared" si="24"/>
        <v>0</v>
      </c>
      <c r="N67" s="33">
        <f t="shared" si="0"/>
        <v>0</v>
      </c>
      <c r="O67" s="34">
        <f t="shared" si="1"/>
        <v>256.66666666666669</v>
      </c>
      <c r="P67" s="55">
        <v>62</v>
      </c>
      <c r="Q67" s="33">
        <f t="shared" si="19"/>
        <v>14.040000000000006</v>
      </c>
      <c r="R67" s="33">
        <f t="shared" si="25"/>
        <v>315.12</v>
      </c>
      <c r="S67" s="33">
        <f t="shared" si="26"/>
        <v>176.46720000000002</v>
      </c>
      <c r="T67" s="33">
        <f t="shared" si="2"/>
        <v>44.535298821989393</v>
      </c>
      <c r="U67" s="33">
        <f t="shared" si="20"/>
        <v>70</v>
      </c>
      <c r="V67" s="33">
        <f t="shared" si="3"/>
        <v>10</v>
      </c>
      <c r="W67" s="33">
        <v>0</v>
      </c>
      <c r="X67" s="33">
        <f t="shared" si="4"/>
        <v>678.24601878163151</v>
      </c>
      <c r="Y67" s="38">
        <f t="shared" si="5"/>
        <v>421.57935211496482</v>
      </c>
      <c r="AA67" s="71">
        <v>62</v>
      </c>
      <c r="AB67" s="33">
        <f t="shared" si="6"/>
        <v>0</v>
      </c>
      <c r="AC67" s="308">
        <f t="shared" si="41"/>
        <v>0</v>
      </c>
      <c r="AD67" s="101">
        <f t="shared" si="8"/>
        <v>0</v>
      </c>
      <c r="AE67" s="101">
        <f t="shared" si="9"/>
        <v>0</v>
      </c>
      <c r="AF67" s="197">
        <f t="shared" si="36"/>
        <v>24.84947376012002</v>
      </c>
      <c r="AG67" s="197">
        <f t="shared" si="37"/>
        <v>0</v>
      </c>
      <c r="AH67" s="197">
        <f t="shared" si="38"/>
        <v>0</v>
      </c>
      <c r="AI67" s="202">
        <f t="shared" si="39"/>
        <v>24.84947376012002</v>
      </c>
      <c r="AK67" s="71">
        <v>62</v>
      </c>
      <c r="AL67" s="33">
        <f t="shared" si="10"/>
        <v>0</v>
      </c>
      <c r="AM67" s="33">
        <f t="shared" si="11"/>
        <v>0</v>
      </c>
      <c r="AN67" s="33">
        <f t="shared" si="12"/>
        <v>0</v>
      </c>
      <c r="AO67" s="33">
        <f t="shared" si="13"/>
        <v>0</v>
      </c>
      <c r="AP67" s="33">
        <f t="shared" si="14"/>
        <v>0</v>
      </c>
      <c r="AQ67" s="197">
        <f t="shared" si="15"/>
        <v>0</v>
      </c>
      <c r="AR67" s="197">
        <f t="shared" si="16"/>
        <v>0</v>
      </c>
      <c r="AS67" s="197">
        <f t="shared" si="17"/>
        <v>0</v>
      </c>
      <c r="AT67" s="197">
        <f t="shared" si="18"/>
        <v>0</v>
      </c>
      <c r="AU67" s="33"/>
      <c r="AV67" s="33"/>
      <c r="AW67" s="33"/>
      <c r="AX67" s="33"/>
      <c r="AY67" s="76"/>
    </row>
    <row r="68" spans="2:51">
      <c r="B68" s="40">
        <f t="shared" si="34"/>
        <v>125</v>
      </c>
      <c r="C68" s="155">
        <f t="shared" si="40"/>
        <v>126</v>
      </c>
      <c r="D68" s="140">
        <v>268</v>
      </c>
      <c r="E68" s="144">
        <f t="shared" si="32"/>
        <v>1.56</v>
      </c>
      <c r="F68" s="42">
        <f t="shared" si="44"/>
        <v>418.08000000000004</v>
      </c>
      <c r="G68" s="51">
        <f t="shared" si="45"/>
        <v>-24.95999999999998</v>
      </c>
      <c r="I68" s="55">
        <v>63</v>
      </c>
      <c r="J68" s="33">
        <f t="shared" si="21"/>
        <v>0</v>
      </c>
      <c r="K68" s="33">
        <f t="shared" si="22"/>
        <v>0</v>
      </c>
      <c r="L68" s="33">
        <f t="shared" si="23"/>
        <v>70</v>
      </c>
      <c r="M68" s="33">
        <f t="shared" si="24"/>
        <v>0</v>
      </c>
      <c r="N68" s="33">
        <f t="shared" si="0"/>
        <v>0</v>
      </c>
      <c r="O68" s="34">
        <f t="shared" si="1"/>
        <v>256.66666666666669</v>
      </c>
      <c r="P68" s="55">
        <v>63</v>
      </c>
      <c r="Q68" s="33">
        <f t="shared" si="19"/>
        <v>14.040000000000006</v>
      </c>
      <c r="R68" s="33">
        <f t="shared" si="25"/>
        <v>329.16</v>
      </c>
      <c r="S68" s="33">
        <f t="shared" si="26"/>
        <v>184.32960000000003</v>
      </c>
      <c r="T68" s="33">
        <f t="shared" si="2"/>
        <v>46.284105851003062</v>
      </c>
      <c r="U68" s="33">
        <f t="shared" si="20"/>
        <v>70</v>
      </c>
      <c r="V68" s="33">
        <f t="shared" si="3"/>
        <v>10</v>
      </c>
      <c r="W68" s="33">
        <v>0</v>
      </c>
      <c r="X68" s="33">
        <f t="shared" si="4"/>
        <v>694.98553769049704</v>
      </c>
      <c r="Y68" s="38">
        <f t="shared" si="5"/>
        <v>438.31887102383035</v>
      </c>
      <c r="AA68" s="71">
        <v>63</v>
      </c>
      <c r="AB68" s="33">
        <f t="shared" si="6"/>
        <v>0</v>
      </c>
      <c r="AC68" s="308">
        <f t="shared" si="41"/>
        <v>0</v>
      </c>
      <c r="AD68" s="101">
        <f t="shared" si="8"/>
        <v>0</v>
      </c>
      <c r="AE68" s="101">
        <f t="shared" si="9"/>
        <v>0</v>
      </c>
      <c r="AF68" s="197">
        <f t="shared" si="36"/>
        <v>24.362190736366461</v>
      </c>
      <c r="AG68" s="197">
        <f t="shared" si="37"/>
        <v>0</v>
      </c>
      <c r="AH68" s="197">
        <f t="shared" si="38"/>
        <v>0</v>
      </c>
      <c r="AI68" s="202">
        <f t="shared" si="39"/>
        <v>24.362190736366461</v>
      </c>
      <c r="AK68" s="71">
        <v>63</v>
      </c>
      <c r="AL68" s="33">
        <f t="shared" si="10"/>
        <v>0</v>
      </c>
      <c r="AM68" s="33">
        <f t="shared" si="11"/>
        <v>0</v>
      </c>
      <c r="AN68" s="33">
        <f t="shared" si="12"/>
        <v>0</v>
      </c>
      <c r="AO68" s="33">
        <f t="shared" si="13"/>
        <v>0</v>
      </c>
      <c r="AP68" s="33">
        <f t="shared" si="14"/>
        <v>0</v>
      </c>
      <c r="AQ68" s="197">
        <f t="shared" si="15"/>
        <v>0</v>
      </c>
      <c r="AR68" s="197">
        <f t="shared" si="16"/>
        <v>0</v>
      </c>
      <c r="AS68" s="197">
        <f t="shared" si="17"/>
        <v>0</v>
      </c>
      <c r="AT68" s="197">
        <f t="shared" si="18"/>
        <v>0</v>
      </c>
      <c r="AU68" s="33"/>
      <c r="AV68" s="33"/>
      <c r="AW68" s="33"/>
      <c r="AX68" s="33"/>
      <c r="AY68" s="76"/>
    </row>
    <row r="69" spans="2:51">
      <c r="B69" s="40">
        <f t="shared" si="34"/>
        <v>126</v>
      </c>
      <c r="C69" s="155">
        <f t="shared" si="40"/>
        <v>130</v>
      </c>
      <c r="D69" s="140">
        <f>D70+15</f>
        <v>284</v>
      </c>
      <c r="E69" s="144">
        <f t="shared" si="32"/>
        <v>1.56</v>
      </c>
      <c r="F69" s="42">
        <f t="shared" si="44"/>
        <v>443.04</v>
      </c>
      <c r="G69" s="51">
        <f t="shared" si="45"/>
        <v>6.2399999999999949</v>
      </c>
      <c r="I69" s="55">
        <v>64</v>
      </c>
      <c r="J69" s="33">
        <f t="shared" si="21"/>
        <v>0</v>
      </c>
      <c r="K69" s="33">
        <f t="shared" si="22"/>
        <v>0</v>
      </c>
      <c r="L69" s="33">
        <f t="shared" si="23"/>
        <v>70</v>
      </c>
      <c r="M69" s="33">
        <f t="shared" si="24"/>
        <v>0</v>
      </c>
      <c r="N69" s="33">
        <f t="shared" ref="N69:N132" si="46">IF(P70&lt;=$F$18,0,)</f>
        <v>0</v>
      </c>
      <c r="O69" s="34">
        <f t="shared" ref="O69:O132" si="47">((J69+K69)*0.475+L69+M69+N69)*44/12</f>
        <v>256.66666666666669</v>
      </c>
      <c r="P69" s="55">
        <v>64</v>
      </c>
      <c r="Q69" s="33">
        <f t="shared" si="19"/>
        <v>14.040000000000006</v>
      </c>
      <c r="R69" s="33">
        <f t="shared" si="25"/>
        <v>343.20000000000005</v>
      </c>
      <c r="S69" s="33">
        <f t="shared" si="26"/>
        <v>192.19200000000004</v>
      </c>
      <c r="T69" s="33">
        <f t="shared" ref="T69:T132" si="48">IF(S69=0,0,EXP(-1.0587+0.8836*LN(S69)+0.284))</f>
        <v>48.02424892193244</v>
      </c>
      <c r="U69" s="33">
        <f t="shared" si="20"/>
        <v>70</v>
      </c>
      <c r="V69" s="33">
        <f t="shared" ref="V69:V132" si="49">IF(P69&lt;=$F$18,IF(P69&lt;=30,P69*($F$16-$F$6)/30,$F$16-$F$6),)</f>
        <v>10</v>
      </c>
      <c r="W69" s="33">
        <v>0</v>
      </c>
      <c r="X69" s="33">
        <f t="shared" ref="X69:X132" si="50">((S69+T69)*0.475+U69+V69+W69)*44/12</f>
        <v>711.70996687236584</v>
      </c>
      <c r="Y69" s="38">
        <f t="shared" ref="Y69:Y132" si="51">IF(P69&lt;=$F$18,X69-O69,)</f>
        <v>455.04330020569915</v>
      </c>
      <c r="AA69" s="71">
        <v>64</v>
      </c>
      <c r="AB69" s="33">
        <f t="shared" ref="AB69:AB132" si="52">IF(AA69&lt;=$F$18,IFERROR(VLOOKUP($AA69,$B$82:$G$94,2,FALSE),0),)</f>
        <v>0</v>
      </c>
      <c r="AC69" s="308">
        <f t="shared" si="41"/>
        <v>0</v>
      </c>
      <c r="AD69" s="101">
        <f t="shared" ref="AD69:AD132" si="53">IF(AA69&lt;=$F$18,IFERROR(VLOOKUP($AA69,$B$82:$G$94,4,FALSE),0),)</f>
        <v>0</v>
      </c>
      <c r="AE69" s="101">
        <f t="shared" ref="AE69:AE132" si="54">IF(AA69&lt;=$F$18,IFERROR(VLOOKUP($AA69,$B$82:$G$94,5,FALSE),0),)</f>
        <v>0</v>
      </c>
      <c r="AF69" s="197">
        <f t="shared" si="36"/>
        <v>23.884463035495415</v>
      </c>
      <c r="AG69" s="197">
        <f t="shared" si="37"/>
        <v>0</v>
      </c>
      <c r="AH69" s="197">
        <f t="shared" si="38"/>
        <v>0</v>
      </c>
      <c r="AI69" s="202">
        <f t="shared" si="39"/>
        <v>23.884463035495415</v>
      </c>
      <c r="AK69" s="71">
        <v>64</v>
      </c>
      <c r="AL69" s="33">
        <f t="shared" ref="AL69:AL132" si="55">IF(AK69&lt;=$F$18,IFERROR(VLOOKUP($AA69,$B$82:$G$94,2,FALSE),0),)</f>
        <v>0</v>
      </c>
      <c r="AM69" s="33">
        <f t="shared" ref="AM69:AM132" si="56">IF(AK69&lt;=$F$18,IFERROR(VLOOKUP($AA69,$B$82:$G$94,3,FALSE),0),)</f>
        <v>0</v>
      </c>
      <c r="AN69" s="33">
        <f t="shared" ref="AN69:AN132" si="57">IF(AK69&lt;=$F$18,IFERROR(VLOOKUP($AA69,$B$82:$G$94,4,FALSE),0),)</f>
        <v>0</v>
      </c>
      <c r="AO69" s="33">
        <f t="shared" ref="AO69:AO132" si="58">IF(AK69&lt;=$F$18,IFERROR(VLOOKUP($AA69,$B$82:$G$94,5,FALSE),0),)</f>
        <v>0</v>
      </c>
      <c r="AP69" s="33">
        <f t="shared" ref="AP69:AP132" si="59">IF(AK69&lt;=$F$18,IFERROR(VLOOKUP($AA69,$B$82:$G$94,6,FALSE),0),)</f>
        <v>0</v>
      </c>
      <c r="AQ69" s="197">
        <f t="shared" ref="AQ69:AT132" si="60">IF($AK69&lt;=$F$18,$AL69*AM69,)</f>
        <v>0</v>
      </c>
      <c r="AR69" s="197">
        <f t="shared" si="60"/>
        <v>0</v>
      </c>
      <c r="AS69" s="197">
        <f t="shared" si="60"/>
        <v>0</v>
      </c>
      <c r="AT69" s="197">
        <f t="shared" si="60"/>
        <v>0</v>
      </c>
      <c r="AU69" s="33"/>
      <c r="AV69" s="33"/>
      <c r="AW69" s="33"/>
      <c r="AX69" s="33"/>
      <c r="AY69" s="76"/>
    </row>
    <row r="70" spans="2:51">
      <c r="B70" s="40">
        <f t="shared" si="34"/>
        <v>130</v>
      </c>
      <c r="C70" s="155">
        <f t="shared" si="40"/>
        <v>131</v>
      </c>
      <c r="D70" s="140">
        <v>269</v>
      </c>
      <c r="E70" s="144">
        <f t="shared" si="32"/>
        <v>1.56</v>
      </c>
      <c r="F70" s="42">
        <f t="shared" si="44"/>
        <v>419.64</v>
      </c>
      <c r="G70" s="51">
        <f t="shared" si="45"/>
        <v>-23.400000000000034</v>
      </c>
      <c r="I70" s="55">
        <v>65</v>
      </c>
      <c r="J70" s="33">
        <f t="shared" si="21"/>
        <v>0</v>
      </c>
      <c r="K70" s="33">
        <f t="shared" si="22"/>
        <v>0</v>
      </c>
      <c r="L70" s="33">
        <f t="shared" si="23"/>
        <v>70</v>
      </c>
      <c r="M70" s="33">
        <f t="shared" si="24"/>
        <v>0</v>
      </c>
      <c r="N70" s="33">
        <f t="shared" si="46"/>
        <v>0</v>
      </c>
      <c r="O70" s="34">
        <f t="shared" si="47"/>
        <v>256.66666666666669</v>
      </c>
      <c r="P70" s="55">
        <v>65</v>
      </c>
      <c r="Q70" s="33">
        <f t="shared" ref="Q70:Q133" si="61">IF(P70&lt;=$F$18,LOOKUP(P70-1,$B$25:$B$78,$G$25:$G$78),)</f>
        <v>14.040000000000006</v>
      </c>
      <c r="R70" s="33">
        <f t="shared" si="25"/>
        <v>357.24000000000007</v>
      </c>
      <c r="S70" s="33">
        <f t="shared" si="26"/>
        <v>200.05440000000004</v>
      </c>
      <c r="T70" s="33">
        <f t="shared" si="48"/>
        <v>49.756123009618186</v>
      </c>
      <c r="U70" s="33">
        <f t="shared" ref="U70:U133" si="62">IF(P70&lt;=$F$18,$F$5+($F$15-$F$5)*(1-EXP(-0.0175*P70)),)</f>
        <v>70</v>
      </c>
      <c r="V70" s="33">
        <f t="shared" si="49"/>
        <v>10</v>
      </c>
      <c r="W70" s="33">
        <v>0</v>
      </c>
      <c r="X70" s="33">
        <f t="shared" si="50"/>
        <v>728.41999424175174</v>
      </c>
      <c r="Y70" s="38">
        <f t="shared" si="51"/>
        <v>471.75332757508505</v>
      </c>
      <c r="AA70" s="71">
        <v>65</v>
      </c>
      <c r="AB70" s="33">
        <f t="shared" si="52"/>
        <v>0</v>
      </c>
      <c r="AC70" s="308">
        <f t="shared" si="41"/>
        <v>0</v>
      </c>
      <c r="AD70" s="101">
        <f t="shared" si="53"/>
        <v>0</v>
      </c>
      <c r="AE70" s="101">
        <f t="shared" si="54"/>
        <v>0</v>
      </c>
      <c r="AF70" s="197">
        <f t="shared" si="36"/>
        <v>23.416103283453321</v>
      </c>
      <c r="AG70" s="197">
        <f t="shared" si="37"/>
        <v>0</v>
      </c>
      <c r="AH70" s="197">
        <f t="shared" si="38"/>
        <v>0</v>
      </c>
      <c r="AI70" s="202">
        <f t="shared" si="39"/>
        <v>23.416103283453321</v>
      </c>
      <c r="AK70" s="71">
        <v>65</v>
      </c>
      <c r="AL70" s="33">
        <f t="shared" si="55"/>
        <v>0</v>
      </c>
      <c r="AM70" s="33">
        <f t="shared" si="56"/>
        <v>0</v>
      </c>
      <c r="AN70" s="33">
        <f t="shared" si="57"/>
        <v>0</v>
      </c>
      <c r="AO70" s="33">
        <f t="shared" si="58"/>
        <v>0</v>
      </c>
      <c r="AP70" s="33">
        <f t="shared" si="59"/>
        <v>0</v>
      </c>
      <c r="AQ70" s="197">
        <f t="shared" si="60"/>
        <v>0</v>
      </c>
      <c r="AR70" s="197">
        <f t="shared" si="60"/>
        <v>0</v>
      </c>
      <c r="AS70" s="197">
        <f t="shared" si="60"/>
        <v>0</v>
      </c>
      <c r="AT70" s="197">
        <f t="shared" si="60"/>
        <v>0</v>
      </c>
      <c r="AU70" s="33"/>
      <c r="AV70" s="33"/>
      <c r="AW70" s="33"/>
      <c r="AX70" s="33"/>
      <c r="AY70" s="76"/>
    </row>
    <row r="71" spans="2:51">
      <c r="B71" s="40">
        <f t="shared" si="34"/>
        <v>131</v>
      </c>
      <c r="C71" s="155">
        <f t="shared" si="40"/>
        <v>135</v>
      </c>
      <c r="D71" s="140">
        <f>D72+14</f>
        <v>283</v>
      </c>
      <c r="E71" s="144">
        <f t="shared" si="32"/>
        <v>1.56</v>
      </c>
      <c r="F71" s="42">
        <f t="shared" si="44"/>
        <v>441.48</v>
      </c>
      <c r="G71" s="51">
        <f t="shared" si="45"/>
        <v>5.460000000000008</v>
      </c>
      <c r="I71" s="55">
        <v>66</v>
      </c>
      <c r="J71" s="33">
        <f t="shared" ref="J71:J134" si="63">IF($I71&lt;=$F$10,$F$11*$F$13+J70,)</f>
        <v>0</v>
      </c>
      <c r="K71" s="33">
        <f t="shared" ref="K71:K134" si="64">IF(J71=0,0,EXP(-1.0587+0.8836*LN(J71)+0.284))</f>
        <v>0</v>
      </c>
      <c r="L71" s="33">
        <f t="shared" ref="L71:L134" si="65">IF(I71&lt;=$F$10,$F$5+($F$8-$F$5)*(1-EXP(-0.0175*I71)),)</f>
        <v>70</v>
      </c>
      <c r="M71" s="33">
        <f t="shared" ref="M71:M134" si="66">IF(I71&lt;=$F$10,IF(I71&lt;=30,I71*($F$9-$F$6)/30,$F$9-$F$6),)</f>
        <v>0</v>
      </c>
      <c r="N71" s="33">
        <f t="shared" si="46"/>
        <v>0</v>
      </c>
      <c r="O71" s="34">
        <f t="shared" si="47"/>
        <v>256.66666666666669</v>
      </c>
      <c r="P71" s="55">
        <v>66</v>
      </c>
      <c r="Q71" s="33">
        <f t="shared" si="61"/>
        <v>-32.759999999999991</v>
      </c>
      <c r="R71" s="33">
        <f t="shared" ref="R71:R134" si="67">IF(P71&lt;=$F$18,Q71+R70,)</f>
        <v>324.48000000000008</v>
      </c>
      <c r="S71" s="33">
        <f t="shared" ref="S71:S134" si="68">$F$19*R71</f>
        <v>181.70880000000005</v>
      </c>
      <c r="T71" s="33">
        <f t="shared" si="48"/>
        <v>45.702153370067812</v>
      </c>
      <c r="U71" s="33">
        <f t="shared" si="62"/>
        <v>70</v>
      </c>
      <c r="V71" s="33">
        <f t="shared" si="49"/>
        <v>10</v>
      </c>
      <c r="W71" s="33">
        <v>0</v>
      </c>
      <c r="X71" s="33">
        <f t="shared" si="50"/>
        <v>689.40741045286813</v>
      </c>
      <c r="Y71" s="38">
        <f t="shared" si="51"/>
        <v>432.74074378620145</v>
      </c>
      <c r="AA71" s="71">
        <v>66</v>
      </c>
      <c r="AB71" s="33">
        <f t="shared" si="52"/>
        <v>21</v>
      </c>
      <c r="AC71" s="308">
        <f t="shared" si="41"/>
        <v>0.45</v>
      </c>
      <c r="AD71" s="101">
        <f t="shared" si="53"/>
        <v>0</v>
      </c>
      <c r="AE71" s="101">
        <f t="shared" si="54"/>
        <v>0</v>
      </c>
      <c r="AF71" s="197">
        <f t="shared" si="36"/>
        <v>32.083160608119393</v>
      </c>
      <c r="AG71" s="197">
        <f t="shared" si="37"/>
        <v>0</v>
      </c>
      <c r="AH71" s="197">
        <f t="shared" si="38"/>
        <v>0</v>
      </c>
      <c r="AI71" s="202">
        <f t="shared" si="39"/>
        <v>32.083160608119393</v>
      </c>
      <c r="AK71" s="71">
        <v>66</v>
      </c>
      <c r="AL71" s="33">
        <f t="shared" si="55"/>
        <v>21</v>
      </c>
      <c r="AM71" s="33">
        <f t="shared" si="56"/>
        <v>0.9</v>
      </c>
      <c r="AN71" s="33">
        <f t="shared" si="57"/>
        <v>0</v>
      </c>
      <c r="AO71" s="33">
        <f t="shared" si="58"/>
        <v>0</v>
      </c>
      <c r="AP71" s="33">
        <f t="shared" si="59"/>
        <v>9.9999999999999978E-2</v>
      </c>
      <c r="AQ71" s="197">
        <f t="shared" si="60"/>
        <v>18.900000000000002</v>
      </c>
      <c r="AR71" s="197">
        <f t="shared" si="60"/>
        <v>0</v>
      </c>
      <c r="AS71" s="197">
        <f t="shared" si="60"/>
        <v>0</v>
      </c>
      <c r="AT71" s="197">
        <f t="shared" si="60"/>
        <v>2.0999999999999996</v>
      </c>
      <c r="AU71" s="33"/>
      <c r="AV71" s="33"/>
      <c r="AW71" s="33"/>
      <c r="AX71" s="33"/>
      <c r="AY71" s="76"/>
    </row>
    <row r="72" spans="2:51">
      <c r="B72" s="40">
        <f t="shared" si="34"/>
        <v>135</v>
      </c>
      <c r="C72" s="155">
        <f t="shared" si="40"/>
        <v>136</v>
      </c>
      <c r="D72" s="140">
        <v>269</v>
      </c>
      <c r="E72" s="144">
        <f t="shared" si="32"/>
        <v>1.56</v>
      </c>
      <c r="F72" s="42">
        <f t="shared" si="44"/>
        <v>419.64</v>
      </c>
      <c r="G72" s="51">
        <f t="shared" si="45"/>
        <v>-21.840000000000032</v>
      </c>
      <c r="I72" s="55">
        <v>67</v>
      </c>
      <c r="J72" s="33">
        <f t="shared" si="63"/>
        <v>0</v>
      </c>
      <c r="K72" s="33">
        <f t="shared" si="64"/>
        <v>0</v>
      </c>
      <c r="L72" s="33">
        <f t="shared" si="65"/>
        <v>70</v>
      </c>
      <c r="M72" s="33">
        <f t="shared" si="66"/>
        <v>0</v>
      </c>
      <c r="N72" s="33">
        <f t="shared" si="46"/>
        <v>0</v>
      </c>
      <c r="O72" s="34">
        <f t="shared" si="47"/>
        <v>256.66666666666669</v>
      </c>
      <c r="P72" s="55">
        <v>67</v>
      </c>
      <c r="Q72" s="33">
        <f t="shared" si="61"/>
        <v>13.260000000000005</v>
      </c>
      <c r="R72" s="33">
        <f t="shared" si="67"/>
        <v>337.74000000000007</v>
      </c>
      <c r="S72" s="33">
        <f t="shared" si="68"/>
        <v>189.13440000000006</v>
      </c>
      <c r="T72" s="33">
        <f t="shared" si="48"/>
        <v>47.348530153301503</v>
      </c>
      <c r="U72" s="33">
        <f t="shared" si="62"/>
        <v>70</v>
      </c>
      <c r="V72" s="33">
        <f t="shared" si="49"/>
        <v>10</v>
      </c>
      <c r="W72" s="33">
        <v>0</v>
      </c>
      <c r="X72" s="33">
        <f t="shared" si="50"/>
        <v>705.20777001700026</v>
      </c>
      <c r="Y72" s="38">
        <f t="shared" si="51"/>
        <v>448.54110335033357</v>
      </c>
      <c r="AA72" s="71">
        <v>67</v>
      </c>
      <c r="AB72" s="33">
        <f t="shared" si="52"/>
        <v>0</v>
      </c>
      <c r="AC72" s="308">
        <f t="shared" si="41"/>
        <v>0</v>
      </c>
      <c r="AD72" s="101">
        <f t="shared" si="53"/>
        <v>0</v>
      </c>
      <c r="AE72" s="101">
        <f t="shared" si="54"/>
        <v>0</v>
      </c>
      <c r="AF72" s="197">
        <f t="shared" si="36"/>
        <v>31.454029397389885</v>
      </c>
      <c r="AG72" s="197">
        <f t="shared" si="37"/>
        <v>0</v>
      </c>
      <c r="AH72" s="197">
        <f t="shared" si="38"/>
        <v>0</v>
      </c>
      <c r="AI72" s="202">
        <f t="shared" si="39"/>
        <v>31.454029397389885</v>
      </c>
      <c r="AK72" s="71">
        <v>67</v>
      </c>
      <c r="AL72" s="33">
        <f t="shared" si="55"/>
        <v>0</v>
      </c>
      <c r="AM72" s="33">
        <f t="shared" si="56"/>
        <v>0</v>
      </c>
      <c r="AN72" s="33">
        <f t="shared" si="57"/>
        <v>0</v>
      </c>
      <c r="AO72" s="33">
        <f t="shared" si="58"/>
        <v>0</v>
      </c>
      <c r="AP72" s="33">
        <f t="shared" si="59"/>
        <v>0</v>
      </c>
      <c r="AQ72" s="197">
        <f t="shared" si="60"/>
        <v>0</v>
      </c>
      <c r="AR72" s="197">
        <f t="shared" si="60"/>
        <v>0</v>
      </c>
      <c r="AS72" s="197">
        <f t="shared" si="60"/>
        <v>0</v>
      </c>
      <c r="AT72" s="197">
        <f t="shared" si="60"/>
        <v>0</v>
      </c>
      <c r="AU72" s="33"/>
      <c r="AV72" s="33"/>
      <c r="AW72" s="33"/>
      <c r="AX72" s="33"/>
      <c r="AY72" s="76"/>
    </row>
    <row r="73" spans="2:51">
      <c r="B73" s="40">
        <f t="shared" si="34"/>
        <v>136</v>
      </c>
      <c r="C73" s="155">
        <f t="shared" si="40"/>
        <v>140</v>
      </c>
      <c r="D73" s="140">
        <f>D74+13</f>
        <v>282</v>
      </c>
      <c r="E73" s="144">
        <f t="shared" si="32"/>
        <v>1.56</v>
      </c>
      <c r="F73" s="42">
        <f t="shared" si="44"/>
        <v>439.92</v>
      </c>
      <c r="G73" s="51">
        <f t="shared" si="45"/>
        <v>5.0700000000000074</v>
      </c>
      <c r="I73" s="55">
        <v>68</v>
      </c>
      <c r="J73" s="33">
        <f t="shared" si="63"/>
        <v>0</v>
      </c>
      <c r="K73" s="33">
        <f t="shared" si="64"/>
        <v>0</v>
      </c>
      <c r="L73" s="33">
        <f t="shared" si="65"/>
        <v>70</v>
      </c>
      <c r="M73" s="33">
        <f t="shared" si="66"/>
        <v>0</v>
      </c>
      <c r="N73" s="33">
        <f t="shared" si="46"/>
        <v>0</v>
      </c>
      <c r="O73" s="34">
        <f t="shared" si="47"/>
        <v>256.66666666666669</v>
      </c>
      <c r="P73" s="55">
        <v>68</v>
      </c>
      <c r="Q73" s="33">
        <f t="shared" si="61"/>
        <v>13.260000000000005</v>
      </c>
      <c r="R73" s="33">
        <f t="shared" si="67"/>
        <v>351.00000000000006</v>
      </c>
      <c r="S73" s="33">
        <f t="shared" si="68"/>
        <v>196.56000000000006</v>
      </c>
      <c r="T73" s="33">
        <f t="shared" si="48"/>
        <v>48.987398161128134</v>
      </c>
      <c r="U73" s="33">
        <f t="shared" si="62"/>
        <v>70</v>
      </c>
      <c r="V73" s="33">
        <f t="shared" si="49"/>
        <v>10</v>
      </c>
      <c r="W73" s="33">
        <v>0</v>
      </c>
      <c r="X73" s="33">
        <f t="shared" si="50"/>
        <v>720.9950517972984</v>
      </c>
      <c r="Y73" s="38">
        <f t="shared" si="51"/>
        <v>464.32838513063172</v>
      </c>
      <c r="AA73" s="71">
        <v>68</v>
      </c>
      <c r="AB73" s="33">
        <f t="shared" si="52"/>
        <v>0</v>
      </c>
      <c r="AC73" s="308">
        <f t="shared" si="41"/>
        <v>0</v>
      </c>
      <c r="AD73" s="101">
        <f t="shared" si="53"/>
        <v>0</v>
      </c>
      <c r="AE73" s="101">
        <f t="shared" si="54"/>
        <v>0</v>
      </c>
      <c r="AF73" s="197">
        <f t="shared" si="36"/>
        <v>30.837235065970635</v>
      </c>
      <c r="AG73" s="197">
        <f t="shared" si="37"/>
        <v>0</v>
      </c>
      <c r="AH73" s="197">
        <f t="shared" si="38"/>
        <v>0</v>
      </c>
      <c r="AI73" s="202">
        <f t="shared" si="39"/>
        <v>30.837235065970635</v>
      </c>
      <c r="AK73" s="71">
        <v>68</v>
      </c>
      <c r="AL73" s="33">
        <f t="shared" si="55"/>
        <v>0</v>
      </c>
      <c r="AM73" s="33">
        <f t="shared" si="56"/>
        <v>0</v>
      </c>
      <c r="AN73" s="33">
        <f t="shared" si="57"/>
        <v>0</v>
      </c>
      <c r="AO73" s="33">
        <f t="shared" si="58"/>
        <v>0</v>
      </c>
      <c r="AP73" s="33">
        <f t="shared" si="59"/>
        <v>0</v>
      </c>
      <c r="AQ73" s="197">
        <f t="shared" si="60"/>
        <v>0</v>
      </c>
      <c r="AR73" s="197">
        <f t="shared" si="60"/>
        <v>0</v>
      </c>
      <c r="AS73" s="197">
        <f t="shared" si="60"/>
        <v>0</v>
      </c>
      <c r="AT73" s="197">
        <f t="shared" si="60"/>
        <v>0</v>
      </c>
      <c r="AU73" s="33"/>
      <c r="AV73" s="33"/>
      <c r="AW73" s="33"/>
      <c r="AX73" s="33"/>
      <c r="AY73" s="76"/>
    </row>
    <row r="74" spans="2:51">
      <c r="B74" s="40">
        <f t="shared" si="34"/>
        <v>140</v>
      </c>
      <c r="C74" s="155">
        <f t="shared" si="40"/>
        <v>141</v>
      </c>
      <c r="D74" s="140">
        <v>269</v>
      </c>
      <c r="E74" s="144">
        <f t="shared" si="32"/>
        <v>1.56</v>
      </c>
      <c r="F74" s="42">
        <f t="shared" si="44"/>
        <v>419.64</v>
      </c>
      <c r="G74" s="51">
        <f t="shared" si="45"/>
        <v>-20.28000000000003</v>
      </c>
      <c r="I74" s="55">
        <v>69</v>
      </c>
      <c r="J74" s="33">
        <f t="shared" si="63"/>
        <v>0</v>
      </c>
      <c r="K74" s="33">
        <f t="shared" si="64"/>
        <v>0</v>
      </c>
      <c r="L74" s="33">
        <f t="shared" si="65"/>
        <v>70</v>
      </c>
      <c r="M74" s="33">
        <f t="shared" si="66"/>
        <v>0</v>
      </c>
      <c r="N74" s="33">
        <f t="shared" si="46"/>
        <v>0</v>
      </c>
      <c r="O74" s="34">
        <f t="shared" si="47"/>
        <v>256.66666666666669</v>
      </c>
      <c r="P74" s="55">
        <v>69</v>
      </c>
      <c r="Q74" s="33">
        <f t="shared" si="61"/>
        <v>13.260000000000005</v>
      </c>
      <c r="R74" s="33">
        <f t="shared" si="67"/>
        <v>364.26000000000005</v>
      </c>
      <c r="S74" s="33">
        <f t="shared" si="68"/>
        <v>203.98560000000003</v>
      </c>
      <c r="T74" s="33">
        <f t="shared" si="48"/>
        <v>50.619073534794772</v>
      </c>
      <c r="U74" s="33">
        <f t="shared" si="62"/>
        <v>70</v>
      </c>
      <c r="V74" s="33">
        <f t="shared" si="49"/>
        <v>10</v>
      </c>
      <c r="W74" s="33">
        <v>0</v>
      </c>
      <c r="X74" s="33">
        <f t="shared" si="50"/>
        <v>736.76980640643433</v>
      </c>
      <c r="Y74" s="38">
        <f t="shared" si="51"/>
        <v>480.10313973976764</v>
      </c>
      <c r="AA74" s="71">
        <v>69</v>
      </c>
      <c r="AB74" s="33">
        <f t="shared" si="52"/>
        <v>0</v>
      </c>
      <c r="AC74" s="308">
        <f t="shared" si="41"/>
        <v>0</v>
      </c>
      <c r="AD74" s="101">
        <f t="shared" si="53"/>
        <v>0</v>
      </c>
      <c r="AE74" s="101">
        <f t="shared" si="54"/>
        <v>0</v>
      </c>
      <c r="AF74" s="197">
        <f t="shared" si="36"/>
        <v>30.23253569518312</v>
      </c>
      <c r="AG74" s="197">
        <f t="shared" si="37"/>
        <v>0</v>
      </c>
      <c r="AH74" s="197">
        <f t="shared" si="38"/>
        <v>0</v>
      </c>
      <c r="AI74" s="202">
        <f t="shared" si="39"/>
        <v>30.23253569518312</v>
      </c>
      <c r="AK74" s="71">
        <v>69</v>
      </c>
      <c r="AL74" s="33">
        <f t="shared" si="55"/>
        <v>0</v>
      </c>
      <c r="AM74" s="33">
        <f t="shared" si="56"/>
        <v>0</v>
      </c>
      <c r="AN74" s="33">
        <f t="shared" si="57"/>
        <v>0</v>
      </c>
      <c r="AO74" s="33">
        <f t="shared" si="58"/>
        <v>0</v>
      </c>
      <c r="AP74" s="33">
        <f t="shared" si="59"/>
        <v>0</v>
      </c>
      <c r="AQ74" s="197">
        <f t="shared" si="60"/>
        <v>0</v>
      </c>
      <c r="AR74" s="197">
        <f t="shared" si="60"/>
        <v>0</v>
      </c>
      <c r="AS74" s="197">
        <f t="shared" si="60"/>
        <v>0</v>
      </c>
      <c r="AT74" s="197">
        <f t="shared" si="60"/>
        <v>0</v>
      </c>
      <c r="AU74" s="33"/>
      <c r="AV74" s="33"/>
      <c r="AW74" s="33"/>
      <c r="AX74" s="33"/>
      <c r="AY74" s="76"/>
    </row>
    <row r="75" spans="2:51">
      <c r="B75" s="40">
        <f t="shared" si="34"/>
        <v>141</v>
      </c>
      <c r="C75" s="155">
        <f t="shared" si="40"/>
        <v>145</v>
      </c>
      <c r="D75" s="140">
        <f>D76+13</f>
        <v>282</v>
      </c>
      <c r="E75" s="144">
        <f t="shared" si="32"/>
        <v>1.56</v>
      </c>
      <c r="F75" s="42">
        <f t="shared" si="44"/>
        <v>439.92</v>
      </c>
      <c r="G75" s="51">
        <f t="shared" si="45"/>
        <v>5.0700000000000074</v>
      </c>
      <c r="I75" s="55">
        <v>70</v>
      </c>
      <c r="J75" s="33">
        <f t="shared" si="63"/>
        <v>0</v>
      </c>
      <c r="K75" s="33">
        <f t="shared" si="64"/>
        <v>0</v>
      </c>
      <c r="L75" s="33">
        <f t="shared" si="65"/>
        <v>70</v>
      </c>
      <c r="M75" s="33">
        <f t="shared" si="66"/>
        <v>0</v>
      </c>
      <c r="N75" s="33">
        <f t="shared" si="46"/>
        <v>0</v>
      </c>
      <c r="O75" s="34">
        <f t="shared" si="47"/>
        <v>256.66666666666669</v>
      </c>
      <c r="P75" s="55">
        <v>70</v>
      </c>
      <c r="Q75" s="33">
        <f t="shared" si="61"/>
        <v>13.260000000000005</v>
      </c>
      <c r="R75" s="33">
        <f t="shared" si="67"/>
        <v>377.52000000000004</v>
      </c>
      <c r="S75" s="33">
        <f t="shared" si="68"/>
        <v>211.41120000000004</v>
      </c>
      <c r="T75" s="33">
        <f t="shared" si="48"/>
        <v>52.243848094411156</v>
      </c>
      <c r="U75" s="33">
        <f t="shared" si="62"/>
        <v>70</v>
      </c>
      <c r="V75" s="33">
        <f t="shared" si="49"/>
        <v>10</v>
      </c>
      <c r="W75" s="33">
        <v>0</v>
      </c>
      <c r="X75" s="33">
        <f t="shared" si="50"/>
        <v>752.53254209776617</v>
      </c>
      <c r="Y75" s="38">
        <f t="shared" si="51"/>
        <v>495.86587543109948</v>
      </c>
      <c r="AA75" s="71">
        <v>70</v>
      </c>
      <c r="AB75" s="33">
        <f t="shared" si="52"/>
        <v>0</v>
      </c>
      <c r="AC75" s="308">
        <f t="shared" si="41"/>
        <v>0</v>
      </c>
      <c r="AD75" s="101">
        <f t="shared" si="53"/>
        <v>0</v>
      </c>
      <c r="AE75" s="101">
        <f t="shared" si="54"/>
        <v>0</v>
      </c>
      <c r="AF75" s="197">
        <f t="shared" si="36"/>
        <v>29.639694110226554</v>
      </c>
      <c r="AG75" s="197">
        <f t="shared" si="37"/>
        <v>0</v>
      </c>
      <c r="AH75" s="197">
        <f t="shared" si="38"/>
        <v>0</v>
      </c>
      <c r="AI75" s="202">
        <f t="shared" si="39"/>
        <v>29.639694110226554</v>
      </c>
      <c r="AK75" s="71">
        <v>70</v>
      </c>
      <c r="AL75" s="33">
        <f t="shared" si="55"/>
        <v>0</v>
      </c>
      <c r="AM75" s="33">
        <f t="shared" si="56"/>
        <v>0</v>
      </c>
      <c r="AN75" s="33">
        <f t="shared" si="57"/>
        <v>0</v>
      </c>
      <c r="AO75" s="33">
        <f t="shared" si="58"/>
        <v>0</v>
      </c>
      <c r="AP75" s="33">
        <f t="shared" si="59"/>
        <v>0</v>
      </c>
      <c r="AQ75" s="197">
        <f t="shared" si="60"/>
        <v>0</v>
      </c>
      <c r="AR75" s="197">
        <f t="shared" si="60"/>
        <v>0</v>
      </c>
      <c r="AS75" s="197">
        <f t="shared" si="60"/>
        <v>0</v>
      </c>
      <c r="AT75" s="197">
        <f t="shared" si="60"/>
        <v>0</v>
      </c>
      <c r="AU75" s="33"/>
      <c r="AV75" s="33"/>
      <c r="AW75" s="33"/>
      <c r="AX75" s="33"/>
      <c r="AY75" s="76"/>
    </row>
    <row r="76" spans="2:51">
      <c r="B76" s="40">
        <f t="shared" si="34"/>
        <v>145</v>
      </c>
      <c r="C76" s="155">
        <f t="shared" si="40"/>
        <v>146</v>
      </c>
      <c r="D76" s="140">
        <v>269</v>
      </c>
      <c r="E76" s="144">
        <f t="shared" si="32"/>
        <v>1.56</v>
      </c>
      <c r="F76" s="42">
        <f t="shared" si="44"/>
        <v>419.64</v>
      </c>
      <c r="G76" s="51">
        <f t="shared" si="45"/>
        <v>-20.28000000000003</v>
      </c>
      <c r="I76" s="55">
        <v>71</v>
      </c>
      <c r="J76" s="33">
        <f t="shared" si="63"/>
        <v>0</v>
      </c>
      <c r="K76" s="33">
        <f t="shared" si="64"/>
        <v>0</v>
      </c>
      <c r="L76" s="33">
        <f t="shared" si="65"/>
        <v>70</v>
      </c>
      <c r="M76" s="33">
        <f t="shared" si="66"/>
        <v>0</v>
      </c>
      <c r="N76" s="33">
        <f t="shared" si="46"/>
        <v>0</v>
      </c>
      <c r="O76" s="34">
        <f t="shared" si="47"/>
        <v>256.66666666666669</v>
      </c>
      <c r="P76" s="55">
        <v>71</v>
      </c>
      <c r="Q76" s="33">
        <f t="shared" si="61"/>
        <v>-32.760000000000048</v>
      </c>
      <c r="R76" s="33">
        <f t="shared" si="67"/>
        <v>344.76</v>
      </c>
      <c r="S76" s="33">
        <f t="shared" si="68"/>
        <v>193.06560000000002</v>
      </c>
      <c r="T76" s="33">
        <f t="shared" si="48"/>
        <v>48.217080828790458</v>
      </c>
      <c r="U76" s="33">
        <f t="shared" si="62"/>
        <v>70</v>
      </c>
      <c r="V76" s="33">
        <f t="shared" si="49"/>
        <v>10</v>
      </c>
      <c r="W76" s="33">
        <v>0</v>
      </c>
      <c r="X76" s="33">
        <f t="shared" si="50"/>
        <v>713.56733577681007</v>
      </c>
      <c r="Y76" s="38">
        <f t="shared" si="51"/>
        <v>456.90066911014338</v>
      </c>
      <c r="AA76" s="71">
        <v>71</v>
      </c>
      <c r="AB76" s="33">
        <f t="shared" si="52"/>
        <v>21</v>
      </c>
      <c r="AC76" s="308">
        <f t="shared" si="41"/>
        <v>0.45</v>
      </c>
      <c r="AD76" s="101">
        <f t="shared" si="53"/>
        <v>0</v>
      </c>
      <c r="AE76" s="101">
        <f t="shared" si="54"/>
        <v>0</v>
      </c>
      <c r="AF76" s="197">
        <f t="shared" si="36"/>
        <v>38.184710614795186</v>
      </c>
      <c r="AG76" s="197">
        <f t="shared" si="37"/>
        <v>0</v>
      </c>
      <c r="AH76" s="197">
        <f t="shared" si="38"/>
        <v>0</v>
      </c>
      <c r="AI76" s="202">
        <f t="shared" si="39"/>
        <v>38.184710614795186</v>
      </c>
      <c r="AK76" s="71">
        <v>71</v>
      </c>
      <c r="AL76" s="33">
        <f t="shared" si="55"/>
        <v>21</v>
      </c>
      <c r="AM76" s="33">
        <f t="shared" si="56"/>
        <v>0.9</v>
      </c>
      <c r="AN76" s="33">
        <f t="shared" si="57"/>
        <v>0</v>
      </c>
      <c r="AO76" s="33">
        <f t="shared" si="58"/>
        <v>0</v>
      </c>
      <c r="AP76" s="33">
        <f t="shared" si="59"/>
        <v>9.9999999999999978E-2</v>
      </c>
      <c r="AQ76" s="197">
        <f t="shared" si="60"/>
        <v>18.900000000000002</v>
      </c>
      <c r="AR76" s="197">
        <f t="shared" si="60"/>
        <v>0</v>
      </c>
      <c r="AS76" s="197">
        <f t="shared" si="60"/>
        <v>0</v>
      </c>
      <c r="AT76" s="197">
        <f t="shared" si="60"/>
        <v>2.0999999999999996</v>
      </c>
      <c r="AU76" s="33"/>
      <c r="AV76" s="33"/>
      <c r="AW76" s="33"/>
      <c r="AX76" s="33"/>
      <c r="AY76" s="76"/>
    </row>
    <row r="77" spans="2:51">
      <c r="B77" s="40">
        <f t="shared" si="34"/>
        <v>146</v>
      </c>
      <c r="C77" s="155">
        <f t="shared" si="40"/>
        <v>150</v>
      </c>
      <c r="D77" s="140">
        <f>D78+12</f>
        <v>280</v>
      </c>
      <c r="E77" s="144">
        <f t="shared" si="32"/>
        <v>1.56</v>
      </c>
      <c r="F77" s="42">
        <f t="shared" si="44"/>
        <v>436.8</v>
      </c>
      <c r="G77" s="51">
        <f t="shared" si="45"/>
        <v>4.2900000000000063</v>
      </c>
      <c r="I77" s="55">
        <v>72</v>
      </c>
      <c r="J77" s="33">
        <f t="shared" si="63"/>
        <v>0</v>
      </c>
      <c r="K77" s="33">
        <f t="shared" si="64"/>
        <v>0</v>
      </c>
      <c r="L77" s="33">
        <f t="shared" si="65"/>
        <v>70</v>
      </c>
      <c r="M77" s="33">
        <f t="shared" si="66"/>
        <v>0</v>
      </c>
      <c r="N77" s="33">
        <f t="shared" si="46"/>
        <v>0</v>
      </c>
      <c r="O77" s="34">
        <f t="shared" si="47"/>
        <v>256.66666666666669</v>
      </c>
      <c r="P77" s="55">
        <v>72</v>
      </c>
      <c r="Q77" s="33">
        <f t="shared" si="61"/>
        <v>12.090000000000003</v>
      </c>
      <c r="R77" s="33">
        <f t="shared" si="67"/>
        <v>356.85</v>
      </c>
      <c r="S77" s="33">
        <f t="shared" si="68"/>
        <v>199.83600000000004</v>
      </c>
      <c r="T77" s="33">
        <f t="shared" si="48"/>
        <v>49.708123768564604</v>
      </c>
      <c r="U77" s="33">
        <f t="shared" si="62"/>
        <v>70</v>
      </c>
      <c r="V77" s="33">
        <f t="shared" si="49"/>
        <v>10</v>
      </c>
      <c r="W77" s="33">
        <v>0</v>
      </c>
      <c r="X77" s="33">
        <f t="shared" si="50"/>
        <v>727.95601556358349</v>
      </c>
      <c r="Y77" s="38">
        <f t="shared" si="51"/>
        <v>471.28934889691681</v>
      </c>
      <c r="AA77" s="71">
        <v>72</v>
      </c>
      <c r="AB77" s="33">
        <f t="shared" si="52"/>
        <v>0</v>
      </c>
      <c r="AC77" s="308">
        <f t="shared" si="41"/>
        <v>0</v>
      </c>
      <c r="AD77" s="101">
        <f t="shared" si="53"/>
        <v>0</v>
      </c>
      <c r="AE77" s="101">
        <f t="shared" si="54"/>
        <v>0</v>
      </c>
      <c r="AF77" s="197">
        <f t="shared" si="36"/>
        <v>37.435931730012797</v>
      </c>
      <c r="AG77" s="197">
        <f t="shared" si="37"/>
        <v>0</v>
      </c>
      <c r="AH77" s="197">
        <f t="shared" si="38"/>
        <v>0</v>
      </c>
      <c r="AI77" s="202">
        <f t="shared" si="39"/>
        <v>37.435931730012797</v>
      </c>
      <c r="AK77" s="71">
        <v>72</v>
      </c>
      <c r="AL77" s="33">
        <f t="shared" si="55"/>
        <v>0</v>
      </c>
      <c r="AM77" s="33">
        <f t="shared" si="56"/>
        <v>0</v>
      </c>
      <c r="AN77" s="33">
        <f t="shared" si="57"/>
        <v>0</v>
      </c>
      <c r="AO77" s="33">
        <f t="shared" si="58"/>
        <v>0</v>
      </c>
      <c r="AP77" s="33">
        <f t="shared" si="59"/>
        <v>0</v>
      </c>
      <c r="AQ77" s="197">
        <f t="shared" si="60"/>
        <v>0</v>
      </c>
      <c r="AR77" s="197">
        <f t="shared" si="60"/>
        <v>0</v>
      </c>
      <c r="AS77" s="197">
        <f t="shared" si="60"/>
        <v>0</v>
      </c>
      <c r="AT77" s="197">
        <f t="shared" si="60"/>
        <v>0</v>
      </c>
      <c r="AU77" s="33"/>
      <c r="AV77" s="33"/>
      <c r="AW77" s="33"/>
      <c r="AX77" s="33"/>
      <c r="AY77" s="76"/>
    </row>
    <row r="78" spans="2:51">
      <c r="B78" s="43">
        <f t="shared" si="34"/>
        <v>150</v>
      </c>
      <c r="C78" s="156">
        <f t="shared" si="40"/>
        <v>151</v>
      </c>
      <c r="D78" s="157">
        <v>268</v>
      </c>
      <c r="E78" s="147">
        <f t="shared" si="32"/>
        <v>1.56</v>
      </c>
      <c r="F78" s="44">
        <f t="shared" si="44"/>
        <v>418.08000000000004</v>
      </c>
      <c r="G78" s="52">
        <f t="shared" si="45"/>
        <v>-18.71999999999997</v>
      </c>
      <c r="I78" s="55">
        <v>73</v>
      </c>
      <c r="J78" s="33">
        <f t="shared" si="63"/>
        <v>0</v>
      </c>
      <c r="K78" s="33">
        <f t="shared" si="64"/>
        <v>0</v>
      </c>
      <c r="L78" s="33">
        <f t="shared" si="65"/>
        <v>70</v>
      </c>
      <c r="M78" s="33">
        <f t="shared" si="66"/>
        <v>0</v>
      </c>
      <c r="N78" s="33">
        <f t="shared" si="46"/>
        <v>0</v>
      </c>
      <c r="O78" s="34">
        <f t="shared" si="47"/>
        <v>256.66666666666669</v>
      </c>
      <c r="P78" s="55">
        <v>73</v>
      </c>
      <c r="Q78" s="33">
        <f t="shared" si="61"/>
        <v>12.090000000000003</v>
      </c>
      <c r="R78" s="33">
        <f t="shared" si="67"/>
        <v>368.94000000000005</v>
      </c>
      <c r="S78" s="33">
        <f t="shared" si="68"/>
        <v>206.60640000000004</v>
      </c>
      <c r="T78" s="33">
        <f t="shared" si="48"/>
        <v>51.193297014519018</v>
      </c>
      <c r="U78" s="33">
        <f t="shared" si="62"/>
        <v>70</v>
      </c>
      <c r="V78" s="33">
        <f t="shared" si="49"/>
        <v>10</v>
      </c>
      <c r="W78" s="33">
        <v>0</v>
      </c>
      <c r="X78" s="33">
        <f t="shared" si="50"/>
        <v>742.3344723002873</v>
      </c>
      <c r="Y78" s="38">
        <f t="shared" si="51"/>
        <v>485.66780563362062</v>
      </c>
      <c r="AA78" s="71">
        <v>73</v>
      </c>
      <c r="AB78" s="33">
        <f t="shared" si="52"/>
        <v>0</v>
      </c>
      <c r="AC78" s="308">
        <f t="shared" si="41"/>
        <v>0</v>
      </c>
      <c r="AD78" s="101">
        <f t="shared" si="53"/>
        <v>0</v>
      </c>
      <c r="AE78" s="101">
        <f t="shared" si="54"/>
        <v>0</v>
      </c>
      <c r="AF78" s="197">
        <f t="shared" si="36"/>
        <v>36.701835942450963</v>
      </c>
      <c r="AG78" s="197">
        <f t="shared" si="37"/>
        <v>0</v>
      </c>
      <c r="AH78" s="197">
        <f t="shared" si="38"/>
        <v>0</v>
      </c>
      <c r="AI78" s="202">
        <f t="shared" si="39"/>
        <v>36.701835942450963</v>
      </c>
      <c r="AK78" s="71">
        <v>73</v>
      </c>
      <c r="AL78" s="33">
        <f t="shared" si="55"/>
        <v>0</v>
      </c>
      <c r="AM78" s="33">
        <f t="shared" si="56"/>
        <v>0</v>
      </c>
      <c r="AN78" s="33">
        <f t="shared" si="57"/>
        <v>0</v>
      </c>
      <c r="AO78" s="33">
        <f t="shared" si="58"/>
        <v>0</v>
      </c>
      <c r="AP78" s="33">
        <f t="shared" si="59"/>
        <v>0</v>
      </c>
      <c r="AQ78" s="197">
        <f t="shared" si="60"/>
        <v>0</v>
      </c>
      <c r="AR78" s="197">
        <f t="shared" si="60"/>
        <v>0</v>
      </c>
      <c r="AS78" s="197">
        <f t="shared" si="60"/>
        <v>0</v>
      </c>
      <c r="AT78" s="197">
        <f t="shared" si="60"/>
        <v>0</v>
      </c>
      <c r="AU78" s="33"/>
      <c r="AV78" s="33"/>
      <c r="AW78" s="33"/>
      <c r="AX78" s="33"/>
      <c r="AY78" s="76"/>
    </row>
    <row r="79" spans="2:51">
      <c r="I79" s="55">
        <v>74</v>
      </c>
      <c r="J79" s="33">
        <f t="shared" si="63"/>
        <v>0</v>
      </c>
      <c r="K79" s="33">
        <f t="shared" si="64"/>
        <v>0</v>
      </c>
      <c r="L79" s="33">
        <f t="shared" si="65"/>
        <v>70</v>
      </c>
      <c r="M79" s="33">
        <f t="shared" si="66"/>
        <v>0</v>
      </c>
      <c r="N79" s="33">
        <f t="shared" si="46"/>
        <v>0</v>
      </c>
      <c r="O79" s="34">
        <f t="shared" si="47"/>
        <v>256.66666666666669</v>
      </c>
      <c r="P79" s="55">
        <v>74</v>
      </c>
      <c r="Q79" s="33">
        <f t="shared" si="61"/>
        <v>12.090000000000003</v>
      </c>
      <c r="R79" s="33">
        <f t="shared" si="67"/>
        <v>381.03000000000009</v>
      </c>
      <c r="S79" s="33">
        <f t="shared" si="68"/>
        <v>213.37680000000006</v>
      </c>
      <c r="T79" s="33">
        <f t="shared" si="48"/>
        <v>52.672814972032725</v>
      </c>
      <c r="U79" s="33">
        <f t="shared" si="62"/>
        <v>70</v>
      </c>
      <c r="V79" s="33">
        <f t="shared" si="49"/>
        <v>10</v>
      </c>
      <c r="W79" s="33">
        <v>0</v>
      </c>
      <c r="X79" s="33">
        <f t="shared" si="50"/>
        <v>756.70307940962368</v>
      </c>
      <c r="Y79" s="38">
        <f t="shared" si="51"/>
        <v>500.036412742957</v>
      </c>
      <c r="AA79" s="71">
        <v>74</v>
      </c>
      <c r="AB79" s="33">
        <f t="shared" si="52"/>
        <v>0</v>
      </c>
      <c r="AC79" s="308">
        <f t="shared" si="41"/>
        <v>0</v>
      </c>
      <c r="AD79" s="101">
        <f t="shared" si="53"/>
        <v>0</v>
      </c>
      <c r="AE79" s="101">
        <f t="shared" si="54"/>
        <v>0</v>
      </c>
      <c r="AF79" s="197">
        <f t="shared" si="36"/>
        <v>35.982135325529001</v>
      </c>
      <c r="AG79" s="197">
        <f t="shared" si="37"/>
        <v>0</v>
      </c>
      <c r="AH79" s="197">
        <f t="shared" si="38"/>
        <v>0</v>
      </c>
      <c r="AI79" s="202">
        <f t="shared" si="39"/>
        <v>35.982135325529001</v>
      </c>
      <c r="AK79" s="71">
        <v>74</v>
      </c>
      <c r="AL79" s="33">
        <f t="shared" si="55"/>
        <v>0</v>
      </c>
      <c r="AM79" s="33">
        <f t="shared" si="56"/>
        <v>0</v>
      </c>
      <c r="AN79" s="33">
        <f t="shared" si="57"/>
        <v>0</v>
      </c>
      <c r="AO79" s="33">
        <f t="shared" si="58"/>
        <v>0</v>
      </c>
      <c r="AP79" s="33">
        <f t="shared" si="59"/>
        <v>0</v>
      </c>
      <c r="AQ79" s="197">
        <f t="shared" si="60"/>
        <v>0</v>
      </c>
      <c r="AR79" s="197">
        <f t="shared" si="60"/>
        <v>0</v>
      </c>
      <c r="AS79" s="197">
        <f t="shared" si="60"/>
        <v>0</v>
      </c>
      <c r="AT79" s="197">
        <f t="shared" si="60"/>
        <v>0</v>
      </c>
      <c r="AU79" s="33"/>
      <c r="AV79" s="33"/>
      <c r="AW79" s="33"/>
      <c r="AX79" s="33"/>
      <c r="AY79" s="76"/>
    </row>
    <row r="80" spans="2:51">
      <c r="B80" s="358" t="s">
        <v>259</v>
      </c>
      <c r="C80" s="359"/>
      <c r="D80" s="359"/>
      <c r="E80" s="359"/>
      <c r="F80" s="359"/>
      <c r="G80" s="360"/>
      <c r="H80" s="23"/>
      <c r="I80" s="55">
        <v>75</v>
      </c>
      <c r="J80" s="33">
        <f t="shared" si="63"/>
        <v>0</v>
      </c>
      <c r="K80" s="33">
        <f t="shared" si="64"/>
        <v>0</v>
      </c>
      <c r="L80" s="33">
        <f t="shared" si="65"/>
        <v>70</v>
      </c>
      <c r="M80" s="33">
        <f t="shared" si="66"/>
        <v>0</v>
      </c>
      <c r="N80" s="33">
        <f t="shared" si="46"/>
        <v>0</v>
      </c>
      <c r="O80" s="34">
        <f t="shared" si="47"/>
        <v>256.66666666666669</v>
      </c>
      <c r="P80" s="55">
        <v>75</v>
      </c>
      <c r="Q80" s="33">
        <f t="shared" si="61"/>
        <v>12.090000000000003</v>
      </c>
      <c r="R80" s="33">
        <f t="shared" si="67"/>
        <v>393.12000000000012</v>
      </c>
      <c r="S80" s="33">
        <f t="shared" si="68"/>
        <v>220.14720000000008</v>
      </c>
      <c r="T80" s="33">
        <f t="shared" si="48"/>
        <v>54.146877667769687</v>
      </c>
      <c r="U80" s="33">
        <f t="shared" si="62"/>
        <v>70</v>
      </c>
      <c r="V80" s="33">
        <f t="shared" si="49"/>
        <v>10</v>
      </c>
      <c r="W80" s="33">
        <v>0</v>
      </c>
      <c r="X80" s="33">
        <f t="shared" si="50"/>
        <v>771.06218527136571</v>
      </c>
      <c r="Y80" s="38">
        <f t="shared" si="51"/>
        <v>514.39551860469896</v>
      </c>
      <c r="AA80" s="71">
        <v>75</v>
      </c>
      <c r="AB80" s="33">
        <f t="shared" si="52"/>
        <v>0</v>
      </c>
      <c r="AC80" s="308">
        <f t="shared" si="41"/>
        <v>0</v>
      </c>
      <c r="AD80" s="101">
        <f t="shared" si="53"/>
        <v>0</v>
      </c>
      <c r="AE80" s="101">
        <f t="shared" si="54"/>
        <v>0</v>
      </c>
      <c r="AF80" s="197">
        <f t="shared" si="36"/>
        <v>35.276547598730843</v>
      </c>
      <c r="AG80" s="197">
        <f t="shared" si="37"/>
        <v>0</v>
      </c>
      <c r="AH80" s="197">
        <f t="shared" si="38"/>
        <v>0</v>
      </c>
      <c r="AI80" s="202">
        <f t="shared" si="39"/>
        <v>35.276547598730843</v>
      </c>
      <c r="AK80" s="71">
        <v>75</v>
      </c>
      <c r="AL80" s="33">
        <f t="shared" si="55"/>
        <v>0</v>
      </c>
      <c r="AM80" s="33">
        <f t="shared" si="56"/>
        <v>0</v>
      </c>
      <c r="AN80" s="33">
        <f t="shared" si="57"/>
        <v>0</v>
      </c>
      <c r="AO80" s="33">
        <f t="shared" si="58"/>
        <v>0</v>
      </c>
      <c r="AP80" s="33">
        <f t="shared" si="59"/>
        <v>0</v>
      </c>
      <c r="AQ80" s="197">
        <f t="shared" si="60"/>
        <v>0</v>
      </c>
      <c r="AR80" s="197">
        <f t="shared" si="60"/>
        <v>0</v>
      </c>
      <c r="AS80" s="197">
        <f t="shared" si="60"/>
        <v>0</v>
      </c>
      <c r="AT80" s="197">
        <f t="shared" si="60"/>
        <v>0</v>
      </c>
      <c r="AU80" s="33"/>
      <c r="AV80" s="33"/>
      <c r="AW80" s="33"/>
      <c r="AX80" s="33"/>
      <c r="AY80" s="76"/>
    </row>
    <row r="81" spans="2:51">
      <c r="B81" s="159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7"/>
      <c r="I81" s="55">
        <v>76</v>
      </c>
      <c r="J81" s="33">
        <f t="shared" si="63"/>
        <v>0</v>
      </c>
      <c r="K81" s="33">
        <f t="shared" si="64"/>
        <v>0</v>
      </c>
      <c r="L81" s="33">
        <f t="shared" si="65"/>
        <v>70</v>
      </c>
      <c r="M81" s="33">
        <f t="shared" si="66"/>
        <v>0</v>
      </c>
      <c r="N81" s="33">
        <f t="shared" si="46"/>
        <v>0</v>
      </c>
      <c r="O81" s="34">
        <f t="shared" si="47"/>
        <v>256.66666666666669</v>
      </c>
      <c r="P81" s="55">
        <v>76</v>
      </c>
      <c r="Q81" s="33">
        <f t="shared" si="61"/>
        <v>-32.759999999999991</v>
      </c>
      <c r="R81" s="33">
        <f t="shared" si="67"/>
        <v>360.36000000000013</v>
      </c>
      <c r="S81" s="33">
        <f t="shared" si="68"/>
        <v>201.80160000000009</v>
      </c>
      <c r="T81" s="33">
        <f t="shared" si="48"/>
        <v>50.139897992681668</v>
      </c>
      <c r="U81" s="33">
        <f t="shared" si="62"/>
        <v>70</v>
      </c>
      <c r="V81" s="33">
        <f t="shared" si="49"/>
        <v>10</v>
      </c>
      <c r="W81" s="33">
        <v>0</v>
      </c>
      <c r="X81" s="33">
        <f t="shared" si="50"/>
        <v>732.13144233725416</v>
      </c>
      <c r="Y81" s="38">
        <f t="shared" si="51"/>
        <v>475.46477567058747</v>
      </c>
      <c r="AA81" s="71">
        <v>76</v>
      </c>
      <c r="AB81" s="33">
        <f t="shared" si="52"/>
        <v>21</v>
      </c>
      <c r="AC81" s="308">
        <f t="shared" si="41"/>
        <v>0.47499999999999998</v>
      </c>
      <c r="AD81" s="101">
        <f t="shared" si="53"/>
        <v>0</v>
      </c>
      <c r="AE81" s="101">
        <f t="shared" si="54"/>
        <v>0</v>
      </c>
      <c r="AF81" s="197">
        <f t="shared" si="36"/>
        <v>44.218041779400032</v>
      </c>
      <c r="AG81" s="197">
        <f t="shared" si="37"/>
        <v>0</v>
      </c>
      <c r="AH81" s="197">
        <f t="shared" si="38"/>
        <v>0</v>
      </c>
      <c r="AI81" s="202">
        <f t="shared" si="39"/>
        <v>44.218041779400032</v>
      </c>
      <c r="AK81" s="71">
        <v>76</v>
      </c>
      <c r="AL81" s="33">
        <f t="shared" si="55"/>
        <v>21</v>
      </c>
      <c r="AM81" s="33">
        <f t="shared" si="56"/>
        <v>0.95</v>
      </c>
      <c r="AN81" s="33">
        <f t="shared" si="57"/>
        <v>0</v>
      </c>
      <c r="AO81" s="33">
        <f t="shared" si="58"/>
        <v>0</v>
      </c>
      <c r="AP81" s="33">
        <f t="shared" si="59"/>
        <v>5.0000000000000044E-2</v>
      </c>
      <c r="AQ81" s="197">
        <f t="shared" si="60"/>
        <v>19.95</v>
      </c>
      <c r="AR81" s="197">
        <f t="shared" si="60"/>
        <v>0</v>
      </c>
      <c r="AS81" s="197">
        <f t="shared" si="60"/>
        <v>0</v>
      </c>
      <c r="AT81" s="197">
        <f t="shared" si="60"/>
        <v>1.0500000000000009</v>
      </c>
      <c r="AU81" s="33"/>
      <c r="AV81" s="33"/>
      <c r="AW81" s="33"/>
      <c r="AX81" s="33"/>
      <c r="AY81" s="76"/>
    </row>
    <row r="82" spans="2:51">
      <c r="B82" s="173">
        <f>IF(C25&lt;=$F$18,C25+1,"-")</f>
        <v>21</v>
      </c>
      <c r="C82" s="148">
        <f>D25-D26</f>
        <v>0</v>
      </c>
      <c r="D82" s="149">
        <v>0</v>
      </c>
      <c r="E82" s="174">
        <f>IF(G82+D82&lt;&gt;1,(1-(G82+D82))*56%,0)</f>
        <v>0</v>
      </c>
      <c r="F82" s="174">
        <f>IF(G82+D82&lt;&gt;1,(1-(G82+D82))*44%,0)</f>
        <v>0</v>
      </c>
      <c r="G82" s="150">
        <f>1-D82</f>
        <v>1</v>
      </c>
      <c r="H82" s="58">
        <f t="shared" ref="H82:H94" si="69">IF(C82=0,0,IF(SUM(D82:G82)&lt;&gt;1,"erreur",))</f>
        <v>0</v>
      </c>
      <c r="I82" s="55">
        <v>77</v>
      </c>
      <c r="J82" s="33">
        <f t="shared" si="63"/>
        <v>0</v>
      </c>
      <c r="K82" s="33">
        <f t="shared" si="64"/>
        <v>0</v>
      </c>
      <c r="L82" s="33">
        <f t="shared" si="65"/>
        <v>70</v>
      </c>
      <c r="M82" s="33">
        <f t="shared" si="66"/>
        <v>0</v>
      </c>
      <c r="N82" s="33">
        <f t="shared" si="46"/>
        <v>0</v>
      </c>
      <c r="O82" s="34">
        <f t="shared" si="47"/>
        <v>256.66666666666669</v>
      </c>
      <c r="P82" s="55">
        <v>77</v>
      </c>
      <c r="Q82" s="33">
        <f t="shared" si="61"/>
        <v>11.700000000000003</v>
      </c>
      <c r="R82" s="33">
        <f t="shared" si="67"/>
        <v>372.06000000000012</v>
      </c>
      <c r="S82" s="33">
        <f t="shared" si="68"/>
        <v>208.35360000000009</v>
      </c>
      <c r="T82" s="33">
        <f t="shared" si="48"/>
        <v>51.575641231317853</v>
      </c>
      <c r="U82" s="33">
        <f t="shared" si="62"/>
        <v>70</v>
      </c>
      <c r="V82" s="33">
        <f t="shared" si="49"/>
        <v>10</v>
      </c>
      <c r="W82" s="33">
        <v>0</v>
      </c>
      <c r="X82" s="33">
        <f t="shared" si="50"/>
        <v>746.04342847787859</v>
      </c>
      <c r="Y82" s="38">
        <f t="shared" si="51"/>
        <v>489.37676181121191</v>
      </c>
      <c r="AA82" s="71">
        <v>77</v>
      </c>
      <c r="AB82" s="33">
        <f t="shared" si="52"/>
        <v>0</v>
      </c>
      <c r="AC82" s="308">
        <f t="shared" si="41"/>
        <v>0</v>
      </c>
      <c r="AD82" s="101">
        <f t="shared" si="53"/>
        <v>0</v>
      </c>
      <c r="AE82" s="101">
        <f t="shared" si="54"/>
        <v>0</v>
      </c>
      <c r="AF82" s="197">
        <f t="shared" si="36"/>
        <v>43.350952950448381</v>
      </c>
      <c r="AG82" s="197">
        <f t="shared" si="37"/>
        <v>0</v>
      </c>
      <c r="AH82" s="197">
        <f t="shared" si="38"/>
        <v>0</v>
      </c>
      <c r="AI82" s="202">
        <f t="shared" si="39"/>
        <v>43.350952950448381</v>
      </c>
      <c r="AK82" s="71">
        <v>77</v>
      </c>
      <c r="AL82" s="33">
        <f t="shared" si="55"/>
        <v>0</v>
      </c>
      <c r="AM82" s="33">
        <f t="shared" si="56"/>
        <v>0</v>
      </c>
      <c r="AN82" s="33">
        <f t="shared" si="57"/>
        <v>0</v>
      </c>
      <c r="AO82" s="33">
        <f t="shared" si="58"/>
        <v>0</v>
      </c>
      <c r="AP82" s="33">
        <f t="shared" si="59"/>
        <v>0</v>
      </c>
      <c r="AQ82" s="197">
        <f t="shared" si="60"/>
        <v>0</v>
      </c>
      <c r="AR82" s="197">
        <f t="shared" si="60"/>
        <v>0</v>
      </c>
      <c r="AS82" s="197">
        <f t="shared" si="60"/>
        <v>0</v>
      </c>
      <c r="AT82" s="197">
        <f t="shared" si="60"/>
        <v>0</v>
      </c>
      <c r="AU82" s="33"/>
      <c r="AV82" s="33"/>
      <c r="AW82" s="33"/>
      <c r="AX82" s="33"/>
      <c r="AY82" s="76"/>
    </row>
    <row r="83" spans="2:51">
      <c r="B83" s="175">
        <f>IF(C27&lt;=$F$18,C27+1,"-")</f>
        <v>26</v>
      </c>
      <c r="C83" s="151">
        <f>D27-D28</f>
        <v>8</v>
      </c>
      <c r="D83" s="152">
        <v>0</v>
      </c>
      <c r="E83" s="130">
        <f t="shared" ref="E83:E94" si="70">IF(G83+D83&lt;&gt;1,(1-(G83+D83))*56%,0)</f>
        <v>0</v>
      </c>
      <c r="F83" s="130">
        <f t="shared" ref="F83:F94" si="71">IF(G83+D83&lt;&gt;1,(1-(G83+D83))*44%,0)</f>
        <v>0</v>
      </c>
      <c r="G83" s="153">
        <f t="shared" ref="G83:G94" si="72">1-D83</f>
        <v>1</v>
      </c>
      <c r="H83" s="58">
        <f t="shared" si="69"/>
        <v>0</v>
      </c>
      <c r="I83" s="55">
        <v>78</v>
      </c>
      <c r="J83" s="33">
        <f t="shared" si="63"/>
        <v>0</v>
      </c>
      <c r="K83" s="33">
        <f t="shared" si="64"/>
        <v>0</v>
      </c>
      <c r="L83" s="33">
        <f t="shared" si="65"/>
        <v>70</v>
      </c>
      <c r="M83" s="33">
        <f t="shared" si="66"/>
        <v>0</v>
      </c>
      <c r="N83" s="33">
        <f t="shared" si="46"/>
        <v>0</v>
      </c>
      <c r="O83" s="34">
        <f t="shared" si="47"/>
        <v>256.66666666666669</v>
      </c>
      <c r="P83" s="55">
        <v>78</v>
      </c>
      <c r="Q83" s="33">
        <f t="shared" si="61"/>
        <v>11.700000000000003</v>
      </c>
      <c r="R83" s="33">
        <f t="shared" si="67"/>
        <v>383.7600000000001</v>
      </c>
      <c r="S83" s="33">
        <f t="shared" si="68"/>
        <v>214.90560000000008</v>
      </c>
      <c r="T83" s="33">
        <f t="shared" si="48"/>
        <v>53.006137800892326</v>
      </c>
      <c r="U83" s="33">
        <f t="shared" si="62"/>
        <v>70</v>
      </c>
      <c r="V83" s="33">
        <f t="shared" si="49"/>
        <v>10</v>
      </c>
      <c r="W83" s="33">
        <v>0</v>
      </c>
      <c r="X83" s="33">
        <f t="shared" si="50"/>
        <v>759.94627666988754</v>
      </c>
      <c r="Y83" s="38">
        <f t="shared" si="51"/>
        <v>503.27961000322085</v>
      </c>
      <c r="AA83" s="71">
        <v>78</v>
      </c>
      <c r="AB83" s="33">
        <f t="shared" si="52"/>
        <v>0</v>
      </c>
      <c r="AC83" s="308">
        <f t="shared" si="41"/>
        <v>0</v>
      </c>
      <c r="AD83" s="101">
        <f t="shared" si="53"/>
        <v>0</v>
      </c>
      <c r="AE83" s="101">
        <f t="shared" si="54"/>
        <v>0</v>
      </c>
      <c r="AF83" s="197">
        <f t="shared" si="36"/>
        <v>42.500867204560507</v>
      </c>
      <c r="AG83" s="197">
        <f t="shared" si="37"/>
        <v>0</v>
      </c>
      <c r="AH83" s="197">
        <f t="shared" si="38"/>
        <v>0</v>
      </c>
      <c r="AI83" s="202">
        <f t="shared" si="39"/>
        <v>42.500867204560507</v>
      </c>
      <c r="AK83" s="71">
        <v>78</v>
      </c>
      <c r="AL83" s="33">
        <f t="shared" si="55"/>
        <v>0</v>
      </c>
      <c r="AM83" s="33">
        <f t="shared" si="56"/>
        <v>0</v>
      </c>
      <c r="AN83" s="33">
        <f t="shared" si="57"/>
        <v>0</v>
      </c>
      <c r="AO83" s="33">
        <f t="shared" si="58"/>
        <v>0</v>
      </c>
      <c r="AP83" s="33">
        <f t="shared" si="59"/>
        <v>0</v>
      </c>
      <c r="AQ83" s="197">
        <f t="shared" si="60"/>
        <v>0</v>
      </c>
      <c r="AR83" s="197">
        <f t="shared" si="60"/>
        <v>0</v>
      </c>
      <c r="AS83" s="197">
        <f t="shared" si="60"/>
        <v>0</v>
      </c>
      <c r="AT83" s="197">
        <f t="shared" si="60"/>
        <v>0</v>
      </c>
      <c r="AU83" s="33"/>
      <c r="AV83" s="33"/>
      <c r="AW83" s="33"/>
      <c r="AX83" s="33"/>
      <c r="AY83" s="76"/>
    </row>
    <row r="84" spans="2:51">
      <c r="B84" s="190">
        <f>IF(C29&lt;=$F$18,C29+1,"-")</f>
        <v>31</v>
      </c>
      <c r="C84" s="151">
        <f>D29-D30</f>
        <v>21</v>
      </c>
      <c r="D84" s="152">
        <v>0</v>
      </c>
      <c r="E84" s="130">
        <f t="shared" si="70"/>
        <v>0</v>
      </c>
      <c r="F84" s="130">
        <f t="shared" si="71"/>
        <v>0</v>
      </c>
      <c r="G84" s="153">
        <f t="shared" si="72"/>
        <v>1</v>
      </c>
      <c r="H84" s="58">
        <f t="shared" si="69"/>
        <v>0</v>
      </c>
      <c r="I84" s="55">
        <v>79</v>
      </c>
      <c r="J84" s="33">
        <f t="shared" si="63"/>
        <v>0</v>
      </c>
      <c r="K84" s="33">
        <f t="shared" si="64"/>
        <v>0</v>
      </c>
      <c r="L84" s="33">
        <f t="shared" si="65"/>
        <v>70</v>
      </c>
      <c r="M84" s="33">
        <f t="shared" si="66"/>
        <v>0</v>
      </c>
      <c r="N84" s="33">
        <f t="shared" si="46"/>
        <v>0</v>
      </c>
      <c r="O84" s="34">
        <f t="shared" si="47"/>
        <v>256.66666666666669</v>
      </c>
      <c r="P84" s="55">
        <v>79</v>
      </c>
      <c r="Q84" s="33">
        <f t="shared" si="61"/>
        <v>11.700000000000003</v>
      </c>
      <c r="R84" s="33">
        <f t="shared" si="67"/>
        <v>395.46000000000009</v>
      </c>
      <c r="S84" s="33">
        <f t="shared" si="68"/>
        <v>221.45760000000007</v>
      </c>
      <c r="T84" s="33">
        <f t="shared" si="48"/>
        <v>54.431566019643263</v>
      </c>
      <c r="U84" s="33">
        <f t="shared" si="62"/>
        <v>70</v>
      </c>
      <c r="V84" s="33">
        <f t="shared" si="49"/>
        <v>10</v>
      </c>
      <c r="W84" s="33">
        <v>0</v>
      </c>
      <c r="X84" s="33">
        <f t="shared" si="50"/>
        <v>773.8402974842121</v>
      </c>
      <c r="Y84" s="38">
        <f t="shared" si="51"/>
        <v>517.17363081754547</v>
      </c>
      <c r="AA84" s="71">
        <v>79</v>
      </c>
      <c r="AB84" s="33">
        <f t="shared" si="52"/>
        <v>0</v>
      </c>
      <c r="AC84" s="308">
        <f t="shared" si="41"/>
        <v>0</v>
      </c>
      <c r="AD84" s="101">
        <f t="shared" si="53"/>
        <v>0</v>
      </c>
      <c r="AE84" s="101">
        <f t="shared" si="54"/>
        <v>0</v>
      </c>
      <c r="AF84" s="197">
        <f t="shared" si="36"/>
        <v>41.667451121648391</v>
      </c>
      <c r="AG84" s="197">
        <f t="shared" si="37"/>
        <v>0</v>
      </c>
      <c r="AH84" s="197">
        <f t="shared" si="38"/>
        <v>0</v>
      </c>
      <c r="AI84" s="202">
        <f t="shared" si="39"/>
        <v>41.667451121648391</v>
      </c>
      <c r="AK84" s="71">
        <v>79</v>
      </c>
      <c r="AL84" s="33">
        <f t="shared" si="55"/>
        <v>0</v>
      </c>
      <c r="AM84" s="33">
        <f t="shared" si="56"/>
        <v>0</v>
      </c>
      <c r="AN84" s="33">
        <f t="shared" si="57"/>
        <v>0</v>
      </c>
      <c r="AO84" s="33">
        <f t="shared" si="58"/>
        <v>0</v>
      </c>
      <c r="AP84" s="33">
        <f t="shared" si="59"/>
        <v>0</v>
      </c>
      <c r="AQ84" s="197">
        <f t="shared" si="60"/>
        <v>0</v>
      </c>
      <c r="AR84" s="197">
        <f t="shared" si="60"/>
        <v>0</v>
      </c>
      <c r="AS84" s="197">
        <f t="shared" si="60"/>
        <v>0</v>
      </c>
      <c r="AT84" s="197">
        <f t="shared" si="60"/>
        <v>0</v>
      </c>
      <c r="AU84" s="33"/>
      <c r="AV84" s="33"/>
      <c r="AW84" s="33"/>
      <c r="AX84" s="33"/>
      <c r="AY84" s="76"/>
    </row>
    <row r="85" spans="2:51">
      <c r="B85" s="175">
        <f>IF(C31&lt;=$F$18,C31+1,"-")</f>
        <v>36</v>
      </c>
      <c r="C85" s="151">
        <f>D31-D32</f>
        <v>21</v>
      </c>
      <c r="D85" s="152">
        <v>0</v>
      </c>
      <c r="E85" s="130">
        <f t="shared" si="70"/>
        <v>0</v>
      </c>
      <c r="F85" s="130">
        <f t="shared" si="71"/>
        <v>0</v>
      </c>
      <c r="G85" s="153">
        <f t="shared" si="72"/>
        <v>1</v>
      </c>
      <c r="H85" s="58">
        <f t="shared" si="69"/>
        <v>0</v>
      </c>
      <c r="I85" s="55">
        <v>80</v>
      </c>
      <c r="J85" s="33">
        <f t="shared" si="63"/>
        <v>0</v>
      </c>
      <c r="K85" s="33">
        <f t="shared" si="64"/>
        <v>0</v>
      </c>
      <c r="L85" s="33">
        <f t="shared" si="65"/>
        <v>70</v>
      </c>
      <c r="M85" s="33">
        <f t="shared" si="66"/>
        <v>0</v>
      </c>
      <c r="N85" s="33">
        <f t="shared" si="46"/>
        <v>0</v>
      </c>
      <c r="O85" s="34">
        <f t="shared" si="47"/>
        <v>256.66666666666669</v>
      </c>
      <c r="P85" s="55">
        <v>80</v>
      </c>
      <c r="Q85" s="33">
        <f t="shared" si="61"/>
        <v>11.700000000000003</v>
      </c>
      <c r="R85" s="33">
        <f t="shared" si="67"/>
        <v>407.16000000000008</v>
      </c>
      <c r="S85" s="33">
        <f t="shared" si="68"/>
        <v>228.00960000000006</v>
      </c>
      <c r="T85" s="33">
        <f t="shared" si="48"/>
        <v>55.852093054619829</v>
      </c>
      <c r="U85" s="33">
        <f t="shared" si="62"/>
        <v>70</v>
      </c>
      <c r="V85" s="33">
        <f t="shared" si="49"/>
        <v>10</v>
      </c>
      <c r="W85" s="33">
        <v>0</v>
      </c>
      <c r="X85" s="33">
        <f t="shared" si="50"/>
        <v>787.72578207012964</v>
      </c>
      <c r="Y85" s="38">
        <f t="shared" si="51"/>
        <v>531.05911540346301</v>
      </c>
      <c r="AA85" s="71">
        <v>80</v>
      </c>
      <c r="AB85" s="33">
        <f t="shared" si="52"/>
        <v>0</v>
      </c>
      <c r="AC85" s="308">
        <f t="shared" si="41"/>
        <v>0</v>
      </c>
      <c r="AD85" s="101">
        <f t="shared" si="53"/>
        <v>0</v>
      </c>
      <c r="AE85" s="101">
        <f t="shared" si="54"/>
        <v>0</v>
      </c>
      <c r="AF85" s="197">
        <f t="shared" si="36"/>
        <v>40.850377819788562</v>
      </c>
      <c r="AG85" s="197">
        <f t="shared" si="37"/>
        <v>0</v>
      </c>
      <c r="AH85" s="197">
        <f t="shared" si="38"/>
        <v>0</v>
      </c>
      <c r="AI85" s="202">
        <f t="shared" si="39"/>
        <v>40.850377819788562</v>
      </c>
      <c r="AK85" s="71">
        <v>80</v>
      </c>
      <c r="AL85" s="33">
        <f t="shared" si="55"/>
        <v>0</v>
      </c>
      <c r="AM85" s="33">
        <f t="shared" si="56"/>
        <v>0</v>
      </c>
      <c r="AN85" s="33">
        <f t="shared" si="57"/>
        <v>0</v>
      </c>
      <c r="AO85" s="33">
        <f t="shared" si="58"/>
        <v>0</v>
      </c>
      <c r="AP85" s="33">
        <f t="shared" si="59"/>
        <v>0</v>
      </c>
      <c r="AQ85" s="197">
        <f t="shared" si="60"/>
        <v>0</v>
      </c>
      <c r="AR85" s="197">
        <f t="shared" si="60"/>
        <v>0</v>
      </c>
      <c r="AS85" s="197">
        <f t="shared" si="60"/>
        <v>0</v>
      </c>
      <c r="AT85" s="197">
        <f t="shared" si="60"/>
        <v>0</v>
      </c>
      <c r="AU85" s="33"/>
      <c r="AV85" s="33"/>
      <c r="AW85" s="33"/>
      <c r="AX85" s="33"/>
      <c r="AY85" s="76"/>
    </row>
    <row r="86" spans="2:51">
      <c r="B86" s="175">
        <f>IF(C33&lt;=$F$18,C33+1,"-")</f>
        <v>41</v>
      </c>
      <c r="C86" s="151">
        <f>D33-D34</f>
        <v>21</v>
      </c>
      <c r="D86" s="152">
        <v>0.3</v>
      </c>
      <c r="E86" s="130">
        <f t="shared" si="70"/>
        <v>0</v>
      </c>
      <c r="F86" s="130">
        <f t="shared" si="71"/>
        <v>0</v>
      </c>
      <c r="G86" s="153">
        <f t="shared" si="72"/>
        <v>0.7</v>
      </c>
      <c r="H86" s="58">
        <f t="shared" si="69"/>
        <v>0</v>
      </c>
      <c r="I86" s="55">
        <v>81</v>
      </c>
      <c r="J86" s="33">
        <f t="shared" si="63"/>
        <v>0</v>
      </c>
      <c r="K86" s="33">
        <f t="shared" si="64"/>
        <v>0</v>
      </c>
      <c r="L86" s="33">
        <f t="shared" si="65"/>
        <v>70</v>
      </c>
      <c r="M86" s="33">
        <f t="shared" si="66"/>
        <v>0</v>
      </c>
      <c r="N86" s="33">
        <f t="shared" si="46"/>
        <v>0</v>
      </c>
      <c r="O86" s="34">
        <f t="shared" si="47"/>
        <v>256.66666666666669</v>
      </c>
      <c r="P86" s="55">
        <v>81</v>
      </c>
      <c r="Q86" s="33">
        <f t="shared" si="61"/>
        <v>-32.759999999999991</v>
      </c>
      <c r="R86" s="33">
        <f t="shared" si="67"/>
        <v>374.40000000000009</v>
      </c>
      <c r="S86" s="33">
        <f t="shared" si="68"/>
        <v>209.66400000000007</v>
      </c>
      <c r="T86" s="33">
        <f t="shared" si="48"/>
        <v>51.862154403304537</v>
      </c>
      <c r="U86" s="33">
        <f t="shared" si="62"/>
        <v>70</v>
      </c>
      <c r="V86" s="33">
        <f t="shared" si="49"/>
        <v>10</v>
      </c>
      <c r="W86" s="33">
        <v>0</v>
      </c>
      <c r="X86" s="33">
        <f t="shared" si="50"/>
        <v>748.82471891908881</v>
      </c>
      <c r="Y86" s="38">
        <f t="shared" si="51"/>
        <v>492.15805225242212</v>
      </c>
      <c r="AA86" s="71">
        <v>81</v>
      </c>
      <c r="AB86" s="33">
        <f t="shared" si="52"/>
        <v>0</v>
      </c>
      <c r="AC86" s="308">
        <f t="shared" si="41"/>
        <v>0</v>
      </c>
      <c r="AD86" s="101">
        <f t="shared" si="53"/>
        <v>0</v>
      </c>
      <c r="AE86" s="101">
        <f t="shared" si="54"/>
        <v>0</v>
      </c>
      <c r="AF86" s="197">
        <f t="shared" si="36"/>
        <v>40.049326827012699</v>
      </c>
      <c r="AG86" s="197">
        <f t="shared" si="37"/>
        <v>0</v>
      </c>
      <c r="AH86" s="197">
        <f t="shared" si="38"/>
        <v>0</v>
      </c>
      <c r="AI86" s="202">
        <f t="shared" si="39"/>
        <v>40.049326827012699</v>
      </c>
      <c r="AK86" s="71">
        <v>81</v>
      </c>
      <c r="AL86" s="33">
        <f t="shared" si="55"/>
        <v>0</v>
      </c>
      <c r="AM86" s="33">
        <f t="shared" si="56"/>
        <v>0</v>
      </c>
      <c r="AN86" s="33">
        <f t="shared" si="57"/>
        <v>0</v>
      </c>
      <c r="AO86" s="33">
        <f t="shared" si="58"/>
        <v>0</v>
      </c>
      <c r="AP86" s="33">
        <f t="shared" si="59"/>
        <v>0</v>
      </c>
      <c r="AQ86" s="197">
        <f t="shared" si="60"/>
        <v>0</v>
      </c>
      <c r="AR86" s="197">
        <f t="shared" si="60"/>
        <v>0</v>
      </c>
      <c r="AS86" s="197">
        <f t="shared" si="60"/>
        <v>0</v>
      </c>
      <c r="AT86" s="197">
        <f t="shared" si="60"/>
        <v>0</v>
      </c>
      <c r="AU86" s="33"/>
      <c r="AV86" s="33"/>
      <c r="AW86" s="33"/>
      <c r="AX86" s="33"/>
      <c r="AY86" s="76"/>
    </row>
    <row r="87" spans="2:51">
      <c r="B87" s="175">
        <f>IF(C35&lt;=$F$18,C35+1,"-")</f>
        <v>46</v>
      </c>
      <c r="C87" s="151">
        <f>D35-D36</f>
        <v>21</v>
      </c>
      <c r="D87" s="152">
        <v>0.5</v>
      </c>
      <c r="E87" s="130">
        <f t="shared" si="70"/>
        <v>0</v>
      </c>
      <c r="F87" s="130">
        <f t="shared" si="71"/>
        <v>0</v>
      </c>
      <c r="G87" s="153">
        <f t="shared" si="72"/>
        <v>0.5</v>
      </c>
      <c r="H87" s="58">
        <f t="shared" si="69"/>
        <v>0</v>
      </c>
      <c r="I87" s="55">
        <v>82</v>
      </c>
      <c r="J87" s="33">
        <f t="shared" si="63"/>
        <v>0</v>
      </c>
      <c r="K87" s="33">
        <f t="shared" si="64"/>
        <v>0</v>
      </c>
      <c r="L87" s="33">
        <f t="shared" si="65"/>
        <v>70</v>
      </c>
      <c r="M87" s="33">
        <f t="shared" si="66"/>
        <v>0</v>
      </c>
      <c r="N87" s="33">
        <f t="shared" si="46"/>
        <v>0</v>
      </c>
      <c r="O87" s="34">
        <f t="shared" si="47"/>
        <v>256.66666666666669</v>
      </c>
      <c r="P87" s="55">
        <v>82</v>
      </c>
      <c r="Q87" s="33">
        <f t="shared" si="61"/>
        <v>11.309999999999988</v>
      </c>
      <c r="R87" s="33">
        <f t="shared" si="67"/>
        <v>385.71000000000009</v>
      </c>
      <c r="S87" s="33">
        <f t="shared" si="68"/>
        <v>215.99760000000006</v>
      </c>
      <c r="T87" s="33">
        <f t="shared" si="48"/>
        <v>53.244056492586679</v>
      </c>
      <c r="U87" s="33">
        <f t="shared" si="62"/>
        <v>70</v>
      </c>
      <c r="V87" s="33">
        <f t="shared" si="49"/>
        <v>10</v>
      </c>
      <c r="W87" s="33">
        <v>0</v>
      </c>
      <c r="X87" s="33">
        <f t="shared" si="50"/>
        <v>762.26255172458843</v>
      </c>
      <c r="Y87" s="38">
        <f t="shared" si="51"/>
        <v>505.59588505792175</v>
      </c>
      <c r="AA87" s="71">
        <v>82</v>
      </c>
      <c r="AB87" s="33">
        <f t="shared" si="52"/>
        <v>0</v>
      </c>
      <c r="AC87" s="308">
        <f t="shared" si="41"/>
        <v>0</v>
      </c>
      <c r="AD87" s="101">
        <f t="shared" si="53"/>
        <v>0</v>
      </c>
      <c r="AE87" s="101">
        <f t="shared" si="54"/>
        <v>0</v>
      </c>
      <c r="AF87" s="197">
        <f t="shared" si="36"/>
        <v>39.263983955612311</v>
      </c>
      <c r="AG87" s="197">
        <f t="shared" si="37"/>
        <v>0</v>
      </c>
      <c r="AH87" s="197">
        <f t="shared" si="38"/>
        <v>0</v>
      </c>
      <c r="AI87" s="202">
        <f t="shared" si="39"/>
        <v>39.263983955612311</v>
      </c>
      <c r="AK87" s="71">
        <v>82</v>
      </c>
      <c r="AL87" s="33">
        <f t="shared" si="55"/>
        <v>0</v>
      </c>
      <c r="AM87" s="33">
        <f t="shared" si="56"/>
        <v>0</v>
      </c>
      <c r="AN87" s="33">
        <f t="shared" si="57"/>
        <v>0</v>
      </c>
      <c r="AO87" s="33">
        <f t="shared" si="58"/>
        <v>0</v>
      </c>
      <c r="AP87" s="33">
        <f t="shared" si="59"/>
        <v>0</v>
      </c>
      <c r="AQ87" s="197">
        <f t="shared" si="60"/>
        <v>0</v>
      </c>
      <c r="AR87" s="197">
        <f t="shared" si="60"/>
        <v>0</v>
      </c>
      <c r="AS87" s="197">
        <f t="shared" si="60"/>
        <v>0</v>
      </c>
      <c r="AT87" s="197">
        <f t="shared" si="60"/>
        <v>0</v>
      </c>
      <c r="AU87" s="33"/>
      <c r="AV87" s="33"/>
      <c r="AW87" s="33"/>
      <c r="AX87" s="33"/>
      <c r="AY87" s="76"/>
    </row>
    <row r="88" spans="2:51">
      <c r="B88" s="175">
        <f>IF(C37&lt;=$F$18,C37+1,"-")</f>
        <v>51</v>
      </c>
      <c r="C88" s="151">
        <f>D37-D38</f>
        <v>21</v>
      </c>
      <c r="D88" s="152">
        <v>0.6</v>
      </c>
      <c r="E88" s="130">
        <f t="shared" si="70"/>
        <v>0</v>
      </c>
      <c r="F88" s="130">
        <f t="shared" si="71"/>
        <v>0</v>
      </c>
      <c r="G88" s="153">
        <f t="shared" si="72"/>
        <v>0.4</v>
      </c>
      <c r="H88" s="58">
        <f t="shared" si="69"/>
        <v>0</v>
      </c>
      <c r="I88" s="55">
        <v>83</v>
      </c>
      <c r="J88" s="33">
        <f t="shared" si="63"/>
        <v>0</v>
      </c>
      <c r="K88" s="33">
        <f t="shared" si="64"/>
        <v>0</v>
      </c>
      <c r="L88" s="33">
        <f t="shared" si="65"/>
        <v>70</v>
      </c>
      <c r="M88" s="33">
        <f t="shared" si="66"/>
        <v>0</v>
      </c>
      <c r="N88" s="33">
        <f t="shared" si="46"/>
        <v>0</v>
      </c>
      <c r="O88" s="34">
        <f t="shared" si="47"/>
        <v>256.66666666666669</v>
      </c>
      <c r="P88" s="55">
        <v>83</v>
      </c>
      <c r="Q88" s="33">
        <f t="shared" si="61"/>
        <v>11.309999999999988</v>
      </c>
      <c r="R88" s="33">
        <f t="shared" si="67"/>
        <v>397.0200000000001</v>
      </c>
      <c r="S88" s="33">
        <f t="shared" si="68"/>
        <v>222.33120000000008</v>
      </c>
      <c r="T88" s="33">
        <f t="shared" si="48"/>
        <v>54.621249277291412</v>
      </c>
      <c r="U88" s="33">
        <f t="shared" si="62"/>
        <v>70</v>
      </c>
      <c r="V88" s="33">
        <f t="shared" si="49"/>
        <v>10</v>
      </c>
      <c r="W88" s="33">
        <v>0</v>
      </c>
      <c r="X88" s="33">
        <f t="shared" si="50"/>
        <v>775.69218249128278</v>
      </c>
      <c r="Y88" s="38">
        <f t="shared" si="51"/>
        <v>519.02551582461615</v>
      </c>
      <c r="AA88" s="71">
        <v>83</v>
      </c>
      <c r="AB88" s="33">
        <f t="shared" si="52"/>
        <v>0</v>
      </c>
      <c r="AC88" s="308">
        <f t="shared" si="41"/>
        <v>0</v>
      </c>
      <c r="AD88" s="101">
        <f t="shared" si="53"/>
        <v>0</v>
      </c>
      <c r="AE88" s="101">
        <f t="shared" si="54"/>
        <v>0</v>
      </c>
      <c r="AF88" s="197">
        <f t="shared" si="36"/>
        <v>38.494041178908233</v>
      </c>
      <c r="AG88" s="197">
        <f t="shared" si="37"/>
        <v>0</v>
      </c>
      <c r="AH88" s="197">
        <f t="shared" si="38"/>
        <v>0</v>
      </c>
      <c r="AI88" s="202">
        <f t="shared" si="39"/>
        <v>38.494041178908233</v>
      </c>
      <c r="AK88" s="71">
        <v>83</v>
      </c>
      <c r="AL88" s="33">
        <f t="shared" si="55"/>
        <v>0</v>
      </c>
      <c r="AM88" s="33">
        <f t="shared" si="56"/>
        <v>0</v>
      </c>
      <c r="AN88" s="33">
        <f t="shared" si="57"/>
        <v>0</v>
      </c>
      <c r="AO88" s="33">
        <f t="shared" si="58"/>
        <v>0</v>
      </c>
      <c r="AP88" s="33">
        <f t="shared" si="59"/>
        <v>0</v>
      </c>
      <c r="AQ88" s="197">
        <f t="shared" si="60"/>
        <v>0</v>
      </c>
      <c r="AR88" s="197">
        <f t="shared" si="60"/>
        <v>0</v>
      </c>
      <c r="AS88" s="197">
        <f t="shared" si="60"/>
        <v>0</v>
      </c>
      <c r="AT88" s="197">
        <f t="shared" si="60"/>
        <v>0</v>
      </c>
      <c r="AU88" s="33"/>
      <c r="AV88" s="33"/>
      <c r="AW88" s="33"/>
      <c r="AX88" s="33"/>
      <c r="AY88" s="76"/>
    </row>
    <row r="89" spans="2:51">
      <c r="B89" s="175">
        <f>IF(C39&lt;=$F$18,C39+1,"-")</f>
        <v>56</v>
      </c>
      <c r="C89" s="151">
        <f>D39-D40</f>
        <v>21</v>
      </c>
      <c r="D89" s="152">
        <v>0.7</v>
      </c>
      <c r="E89" s="130">
        <f t="shared" si="70"/>
        <v>0</v>
      </c>
      <c r="F89" s="130">
        <f t="shared" si="71"/>
        <v>0</v>
      </c>
      <c r="G89" s="153">
        <f t="shared" si="72"/>
        <v>0.30000000000000004</v>
      </c>
      <c r="H89" s="58">
        <f t="shared" si="69"/>
        <v>0</v>
      </c>
      <c r="I89" s="55">
        <v>84</v>
      </c>
      <c r="J89" s="33">
        <f t="shared" si="63"/>
        <v>0</v>
      </c>
      <c r="K89" s="33">
        <f t="shared" si="64"/>
        <v>0</v>
      </c>
      <c r="L89" s="33">
        <f t="shared" si="65"/>
        <v>70</v>
      </c>
      <c r="M89" s="33">
        <f t="shared" si="66"/>
        <v>0</v>
      </c>
      <c r="N89" s="33">
        <f t="shared" si="46"/>
        <v>0</v>
      </c>
      <c r="O89" s="34">
        <f t="shared" si="47"/>
        <v>256.66666666666669</v>
      </c>
      <c r="P89" s="55">
        <v>84</v>
      </c>
      <c r="Q89" s="33">
        <f t="shared" si="61"/>
        <v>11.309999999999988</v>
      </c>
      <c r="R89" s="33">
        <f t="shared" si="67"/>
        <v>408.3300000000001</v>
      </c>
      <c r="S89" s="33">
        <f t="shared" si="68"/>
        <v>228.66480000000007</v>
      </c>
      <c r="T89" s="33">
        <f t="shared" si="48"/>
        <v>55.993882321060653</v>
      </c>
      <c r="U89" s="33">
        <f t="shared" si="62"/>
        <v>70</v>
      </c>
      <c r="V89" s="33">
        <f t="shared" si="49"/>
        <v>10</v>
      </c>
      <c r="W89" s="33">
        <v>0</v>
      </c>
      <c r="X89" s="33">
        <f t="shared" si="50"/>
        <v>789.11387170918078</v>
      </c>
      <c r="Y89" s="38">
        <f t="shared" si="51"/>
        <v>532.44720504251404</v>
      </c>
      <c r="AA89" s="71">
        <v>84</v>
      </c>
      <c r="AB89" s="33">
        <f t="shared" si="52"/>
        <v>0</v>
      </c>
      <c r="AC89" s="308">
        <f t="shared" si="41"/>
        <v>0</v>
      </c>
      <c r="AD89" s="101">
        <f t="shared" si="53"/>
        <v>0</v>
      </c>
      <c r="AE89" s="101">
        <f t="shared" si="54"/>
        <v>0</v>
      </c>
      <c r="AF89" s="197">
        <f t="shared" si="36"/>
        <v>37.739196510436599</v>
      </c>
      <c r="AG89" s="197">
        <f t="shared" si="37"/>
        <v>0</v>
      </c>
      <c r="AH89" s="197">
        <f t="shared" si="38"/>
        <v>0</v>
      </c>
      <c r="AI89" s="202">
        <f t="shared" si="39"/>
        <v>37.739196510436599</v>
      </c>
      <c r="AK89" s="71">
        <v>84</v>
      </c>
      <c r="AL89" s="33">
        <f t="shared" si="55"/>
        <v>0</v>
      </c>
      <c r="AM89" s="33">
        <f t="shared" si="56"/>
        <v>0</v>
      </c>
      <c r="AN89" s="33">
        <f t="shared" si="57"/>
        <v>0</v>
      </c>
      <c r="AO89" s="33">
        <f t="shared" si="58"/>
        <v>0</v>
      </c>
      <c r="AP89" s="33">
        <f t="shared" si="59"/>
        <v>0</v>
      </c>
      <c r="AQ89" s="197">
        <f t="shared" si="60"/>
        <v>0</v>
      </c>
      <c r="AR89" s="197">
        <f t="shared" si="60"/>
        <v>0</v>
      </c>
      <c r="AS89" s="197">
        <f t="shared" si="60"/>
        <v>0</v>
      </c>
      <c r="AT89" s="197">
        <f t="shared" si="60"/>
        <v>0</v>
      </c>
      <c r="AU89" s="33"/>
      <c r="AV89" s="33"/>
      <c r="AW89" s="33"/>
      <c r="AX89" s="33"/>
      <c r="AY89" s="76"/>
    </row>
    <row r="90" spans="2:51">
      <c r="B90" s="175">
        <f>IF(C41&lt;=$F$18,C41+1,"-")</f>
        <v>61</v>
      </c>
      <c r="C90" s="151">
        <f>D41-D42</f>
        <v>21</v>
      </c>
      <c r="D90" s="152">
        <v>0.8</v>
      </c>
      <c r="E90" s="130">
        <f t="shared" si="70"/>
        <v>0</v>
      </c>
      <c r="F90" s="130">
        <f t="shared" si="71"/>
        <v>0</v>
      </c>
      <c r="G90" s="153">
        <f t="shared" si="72"/>
        <v>0.19999999999999996</v>
      </c>
      <c r="H90" s="58">
        <f t="shared" si="69"/>
        <v>0</v>
      </c>
      <c r="I90" s="55">
        <v>85</v>
      </c>
      <c r="J90" s="33">
        <f t="shared" si="63"/>
        <v>0</v>
      </c>
      <c r="K90" s="33">
        <f t="shared" si="64"/>
        <v>0</v>
      </c>
      <c r="L90" s="33">
        <f t="shared" si="65"/>
        <v>70</v>
      </c>
      <c r="M90" s="33">
        <f t="shared" si="66"/>
        <v>0</v>
      </c>
      <c r="N90" s="33">
        <f t="shared" si="46"/>
        <v>0</v>
      </c>
      <c r="O90" s="34">
        <f t="shared" si="47"/>
        <v>256.66666666666669</v>
      </c>
      <c r="P90" s="55">
        <v>85</v>
      </c>
      <c r="Q90" s="33">
        <f t="shared" si="61"/>
        <v>11.309999999999988</v>
      </c>
      <c r="R90" s="33">
        <f t="shared" si="67"/>
        <v>419.6400000000001</v>
      </c>
      <c r="S90" s="33">
        <f t="shared" si="68"/>
        <v>234.99840000000009</v>
      </c>
      <c r="T90" s="33">
        <f t="shared" si="48"/>
        <v>57.362096430783112</v>
      </c>
      <c r="U90" s="33">
        <f t="shared" si="62"/>
        <v>70</v>
      </c>
      <c r="V90" s="33">
        <f t="shared" si="49"/>
        <v>10</v>
      </c>
      <c r="W90" s="33">
        <v>0</v>
      </c>
      <c r="X90" s="33">
        <f t="shared" si="50"/>
        <v>802.52786461694734</v>
      </c>
      <c r="Y90" s="38">
        <f t="shared" si="51"/>
        <v>545.86119795028071</v>
      </c>
      <c r="AA90" s="71">
        <v>85</v>
      </c>
      <c r="AB90" s="33">
        <f t="shared" si="52"/>
        <v>0</v>
      </c>
      <c r="AC90" s="308">
        <f t="shared" si="41"/>
        <v>0</v>
      </c>
      <c r="AD90" s="101">
        <f t="shared" si="53"/>
        <v>0</v>
      </c>
      <c r="AE90" s="101">
        <f t="shared" si="54"/>
        <v>0</v>
      </c>
      <c r="AF90" s="197">
        <f t="shared" si="36"/>
        <v>36.999153885503908</v>
      </c>
      <c r="AG90" s="197">
        <f t="shared" si="37"/>
        <v>0</v>
      </c>
      <c r="AH90" s="197">
        <f t="shared" si="38"/>
        <v>0</v>
      </c>
      <c r="AI90" s="202">
        <f t="shared" si="39"/>
        <v>36.999153885503908</v>
      </c>
      <c r="AK90" s="71">
        <v>85</v>
      </c>
      <c r="AL90" s="33">
        <f t="shared" si="55"/>
        <v>0</v>
      </c>
      <c r="AM90" s="33">
        <f t="shared" si="56"/>
        <v>0</v>
      </c>
      <c r="AN90" s="33">
        <f t="shared" si="57"/>
        <v>0</v>
      </c>
      <c r="AO90" s="33">
        <f t="shared" si="58"/>
        <v>0</v>
      </c>
      <c r="AP90" s="33">
        <f t="shared" si="59"/>
        <v>0</v>
      </c>
      <c r="AQ90" s="197">
        <f t="shared" si="60"/>
        <v>0</v>
      </c>
      <c r="AR90" s="197">
        <f t="shared" si="60"/>
        <v>0</v>
      </c>
      <c r="AS90" s="197">
        <f t="shared" si="60"/>
        <v>0</v>
      </c>
      <c r="AT90" s="197">
        <f t="shared" si="60"/>
        <v>0</v>
      </c>
      <c r="AU90" s="33"/>
      <c r="AV90" s="33"/>
      <c r="AW90" s="33"/>
      <c r="AX90" s="33"/>
      <c r="AY90" s="76"/>
    </row>
    <row r="91" spans="2:51">
      <c r="B91" s="175">
        <f>IF(C43&lt;=$F$18,C43+1,"-")</f>
        <v>66</v>
      </c>
      <c r="C91" s="151">
        <f>D43-D44</f>
        <v>21</v>
      </c>
      <c r="D91" s="152">
        <v>0.9</v>
      </c>
      <c r="E91" s="130">
        <f>IF(G91+D91&lt;&gt;1,(1-(G91+D91))*56%,0)</f>
        <v>0</v>
      </c>
      <c r="F91" s="130">
        <f>IF(G91+D91&lt;&gt;1,(1-(G91+D91))*44%,0)</f>
        <v>0</v>
      </c>
      <c r="G91" s="153">
        <f t="shared" si="72"/>
        <v>9.9999999999999978E-2</v>
      </c>
      <c r="H91" s="58">
        <f t="shared" si="69"/>
        <v>0</v>
      </c>
      <c r="I91" s="55">
        <v>86</v>
      </c>
      <c r="J91" s="33">
        <f t="shared" si="63"/>
        <v>0</v>
      </c>
      <c r="K91" s="33">
        <f t="shared" si="64"/>
        <v>0</v>
      </c>
      <c r="L91" s="33">
        <f t="shared" si="65"/>
        <v>70</v>
      </c>
      <c r="M91" s="33">
        <f t="shared" si="66"/>
        <v>0</v>
      </c>
      <c r="N91" s="33">
        <f t="shared" si="46"/>
        <v>0</v>
      </c>
      <c r="O91" s="34">
        <f t="shared" si="47"/>
        <v>256.66666666666669</v>
      </c>
      <c r="P91" s="55">
        <v>86</v>
      </c>
      <c r="Q91" s="33">
        <f t="shared" si="61"/>
        <v>-32.759999999999991</v>
      </c>
      <c r="R91" s="33">
        <f t="shared" si="67"/>
        <v>386.88000000000011</v>
      </c>
      <c r="S91" s="33">
        <f t="shared" si="68"/>
        <v>216.65280000000007</v>
      </c>
      <c r="T91" s="33">
        <f t="shared" si="48"/>
        <v>53.38674047237982</v>
      </c>
      <c r="U91" s="33">
        <f t="shared" si="62"/>
        <v>70</v>
      </c>
      <c r="V91" s="33">
        <f t="shared" si="49"/>
        <v>10</v>
      </c>
      <c r="W91" s="33">
        <v>0</v>
      </c>
      <c r="X91" s="33">
        <f t="shared" si="50"/>
        <v>763.6521996560615</v>
      </c>
      <c r="Y91" s="38">
        <f t="shared" si="51"/>
        <v>506.98553298939481</v>
      </c>
      <c r="AA91" s="71">
        <v>86</v>
      </c>
      <c r="AB91" s="33">
        <f t="shared" si="52"/>
        <v>0</v>
      </c>
      <c r="AC91" s="308">
        <f t="shared" si="41"/>
        <v>0</v>
      </c>
      <c r="AD91" s="101">
        <f t="shared" si="53"/>
        <v>0</v>
      </c>
      <c r="AE91" s="101">
        <f t="shared" si="54"/>
        <v>0</v>
      </c>
      <c r="AF91" s="197">
        <f t="shared" ref="AF91:AF154" si="73">IF(OR(AA91&lt;=$F$18,AA91&lt;=30),EXP(-LN(2)/$D$104)*AF90+((1-EXP(-LN(2)/$D$104))/(LN(2)/$D$104))*$AB91*AC91*0.475*$F$19*44/12,)</f>
        <v>36.273623045064717</v>
      </c>
      <c r="AG91" s="197">
        <f t="shared" ref="AG91:AG154" si="74">IF(OR(AA91&lt;=$F$18,AA91&lt;=30),EXP(-LN(2)/$D$106)*AG90+((1-EXP(-LN(2)/$D$106))/(LN(2)/$D$106))*$AB91*AD91*0.475*$F$19*44/12,)</f>
        <v>0</v>
      </c>
      <c r="AH91" s="197">
        <f t="shared" ref="AH91:AH154" si="75">IF(OR(AA91&lt;=$F$18,AA91&lt;=30),EXP(-LN(2)/$D$105)*AH90+((1-EXP(-LN(2)/$D$105))/(LN(2)/$D$105))*$AB91*AE91*0.475*$F$19*44/12,)</f>
        <v>0</v>
      </c>
      <c r="AI91" s="202">
        <f t="shared" ref="AI91:AI154" si="76">IF(OR(AA91&lt;=$F$18,AA91&lt;=30),SUM(AF91:AH91),)</f>
        <v>36.273623045064717</v>
      </c>
      <c r="AK91" s="71">
        <v>86</v>
      </c>
      <c r="AL91" s="33">
        <f t="shared" si="55"/>
        <v>0</v>
      </c>
      <c r="AM91" s="33">
        <f t="shared" si="56"/>
        <v>0</v>
      </c>
      <c r="AN91" s="33">
        <f t="shared" si="57"/>
        <v>0</v>
      </c>
      <c r="AO91" s="33">
        <f t="shared" si="58"/>
        <v>0</v>
      </c>
      <c r="AP91" s="33">
        <f t="shared" si="59"/>
        <v>0</v>
      </c>
      <c r="AQ91" s="197">
        <f t="shared" si="60"/>
        <v>0</v>
      </c>
      <c r="AR91" s="197">
        <f t="shared" si="60"/>
        <v>0</v>
      </c>
      <c r="AS91" s="197">
        <f t="shared" si="60"/>
        <v>0</v>
      </c>
      <c r="AT91" s="197">
        <f t="shared" si="60"/>
        <v>0</v>
      </c>
      <c r="AU91" s="33"/>
      <c r="AV91" s="33"/>
      <c r="AW91" s="33"/>
      <c r="AX91" s="33"/>
      <c r="AY91" s="76"/>
    </row>
    <row r="92" spans="2:51">
      <c r="B92" s="175">
        <f>IF(C45&lt;=$F$18,C45+1,"-")</f>
        <v>71</v>
      </c>
      <c r="C92" s="151">
        <f>D45-D46</f>
        <v>21</v>
      </c>
      <c r="D92" s="152">
        <v>0.9</v>
      </c>
      <c r="E92" s="130">
        <f>IF(G92+D92&lt;&gt;1,(1-(G92+D92))*56%,0)</f>
        <v>0</v>
      </c>
      <c r="F92" s="130">
        <f>IF(G92+D92&lt;&gt;1,(1-(G92+D92))*44%,0)</f>
        <v>0</v>
      </c>
      <c r="G92" s="153">
        <f t="shared" si="72"/>
        <v>9.9999999999999978E-2</v>
      </c>
      <c r="H92" s="58">
        <f t="shared" si="69"/>
        <v>0</v>
      </c>
      <c r="I92" s="55">
        <v>87</v>
      </c>
      <c r="J92" s="33">
        <f t="shared" si="63"/>
        <v>0</v>
      </c>
      <c r="K92" s="33">
        <f t="shared" si="64"/>
        <v>0</v>
      </c>
      <c r="L92" s="33">
        <f t="shared" si="65"/>
        <v>70</v>
      </c>
      <c r="M92" s="33">
        <f t="shared" si="66"/>
        <v>0</v>
      </c>
      <c r="N92" s="33">
        <f t="shared" si="46"/>
        <v>0</v>
      </c>
      <c r="O92" s="34">
        <f t="shared" si="47"/>
        <v>256.66666666666669</v>
      </c>
      <c r="P92" s="55">
        <v>87</v>
      </c>
      <c r="Q92" s="33">
        <f t="shared" si="61"/>
        <v>10.530000000000001</v>
      </c>
      <c r="R92" s="33">
        <f t="shared" si="67"/>
        <v>397.41000000000008</v>
      </c>
      <c r="S92" s="33">
        <f t="shared" si="68"/>
        <v>222.54960000000005</v>
      </c>
      <c r="T92" s="33">
        <f t="shared" si="48"/>
        <v>54.668656524452629</v>
      </c>
      <c r="U92" s="33">
        <f t="shared" si="62"/>
        <v>70</v>
      </c>
      <c r="V92" s="33">
        <f t="shared" si="49"/>
        <v>10</v>
      </c>
      <c r="W92" s="33">
        <v>0</v>
      </c>
      <c r="X92" s="33">
        <f t="shared" si="50"/>
        <v>776.15513011342171</v>
      </c>
      <c r="Y92" s="38">
        <f t="shared" si="51"/>
        <v>519.48846344675508</v>
      </c>
      <c r="AA92" s="71">
        <v>87</v>
      </c>
      <c r="AB92" s="33">
        <f t="shared" si="52"/>
        <v>0</v>
      </c>
      <c r="AC92" s="308">
        <f t="shared" si="41"/>
        <v>0</v>
      </c>
      <c r="AD92" s="101">
        <f t="shared" si="53"/>
        <v>0</v>
      </c>
      <c r="AE92" s="101">
        <f t="shared" si="54"/>
        <v>0</v>
      </c>
      <c r="AF92" s="197">
        <f t="shared" si="73"/>
        <v>35.562319421876417</v>
      </c>
      <c r="AG92" s="197">
        <f t="shared" si="74"/>
        <v>0</v>
      </c>
      <c r="AH92" s="197">
        <f t="shared" si="75"/>
        <v>0</v>
      </c>
      <c r="AI92" s="202">
        <f t="shared" si="76"/>
        <v>35.562319421876417</v>
      </c>
      <c r="AK92" s="71">
        <v>87</v>
      </c>
      <c r="AL92" s="33">
        <f t="shared" si="55"/>
        <v>0</v>
      </c>
      <c r="AM92" s="33">
        <f t="shared" si="56"/>
        <v>0</v>
      </c>
      <c r="AN92" s="33">
        <f t="shared" si="57"/>
        <v>0</v>
      </c>
      <c r="AO92" s="33">
        <f t="shared" si="58"/>
        <v>0</v>
      </c>
      <c r="AP92" s="33">
        <f t="shared" si="59"/>
        <v>0</v>
      </c>
      <c r="AQ92" s="197">
        <f t="shared" si="60"/>
        <v>0</v>
      </c>
      <c r="AR92" s="197">
        <f t="shared" si="60"/>
        <v>0</v>
      </c>
      <c r="AS92" s="197">
        <f t="shared" si="60"/>
        <v>0</v>
      </c>
      <c r="AT92" s="197">
        <f t="shared" si="60"/>
        <v>0</v>
      </c>
      <c r="AU92" s="33"/>
      <c r="AV92" s="33"/>
      <c r="AW92" s="33"/>
      <c r="AX92" s="33"/>
      <c r="AY92" s="76"/>
    </row>
    <row r="93" spans="2:51">
      <c r="B93" s="175">
        <f>IF(C47&lt;=$F$18,C47+1,"-")</f>
        <v>76</v>
      </c>
      <c r="C93" s="151">
        <f>D47-D48</f>
        <v>21</v>
      </c>
      <c r="D93" s="152">
        <v>0.95</v>
      </c>
      <c r="E93" s="130">
        <f>IF(G93+D93&lt;&gt;1,(1-(G93+D93))*56%,0)</f>
        <v>0</v>
      </c>
      <c r="F93" s="130">
        <f>IF(G93+D93&lt;&gt;1,(1-(G93+D93))*44%,0)</f>
        <v>0</v>
      </c>
      <c r="G93" s="153">
        <f t="shared" si="72"/>
        <v>5.0000000000000044E-2</v>
      </c>
      <c r="H93" s="58">
        <f t="shared" si="69"/>
        <v>0</v>
      </c>
      <c r="I93" s="55">
        <v>88</v>
      </c>
      <c r="J93" s="33">
        <f t="shared" si="63"/>
        <v>0</v>
      </c>
      <c r="K93" s="33">
        <f t="shared" si="64"/>
        <v>0</v>
      </c>
      <c r="L93" s="33">
        <f t="shared" si="65"/>
        <v>70</v>
      </c>
      <c r="M93" s="33">
        <f t="shared" si="66"/>
        <v>0</v>
      </c>
      <c r="N93" s="33">
        <f t="shared" si="46"/>
        <v>0</v>
      </c>
      <c r="O93" s="34">
        <f t="shared" si="47"/>
        <v>256.66666666666669</v>
      </c>
      <c r="P93" s="55">
        <v>88</v>
      </c>
      <c r="Q93" s="33">
        <f t="shared" si="61"/>
        <v>10.530000000000001</v>
      </c>
      <c r="R93" s="33">
        <f t="shared" si="67"/>
        <v>407.94000000000005</v>
      </c>
      <c r="S93" s="33">
        <f t="shared" si="68"/>
        <v>228.44640000000004</v>
      </c>
      <c r="T93" s="33">
        <f t="shared" si="48"/>
        <v>55.946624493315085</v>
      </c>
      <c r="U93" s="33">
        <f t="shared" si="62"/>
        <v>70</v>
      </c>
      <c r="V93" s="33">
        <f t="shared" si="49"/>
        <v>10</v>
      </c>
      <c r="W93" s="33">
        <v>0</v>
      </c>
      <c r="X93" s="33">
        <f t="shared" si="50"/>
        <v>788.65118432585712</v>
      </c>
      <c r="Y93" s="38">
        <f t="shared" si="51"/>
        <v>531.98451765919049</v>
      </c>
      <c r="AA93" s="71">
        <v>88</v>
      </c>
      <c r="AB93" s="33">
        <f t="shared" si="52"/>
        <v>0</v>
      </c>
      <c r="AC93" s="308">
        <f t="shared" si="41"/>
        <v>0</v>
      </c>
      <c r="AD93" s="101">
        <f t="shared" si="53"/>
        <v>0</v>
      </c>
      <c r="AE93" s="101">
        <f t="shared" si="54"/>
        <v>0</v>
      </c>
      <c r="AF93" s="197">
        <f t="shared" si="73"/>
        <v>34.864964028886469</v>
      </c>
      <c r="AG93" s="197">
        <f t="shared" si="74"/>
        <v>0</v>
      </c>
      <c r="AH93" s="197">
        <f t="shared" si="75"/>
        <v>0</v>
      </c>
      <c r="AI93" s="202">
        <f t="shared" si="76"/>
        <v>34.864964028886469</v>
      </c>
      <c r="AK93" s="71">
        <v>88</v>
      </c>
      <c r="AL93" s="33">
        <f t="shared" si="55"/>
        <v>0</v>
      </c>
      <c r="AM93" s="33">
        <f t="shared" si="56"/>
        <v>0</v>
      </c>
      <c r="AN93" s="33">
        <f t="shared" si="57"/>
        <v>0</v>
      </c>
      <c r="AO93" s="33">
        <f t="shared" si="58"/>
        <v>0</v>
      </c>
      <c r="AP93" s="33">
        <f t="shared" si="59"/>
        <v>0</v>
      </c>
      <c r="AQ93" s="197">
        <f t="shared" si="60"/>
        <v>0</v>
      </c>
      <c r="AR93" s="197">
        <f t="shared" si="60"/>
        <v>0</v>
      </c>
      <c r="AS93" s="197">
        <f t="shared" si="60"/>
        <v>0</v>
      </c>
      <c r="AT93" s="197">
        <f t="shared" si="60"/>
        <v>0</v>
      </c>
      <c r="AU93" s="33"/>
      <c r="AV93" s="33"/>
      <c r="AW93" s="33"/>
      <c r="AX93" s="33"/>
      <c r="AY93" s="76"/>
    </row>
    <row r="94" spans="2:51">
      <c r="B94" s="187">
        <f>F18</f>
        <v>100</v>
      </c>
      <c r="C94" s="184">
        <f>VLOOKUP(B94,C25:D78,2)</f>
        <v>282</v>
      </c>
      <c r="D94" s="339">
        <v>0.95</v>
      </c>
      <c r="E94" s="341">
        <f t="shared" si="70"/>
        <v>0</v>
      </c>
      <c r="F94" s="341">
        <f t="shared" si="71"/>
        <v>0</v>
      </c>
      <c r="G94" s="154">
        <f t="shared" si="72"/>
        <v>5.0000000000000044E-2</v>
      </c>
      <c r="H94" s="58">
        <f t="shared" si="69"/>
        <v>0</v>
      </c>
      <c r="I94" s="55">
        <v>89</v>
      </c>
      <c r="J94" s="33">
        <f t="shared" si="63"/>
        <v>0</v>
      </c>
      <c r="K94" s="33">
        <f t="shared" si="64"/>
        <v>0</v>
      </c>
      <c r="L94" s="33">
        <f t="shared" si="65"/>
        <v>70</v>
      </c>
      <c r="M94" s="33">
        <f t="shared" si="66"/>
        <v>0</v>
      </c>
      <c r="N94" s="33">
        <f t="shared" si="46"/>
        <v>0</v>
      </c>
      <c r="O94" s="34">
        <f t="shared" si="47"/>
        <v>256.66666666666669</v>
      </c>
      <c r="P94" s="55">
        <v>89</v>
      </c>
      <c r="Q94" s="33">
        <f t="shared" si="61"/>
        <v>10.530000000000001</v>
      </c>
      <c r="R94" s="33">
        <f t="shared" si="67"/>
        <v>418.47</v>
      </c>
      <c r="S94" s="33">
        <f t="shared" si="68"/>
        <v>234.34320000000002</v>
      </c>
      <c r="T94" s="33">
        <f t="shared" si="48"/>
        <v>57.220758006491664</v>
      </c>
      <c r="U94" s="33">
        <f t="shared" si="62"/>
        <v>70</v>
      </c>
      <c r="V94" s="33">
        <f t="shared" si="49"/>
        <v>10</v>
      </c>
      <c r="W94" s="33">
        <v>0</v>
      </c>
      <c r="X94" s="33">
        <f t="shared" si="50"/>
        <v>801.14056019463976</v>
      </c>
      <c r="Y94" s="38">
        <f t="shared" si="51"/>
        <v>544.47389352797313</v>
      </c>
      <c r="AA94" s="71">
        <v>89</v>
      </c>
      <c r="AB94" s="33">
        <f t="shared" si="52"/>
        <v>0</v>
      </c>
      <c r="AC94" s="308">
        <f t="shared" si="41"/>
        <v>0</v>
      </c>
      <c r="AD94" s="101">
        <f t="shared" si="53"/>
        <v>0</v>
      </c>
      <c r="AE94" s="101">
        <f t="shared" si="54"/>
        <v>0</v>
      </c>
      <c r="AF94" s="197">
        <f t="shared" si="73"/>
        <v>34.181283349808268</v>
      </c>
      <c r="AG94" s="197">
        <f t="shared" si="74"/>
        <v>0</v>
      </c>
      <c r="AH94" s="197">
        <f t="shared" si="75"/>
        <v>0</v>
      </c>
      <c r="AI94" s="202">
        <f t="shared" si="76"/>
        <v>34.181283349808268</v>
      </c>
      <c r="AK94" s="71">
        <v>89</v>
      </c>
      <c r="AL94" s="33">
        <f t="shared" si="55"/>
        <v>0</v>
      </c>
      <c r="AM94" s="33">
        <f t="shared" si="56"/>
        <v>0</v>
      </c>
      <c r="AN94" s="33">
        <f t="shared" si="57"/>
        <v>0</v>
      </c>
      <c r="AO94" s="33">
        <f t="shared" si="58"/>
        <v>0</v>
      </c>
      <c r="AP94" s="33">
        <f t="shared" si="59"/>
        <v>0</v>
      </c>
      <c r="AQ94" s="197">
        <f t="shared" si="60"/>
        <v>0</v>
      </c>
      <c r="AR94" s="197">
        <f t="shared" si="60"/>
        <v>0</v>
      </c>
      <c r="AS94" s="197">
        <f t="shared" si="60"/>
        <v>0</v>
      </c>
      <c r="AT94" s="197">
        <f t="shared" si="60"/>
        <v>0</v>
      </c>
      <c r="AU94" s="33"/>
      <c r="AV94" s="33"/>
      <c r="AW94" s="33"/>
      <c r="AX94" s="33"/>
      <c r="AY94" s="76"/>
    </row>
    <row r="95" spans="2:51">
      <c r="I95" s="55">
        <v>90</v>
      </c>
      <c r="J95" s="33">
        <f t="shared" si="63"/>
        <v>0</v>
      </c>
      <c r="K95" s="33">
        <f t="shared" si="64"/>
        <v>0</v>
      </c>
      <c r="L95" s="33">
        <f t="shared" si="65"/>
        <v>70</v>
      </c>
      <c r="M95" s="33">
        <f t="shared" si="66"/>
        <v>0</v>
      </c>
      <c r="N95" s="33">
        <f t="shared" si="46"/>
        <v>0</v>
      </c>
      <c r="O95" s="34">
        <f t="shared" si="47"/>
        <v>256.66666666666669</v>
      </c>
      <c r="P95" s="55">
        <v>90</v>
      </c>
      <c r="Q95" s="33">
        <f t="shared" si="61"/>
        <v>10.530000000000001</v>
      </c>
      <c r="R95" s="33">
        <f t="shared" si="67"/>
        <v>429</v>
      </c>
      <c r="S95" s="33">
        <f t="shared" si="68"/>
        <v>240.24</v>
      </c>
      <c r="T95" s="33">
        <f t="shared" si="48"/>
        <v>58.491164647183133</v>
      </c>
      <c r="U95" s="33">
        <f t="shared" si="62"/>
        <v>70</v>
      </c>
      <c r="V95" s="33">
        <f t="shared" si="49"/>
        <v>10</v>
      </c>
      <c r="W95" s="33">
        <v>0</v>
      </c>
      <c r="X95" s="33">
        <f t="shared" si="50"/>
        <v>813.623445093844</v>
      </c>
      <c r="Y95" s="38">
        <f t="shared" si="51"/>
        <v>556.95677842717737</v>
      </c>
      <c r="AA95" s="71">
        <v>90</v>
      </c>
      <c r="AB95" s="33">
        <f t="shared" si="52"/>
        <v>0</v>
      </c>
      <c r="AC95" s="308">
        <f t="shared" ref="AC95:AC158" si="77">IF(AA95&lt;=$F$18,IFERROR(VLOOKUP($AA95,$B$82:$G$94,3,FALSE),0),)*50%</f>
        <v>0</v>
      </c>
      <c r="AD95" s="101">
        <f t="shared" si="53"/>
        <v>0</v>
      </c>
      <c r="AE95" s="101">
        <f t="shared" si="54"/>
        <v>0</v>
      </c>
      <c r="AF95" s="197">
        <f t="shared" si="73"/>
        <v>33.511009231842749</v>
      </c>
      <c r="AG95" s="197">
        <f t="shared" si="74"/>
        <v>0</v>
      </c>
      <c r="AH95" s="197">
        <f t="shared" si="75"/>
        <v>0</v>
      </c>
      <c r="AI95" s="202">
        <f t="shared" si="76"/>
        <v>33.511009231842749</v>
      </c>
      <c r="AK95" s="71">
        <v>90</v>
      </c>
      <c r="AL95" s="33">
        <f t="shared" si="55"/>
        <v>0</v>
      </c>
      <c r="AM95" s="33">
        <f t="shared" si="56"/>
        <v>0</v>
      </c>
      <c r="AN95" s="33">
        <f t="shared" si="57"/>
        <v>0</v>
      </c>
      <c r="AO95" s="33">
        <f t="shared" si="58"/>
        <v>0</v>
      </c>
      <c r="AP95" s="33">
        <f t="shared" si="59"/>
        <v>0</v>
      </c>
      <c r="AQ95" s="197">
        <f t="shared" si="60"/>
        <v>0</v>
      </c>
      <c r="AR95" s="197">
        <f t="shared" si="60"/>
        <v>0</v>
      </c>
      <c r="AS95" s="197">
        <f t="shared" si="60"/>
        <v>0</v>
      </c>
      <c r="AT95" s="197">
        <f t="shared" si="60"/>
        <v>0</v>
      </c>
      <c r="AU95" s="33"/>
      <c r="AV95" s="33"/>
      <c r="AW95" s="33"/>
      <c r="AX95" s="33"/>
      <c r="AY95" s="76"/>
    </row>
    <row r="96" spans="2:51">
      <c r="C96" s="67" t="s">
        <v>154</v>
      </c>
      <c r="D96" t="s">
        <v>137</v>
      </c>
      <c r="E96" s="6"/>
      <c r="I96" s="55">
        <v>91</v>
      </c>
      <c r="J96" s="33">
        <f t="shared" si="63"/>
        <v>0</v>
      </c>
      <c r="K96" s="33">
        <f t="shared" si="64"/>
        <v>0</v>
      </c>
      <c r="L96" s="33">
        <f t="shared" si="65"/>
        <v>70</v>
      </c>
      <c r="M96" s="33">
        <f t="shared" si="66"/>
        <v>0</v>
      </c>
      <c r="N96" s="33">
        <f t="shared" si="46"/>
        <v>0</v>
      </c>
      <c r="O96" s="34">
        <f t="shared" si="47"/>
        <v>256.66666666666669</v>
      </c>
      <c r="P96" s="55">
        <v>91</v>
      </c>
      <c r="Q96" s="33">
        <f t="shared" si="61"/>
        <v>-32.759999999999991</v>
      </c>
      <c r="R96" s="33">
        <f t="shared" si="67"/>
        <v>396.24</v>
      </c>
      <c r="S96" s="33">
        <f t="shared" si="68"/>
        <v>221.89440000000002</v>
      </c>
      <c r="T96" s="33">
        <f t="shared" si="48"/>
        <v>54.526418514188897</v>
      </c>
      <c r="U96" s="33">
        <f t="shared" si="62"/>
        <v>70</v>
      </c>
      <c r="V96" s="33">
        <f t="shared" si="49"/>
        <v>10</v>
      </c>
      <c r="W96" s="33">
        <v>0</v>
      </c>
      <c r="X96" s="33">
        <f t="shared" si="50"/>
        <v>774.76625891221238</v>
      </c>
      <c r="Y96" s="38">
        <f t="shared" si="51"/>
        <v>518.09959224554564</v>
      </c>
      <c r="AA96" s="71">
        <v>91</v>
      </c>
      <c r="AB96" s="33">
        <f t="shared" si="52"/>
        <v>0</v>
      </c>
      <c r="AC96" s="308">
        <f t="shared" si="77"/>
        <v>0</v>
      </c>
      <c r="AD96" s="101">
        <f t="shared" si="53"/>
        <v>0</v>
      </c>
      <c r="AE96" s="101">
        <f t="shared" si="54"/>
        <v>0</v>
      </c>
      <c r="AF96" s="197">
        <f t="shared" si="73"/>
        <v>32.853878780503692</v>
      </c>
      <c r="AG96" s="197">
        <f t="shared" si="74"/>
        <v>0</v>
      </c>
      <c r="AH96" s="197">
        <f t="shared" si="75"/>
        <v>0</v>
      </c>
      <c r="AI96" s="202">
        <f t="shared" si="76"/>
        <v>32.853878780503692</v>
      </c>
      <c r="AK96" s="71">
        <v>91</v>
      </c>
      <c r="AL96" s="33">
        <f t="shared" si="55"/>
        <v>0</v>
      </c>
      <c r="AM96" s="33">
        <f t="shared" si="56"/>
        <v>0</v>
      </c>
      <c r="AN96" s="33">
        <f t="shared" si="57"/>
        <v>0</v>
      </c>
      <c r="AO96" s="33">
        <f t="shared" si="58"/>
        <v>0</v>
      </c>
      <c r="AP96" s="33">
        <f t="shared" si="59"/>
        <v>0</v>
      </c>
      <c r="AQ96" s="197">
        <f t="shared" si="60"/>
        <v>0</v>
      </c>
      <c r="AR96" s="197">
        <f t="shared" si="60"/>
        <v>0</v>
      </c>
      <c r="AS96" s="197">
        <f t="shared" si="60"/>
        <v>0</v>
      </c>
      <c r="AT96" s="197">
        <f t="shared" si="60"/>
        <v>0</v>
      </c>
      <c r="AU96" s="33"/>
      <c r="AV96" s="33"/>
      <c r="AW96" s="33"/>
      <c r="AX96" s="33"/>
      <c r="AY96" s="76"/>
    </row>
    <row r="97" spans="2:51">
      <c r="B97" s="2" t="s">
        <v>0</v>
      </c>
      <c r="C97">
        <v>32</v>
      </c>
      <c r="D97">
        <v>0</v>
      </c>
      <c r="E97" s="6"/>
      <c r="I97" s="55">
        <v>92</v>
      </c>
      <c r="J97" s="33">
        <f t="shared" si="63"/>
        <v>0</v>
      </c>
      <c r="K97" s="33">
        <f t="shared" si="64"/>
        <v>0</v>
      </c>
      <c r="L97" s="33">
        <f t="shared" si="65"/>
        <v>70</v>
      </c>
      <c r="M97" s="33">
        <f t="shared" si="66"/>
        <v>0</v>
      </c>
      <c r="N97" s="33">
        <f t="shared" si="46"/>
        <v>0</v>
      </c>
      <c r="O97" s="34">
        <f t="shared" si="47"/>
        <v>256.66666666666669</v>
      </c>
      <c r="P97" s="55">
        <v>92</v>
      </c>
      <c r="Q97" s="33">
        <f t="shared" si="61"/>
        <v>9.75</v>
      </c>
      <c r="R97" s="33">
        <f t="shared" si="67"/>
        <v>405.99</v>
      </c>
      <c r="S97" s="33">
        <f t="shared" si="68"/>
        <v>227.35440000000003</v>
      </c>
      <c r="T97" s="33">
        <f t="shared" si="48"/>
        <v>55.710256354112509</v>
      </c>
      <c r="U97" s="33">
        <f t="shared" si="62"/>
        <v>70</v>
      </c>
      <c r="V97" s="33">
        <f t="shared" si="49"/>
        <v>10</v>
      </c>
      <c r="W97" s="33">
        <v>0</v>
      </c>
      <c r="X97" s="33">
        <f t="shared" si="50"/>
        <v>786.33760981674595</v>
      </c>
      <c r="Y97" s="38">
        <f t="shared" si="51"/>
        <v>529.67094315007921</v>
      </c>
      <c r="AA97" s="71">
        <v>92</v>
      </c>
      <c r="AB97" s="33">
        <f t="shared" si="52"/>
        <v>0</v>
      </c>
      <c r="AC97" s="308">
        <f t="shared" si="77"/>
        <v>0</v>
      </c>
      <c r="AD97" s="101">
        <f t="shared" si="53"/>
        <v>0</v>
      </c>
      <c r="AE97" s="101">
        <f t="shared" si="54"/>
        <v>0</v>
      </c>
      <c r="AF97" s="197">
        <f t="shared" si="73"/>
        <v>32.209634256505396</v>
      </c>
      <c r="AG97" s="197">
        <f t="shared" si="74"/>
        <v>0</v>
      </c>
      <c r="AH97" s="197">
        <f t="shared" si="75"/>
        <v>0</v>
      </c>
      <c r="AI97" s="202">
        <f t="shared" si="76"/>
        <v>32.209634256505396</v>
      </c>
      <c r="AK97" s="71">
        <v>92</v>
      </c>
      <c r="AL97" s="33">
        <f t="shared" si="55"/>
        <v>0</v>
      </c>
      <c r="AM97" s="33">
        <f t="shared" si="56"/>
        <v>0</v>
      </c>
      <c r="AN97" s="33">
        <f t="shared" si="57"/>
        <v>0</v>
      </c>
      <c r="AO97" s="33">
        <f t="shared" si="58"/>
        <v>0</v>
      </c>
      <c r="AP97" s="33">
        <f t="shared" si="59"/>
        <v>0</v>
      </c>
      <c r="AQ97" s="197">
        <f t="shared" si="60"/>
        <v>0</v>
      </c>
      <c r="AR97" s="197">
        <f t="shared" si="60"/>
        <v>0</v>
      </c>
      <c r="AS97" s="197">
        <f t="shared" si="60"/>
        <v>0</v>
      </c>
      <c r="AT97" s="197">
        <f t="shared" si="60"/>
        <v>0</v>
      </c>
      <c r="AU97" s="33"/>
      <c r="AV97" s="33"/>
      <c r="AW97" s="33"/>
      <c r="AX97" s="33"/>
      <c r="AY97" s="76"/>
    </row>
    <row r="98" spans="2:51">
      <c r="B98" s="2" t="s">
        <v>1</v>
      </c>
      <c r="C98">
        <v>45</v>
      </c>
      <c r="D98">
        <v>0</v>
      </c>
      <c r="E98" s="6"/>
      <c r="I98" s="55">
        <v>93</v>
      </c>
      <c r="J98" s="33">
        <f t="shared" si="63"/>
        <v>0</v>
      </c>
      <c r="K98" s="33">
        <f t="shared" si="64"/>
        <v>0</v>
      </c>
      <c r="L98" s="33">
        <f t="shared" si="65"/>
        <v>70</v>
      </c>
      <c r="M98" s="33">
        <f t="shared" si="66"/>
        <v>0</v>
      </c>
      <c r="N98" s="33">
        <f t="shared" si="46"/>
        <v>0</v>
      </c>
      <c r="O98" s="34">
        <f t="shared" si="47"/>
        <v>256.66666666666669</v>
      </c>
      <c r="P98" s="55">
        <v>93</v>
      </c>
      <c r="Q98" s="33">
        <f t="shared" si="61"/>
        <v>9.75</v>
      </c>
      <c r="R98" s="33">
        <f t="shared" si="67"/>
        <v>415.74</v>
      </c>
      <c r="S98" s="33">
        <f t="shared" si="68"/>
        <v>232.81440000000003</v>
      </c>
      <c r="T98" s="33">
        <f t="shared" si="48"/>
        <v>56.890789192015156</v>
      </c>
      <c r="U98" s="33">
        <f t="shared" si="62"/>
        <v>70</v>
      </c>
      <c r="V98" s="33">
        <f t="shared" si="49"/>
        <v>10</v>
      </c>
      <c r="W98" s="33">
        <v>0</v>
      </c>
      <c r="X98" s="33">
        <f t="shared" si="50"/>
        <v>797.90320450942636</v>
      </c>
      <c r="Y98" s="38">
        <f t="shared" si="51"/>
        <v>541.23653784275962</v>
      </c>
      <c r="AA98" s="71">
        <v>93</v>
      </c>
      <c r="AB98" s="33">
        <f t="shared" si="52"/>
        <v>0</v>
      </c>
      <c r="AC98" s="308">
        <f t="shared" si="77"/>
        <v>0</v>
      </c>
      <c r="AD98" s="101">
        <f t="shared" si="53"/>
        <v>0</v>
      </c>
      <c r="AE98" s="101">
        <f t="shared" si="54"/>
        <v>0</v>
      </c>
      <c r="AF98" s="197">
        <f t="shared" si="73"/>
        <v>31.578022974672347</v>
      </c>
      <c r="AG98" s="197">
        <f t="shared" si="74"/>
        <v>0</v>
      </c>
      <c r="AH98" s="197">
        <f t="shared" si="75"/>
        <v>0</v>
      </c>
      <c r="AI98" s="202">
        <f t="shared" si="76"/>
        <v>31.578022974672347</v>
      </c>
      <c r="AK98" s="71">
        <v>93</v>
      </c>
      <c r="AL98" s="33">
        <f t="shared" si="55"/>
        <v>0</v>
      </c>
      <c r="AM98" s="33">
        <f t="shared" si="56"/>
        <v>0</v>
      </c>
      <c r="AN98" s="33">
        <f t="shared" si="57"/>
        <v>0</v>
      </c>
      <c r="AO98" s="33">
        <f t="shared" si="58"/>
        <v>0</v>
      </c>
      <c r="AP98" s="33">
        <f t="shared" si="59"/>
        <v>0</v>
      </c>
      <c r="AQ98" s="197">
        <f t="shared" si="60"/>
        <v>0</v>
      </c>
      <c r="AR98" s="197">
        <f t="shared" si="60"/>
        <v>0</v>
      </c>
      <c r="AS98" s="197">
        <f t="shared" si="60"/>
        <v>0</v>
      </c>
      <c r="AT98" s="197">
        <f t="shared" si="60"/>
        <v>0</v>
      </c>
      <c r="AU98" s="33"/>
      <c r="AV98" s="33"/>
      <c r="AW98" s="33"/>
      <c r="AX98" s="33"/>
      <c r="AY98" s="76"/>
    </row>
    <row r="99" spans="2:51">
      <c r="B99" s="2" t="s">
        <v>2</v>
      </c>
      <c r="C99">
        <v>70</v>
      </c>
      <c r="D99">
        <v>0</v>
      </c>
      <c r="E99" s="6"/>
      <c r="I99" s="55">
        <v>94</v>
      </c>
      <c r="J99" s="33">
        <f t="shared" si="63"/>
        <v>0</v>
      </c>
      <c r="K99" s="33">
        <f t="shared" si="64"/>
        <v>0</v>
      </c>
      <c r="L99" s="33">
        <f t="shared" si="65"/>
        <v>70</v>
      </c>
      <c r="M99" s="33">
        <f t="shared" si="66"/>
        <v>0</v>
      </c>
      <c r="N99" s="33">
        <f t="shared" si="46"/>
        <v>0</v>
      </c>
      <c r="O99" s="34">
        <f t="shared" si="47"/>
        <v>256.66666666666669</v>
      </c>
      <c r="P99" s="55">
        <v>94</v>
      </c>
      <c r="Q99" s="33">
        <f t="shared" si="61"/>
        <v>9.75</v>
      </c>
      <c r="R99" s="33">
        <f t="shared" si="67"/>
        <v>425.49</v>
      </c>
      <c r="S99" s="33">
        <f t="shared" si="68"/>
        <v>238.27440000000001</v>
      </c>
      <c r="T99" s="33">
        <f t="shared" si="48"/>
        <v>58.06810345743785</v>
      </c>
      <c r="U99" s="33">
        <f t="shared" si="62"/>
        <v>70</v>
      </c>
      <c r="V99" s="33">
        <f t="shared" si="49"/>
        <v>10</v>
      </c>
      <c r="W99" s="33">
        <v>0</v>
      </c>
      <c r="X99" s="33">
        <f t="shared" si="50"/>
        <v>809.46319352170428</v>
      </c>
      <c r="Y99" s="38">
        <f t="shared" si="51"/>
        <v>552.79652685503765</v>
      </c>
      <c r="AA99" s="71">
        <v>94</v>
      </c>
      <c r="AB99" s="33">
        <f t="shared" si="52"/>
        <v>0</v>
      </c>
      <c r="AC99" s="308">
        <f t="shared" si="77"/>
        <v>0</v>
      </c>
      <c r="AD99" s="101">
        <f t="shared" si="53"/>
        <v>0</v>
      </c>
      <c r="AE99" s="101">
        <f t="shared" si="54"/>
        <v>0</v>
      </c>
      <c r="AF99" s="197">
        <f t="shared" si="73"/>
        <v>30.958797204831203</v>
      </c>
      <c r="AG99" s="197">
        <f t="shared" si="74"/>
        <v>0</v>
      </c>
      <c r="AH99" s="197">
        <f t="shared" si="75"/>
        <v>0</v>
      </c>
      <c r="AI99" s="202">
        <f t="shared" si="76"/>
        <v>30.958797204831203</v>
      </c>
      <c r="AK99" s="71">
        <v>94</v>
      </c>
      <c r="AL99" s="33">
        <f t="shared" si="55"/>
        <v>0</v>
      </c>
      <c r="AM99" s="33">
        <f t="shared" si="56"/>
        <v>0</v>
      </c>
      <c r="AN99" s="33">
        <f t="shared" si="57"/>
        <v>0</v>
      </c>
      <c r="AO99" s="33">
        <f t="shared" si="58"/>
        <v>0</v>
      </c>
      <c r="AP99" s="33">
        <f t="shared" si="59"/>
        <v>0</v>
      </c>
      <c r="AQ99" s="197">
        <f t="shared" si="60"/>
        <v>0</v>
      </c>
      <c r="AR99" s="197">
        <f t="shared" si="60"/>
        <v>0</v>
      </c>
      <c r="AS99" s="197">
        <f t="shared" si="60"/>
        <v>0</v>
      </c>
      <c r="AT99" s="197">
        <f t="shared" si="60"/>
        <v>0</v>
      </c>
      <c r="AU99" s="33"/>
      <c r="AV99" s="33"/>
      <c r="AW99" s="33"/>
      <c r="AX99" s="33"/>
      <c r="AY99" s="76"/>
    </row>
    <row r="100" spans="2:51">
      <c r="B100" s="2" t="s">
        <v>135</v>
      </c>
      <c r="C100">
        <v>70</v>
      </c>
      <c r="D100">
        <v>0</v>
      </c>
      <c r="E100" s="6"/>
      <c r="I100" s="55">
        <v>95</v>
      </c>
      <c r="J100" s="33">
        <f t="shared" si="63"/>
        <v>0</v>
      </c>
      <c r="K100" s="33">
        <f t="shared" si="64"/>
        <v>0</v>
      </c>
      <c r="L100" s="33">
        <f t="shared" si="65"/>
        <v>70</v>
      </c>
      <c r="M100" s="33">
        <f t="shared" si="66"/>
        <v>0</v>
      </c>
      <c r="N100" s="33">
        <f t="shared" si="46"/>
        <v>0</v>
      </c>
      <c r="O100" s="34">
        <f t="shared" si="47"/>
        <v>256.66666666666669</v>
      </c>
      <c r="P100" s="55">
        <v>95</v>
      </c>
      <c r="Q100" s="33">
        <f t="shared" si="61"/>
        <v>9.75</v>
      </c>
      <c r="R100" s="33">
        <f t="shared" si="67"/>
        <v>435.24</v>
      </c>
      <c r="S100" s="33">
        <f t="shared" si="68"/>
        <v>243.73440000000002</v>
      </c>
      <c r="T100" s="33">
        <f t="shared" si="48"/>
        <v>59.242281392848817</v>
      </c>
      <c r="U100" s="33">
        <f t="shared" si="62"/>
        <v>70</v>
      </c>
      <c r="V100" s="33">
        <f t="shared" si="49"/>
        <v>10</v>
      </c>
      <c r="W100" s="33">
        <v>0</v>
      </c>
      <c r="X100" s="33">
        <f t="shared" si="50"/>
        <v>821.01772009254501</v>
      </c>
      <c r="Y100" s="38">
        <f t="shared" si="51"/>
        <v>564.35105342587826</v>
      </c>
      <c r="AA100" s="71">
        <v>95</v>
      </c>
      <c r="AB100" s="33">
        <f t="shared" si="52"/>
        <v>0</v>
      </c>
      <c r="AC100" s="308">
        <f t="shared" si="77"/>
        <v>0</v>
      </c>
      <c r="AD100" s="101">
        <f t="shared" si="53"/>
        <v>0</v>
      </c>
      <c r="AE100" s="101">
        <f t="shared" si="54"/>
        <v>0</v>
      </c>
      <c r="AF100" s="197">
        <f t="shared" si="73"/>
        <v>30.351714074646218</v>
      </c>
      <c r="AG100" s="197">
        <f t="shared" si="74"/>
        <v>0</v>
      </c>
      <c r="AH100" s="197">
        <f t="shared" si="75"/>
        <v>0</v>
      </c>
      <c r="AI100" s="202">
        <f t="shared" si="76"/>
        <v>30.351714074646218</v>
      </c>
      <c r="AK100" s="71">
        <v>95</v>
      </c>
      <c r="AL100" s="33">
        <f t="shared" si="55"/>
        <v>0</v>
      </c>
      <c r="AM100" s="33">
        <f t="shared" si="56"/>
        <v>0</v>
      </c>
      <c r="AN100" s="33">
        <f t="shared" si="57"/>
        <v>0</v>
      </c>
      <c r="AO100" s="33">
        <f t="shared" si="58"/>
        <v>0</v>
      </c>
      <c r="AP100" s="33">
        <f t="shared" si="59"/>
        <v>0</v>
      </c>
      <c r="AQ100" s="197">
        <f t="shared" si="60"/>
        <v>0</v>
      </c>
      <c r="AR100" s="197">
        <f t="shared" si="60"/>
        <v>0</v>
      </c>
      <c r="AS100" s="197">
        <f t="shared" si="60"/>
        <v>0</v>
      </c>
      <c r="AT100" s="197">
        <f t="shared" si="60"/>
        <v>0</v>
      </c>
      <c r="AU100" s="33"/>
      <c r="AV100" s="33"/>
      <c r="AW100" s="33"/>
      <c r="AX100" s="33"/>
      <c r="AY100" s="76"/>
    </row>
    <row r="101" spans="2:51">
      <c r="C101" s="27"/>
      <c r="E101" s="6"/>
      <c r="I101" s="55">
        <v>96</v>
      </c>
      <c r="J101" s="33">
        <f t="shared" si="63"/>
        <v>0</v>
      </c>
      <c r="K101" s="33">
        <f t="shared" si="64"/>
        <v>0</v>
      </c>
      <c r="L101" s="33">
        <f t="shared" si="65"/>
        <v>70</v>
      </c>
      <c r="M101" s="33">
        <f t="shared" si="66"/>
        <v>0</v>
      </c>
      <c r="N101" s="33">
        <f t="shared" si="46"/>
        <v>0</v>
      </c>
      <c r="O101" s="34">
        <f t="shared" si="47"/>
        <v>256.66666666666669</v>
      </c>
      <c r="P101" s="55">
        <v>96</v>
      </c>
      <c r="Q101" s="33">
        <f t="shared" si="61"/>
        <v>-32.759999999999991</v>
      </c>
      <c r="R101" s="33">
        <f t="shared" si="67"/>
        <v>402.48</v>
      </c>
      <c r="S101" s="33">
        <f t="shared" si="68"/>
        <v>225.38880000000003</v>
      </c>
      <c r="T101" s="33">
        <f t="shared" si="48"/>
        <v>55.284460117161593</v>
      </c>
      <c r="U101" s="33">
        <f t="shared" si="62"/>
        <v>70</v>
      </c>
      <c r="V101" s="33">
        <f t="shared" si="49"/>
        <v>10</v>
      </c>
      <c r="W101" s="33">
        <v>0</v>
      </c>
      <c r="X101" s="33">
        <f t="shared" si="50"/>
        <v>782.17259470405645</v>
      </c>
      <c r="Y101" s="38">
        <f t="shared" si="51"/>
        <v>525.50592803738982</v>
      </c>
      <c r="AA101" s="71">
        <v>96</v>
      </c>
      <c r="AB101" s="33">
        <f t="shared" si="52"/>
        <v>0</v>
      </c>
      <c r="AC101" s="308">
        <f t="shared" si="77"/>
        <v>0</v>
      </c>
      <c r="AD101" s="101">
        <f t="shared" si="53"/>
        <v>0</v>
      </c>
      <c r="AE101" s="101">
        <f t="shared" si="54"/>
        <v>0</v>
      </c>
      <c r="AF101" s="197">
        <f t="shared" si="73"/>
        <v>29.75653547436001</v>
      </c>
      <c r="AG101" s="197">
        <f t="shared" si="74"/>
        <v>0</v>
      </c>
      <c r="AH101" s="197">
        <f t="shared" si="75"/>
        <v>0</v>
      </c>
      <c r="AI101" s="202">
        <f t="shared" si="76"/>
        <v>29.75653547436001</v>
      </c>
      <c r="AK101" s="71">
        <v>96</v>
      </c>
      <c r="AL101" s="33">
        <f t="shared" si="55"/>
        <v>0</v>
      </c>
      <c r="AM101" s="33">
        <f t="shared" si="56"/>
        <v>0</v>
      </c>
      <c r="AN101" s="33">
        <f t="shared" si="57"/>
        <v>0</v>
      </c>
      <c r="AO101" s="33">
        <f t="shared" si="58"/>
        <v>0</v>
      </c>
      <c r="AP101" s="33">
        <f t="shared" si="59"/>
        <v>0</v>
      </c>
      <c r="AQ101" s="197">
        <f t="shared" si="60"/>
        <v>0</v>
      </c>
      <c r="AR101" s="197">
        <f t="shared" si="60"/>
        <v>0</v>
      </c>
      <c r="AS101" s="197">
        <f t="shared" si="60"/>
        <v>0</v>
      </c>
      <c r="AT101" s="197">
        <f t="shared" si="60"/>
        <v>0</v>
      </c>
      <c r="AU101" s="33"/>
      <c r="AV101" s="33"/>
      <c r="AW101" s="33"/>
      <c r="AX101" s="33"/>
      <c r="AY101" s="76"/>
    </row>
    <row r="102" spans="2:51">
      <c r="C102" s="27"/>
      <c r="E102" s="6"/>
      <c r="I102" s="55">
        <v>97</v>
      </c>
      <c r="J102" s="33">
        <f t="shared" si="63"/>
        <v>0</v>
      </c>
      <c r="K102" s="33">
        <f t="shared" si="64"/>
        <v>0</v>
      </c>
      <c r="L102" s="33">
        <f t="shared" si="65"/>
        <v>70</v>
      </c>
      <c r="M102" s="33">
        <f t="shared" si="66"/>
        <v>0</v>
      </c>
      <c r="N102" s="33">
        <f t="shared" si="46"/>
        <v>0</v>
      </c>
      <c r="O102" s="34">
        <f t="shared" si="47"/>
        <v>256.66666666666669</v>
      </c>
      <c r="P102" s="55">
        <v>97</v>
      </c>
      <c r="Q102" s="33">
        <f t="shared" si="61"/>
        <v>9.36</v>
      </c>
      <c r="R102" s="33">
        <f t="shared" si="67"/>
        <v>411.84000000000003</v>
      </c>
      <c r="S102" s="33">
        <f t="shared" si="68"/>
        <v>230.63040000000004</v>
      </c>
      <c r="T102" s="33">
        <f t="shared" si="48"/>
        <v>56.418967028503253</v>
      </c>
      <c r="U102" s="33">
        <f t="shared" si="62"/>
        <v>70</v>
      </c>
      <c r="V102" s="33">
        <f t="shared" si="49"/>
        <v>10</v>
      </c>
      <c r="W102" s="33">
        <v>0</v>
      </c>
      <c r="X102" s="33">
        <f t="shared" si="50"/>
        <v>793.2776475746432</v>
      </c>
      <c r="Y102" s="38">
        <f t="shared" si="51"/>
        <v>536.61098090797645</v>
      </c>
      <c r="AA102" s="71">
        <v>97</v>
      </c>
      <c r="AB102" s="33">
        <f t="shared" si="52"/>
        <v>0</v>
      </c>
      <c r="AC102" s="308">
        <f t="shared" si="77"/>
        <v>0</v>
      </c>
      <c r="AD102" s="101">
        <f t="shared" si="53"/>
        <v>0</v>
      </c>
      <c r="AE102" s="101">
        <f t="shared" si="54"/>
        <v>0</v>
      </c>
      <c r="AF102" s="197">
        <f t="shared" si="73"/>
        <v>29.173027963402316</v>
      </c>
      <c r="AG102" s="197">
        <f t="shared" si="74"/>
        <v>0</v>
      </c>
      <c r="AH102" s="197">
        <f t="shared" si="75"/>
        <v>0</v>
      </c>
      <c r="AI102" s="202">
        <f t="shared" si="76"/>
        <v>29.173027963402316</v>
      </c>
      <c r="AK102" s="71">
        <v>97</v>
      </c>
      <c r="AL102" s="33">
        <f t="shared" si="55"/>
        <v>0</v>
      </c>
      <c r="AM102" s="33">
        <f t="shared" si="56"/>
        <v>0</v>
      </c>
      <c r="AN102" s="33">
        <f t="shared" si="57"/>
        <v>0</v>
      </c>
      <c r="AO102" s="33">
        <f t="shared" si="58"/>
        <v>0</v>
      </c>
      <c r="AP102" s="33">
        <f t="shared" si="59"/>
        <v>0</v>
      </c>
      <c r="AQ102" s="197">
        <f t="shared" si="60"/>
        <v>0</v>
      </c>
      <c r="AR102" s="197">
        <f t="shared" si="60"/>
        <v>0</v>
      </c>
      <c r="AS102" s="197">
        <f t="shared" si="60"/>
        <v>0</v>
      </c>
      <c r="AT102" s="197">
        <f t="shared" si="60"/>
        <v>0</v>
      </c>
      <c r="AU102" s="33"/>
      <c r="AV102" s="33"/>
      <c r="AW102" s="33"/>
      <c r="AX102" s="33"/>
      <c r="AY102" s="76"/>
    </row>
    <row r="103" spans="2:51" ht="16">
      <c r="C103" s="25" t="s">
        <v>157</v>
      </c>
      <c r="D103" s="160" t="s">
        <v>158</v>
      </c>
      <c r="F103" s="193" t="s">
        <v>232</v>
      </c>
      <c r="I103" s="55">
        <v>98</v>
      </c>
      <c r="J103" s="33">
        <f t="shared" si="63"/>
        <v>0</v>
      </c>
      <c r="K103" s="33">
        <f t="shared" si="64"/>
        <v>0</v>
      </c>
      <c r="L103" s="33">
        <f t="shared" si="65"/>
        <v>70</v>
      </c>
      <c r="M103" s="33">
        <f t="shared" si="66"/>
        <v>0</v>
      </c>
      <c r="N103" s="33">
        <f t="shared" si="46"/>
        <v>0</v>
      </c>
      <c r="O103" s="34">
        <f t="shared" si="47"/>
        <v>256.66666666666669</v>
      </c>
      <c r="P103" s="55">
        <v>98</v>
      </c>
      <c r="Q103" s="33">
        <f t="shared" si="61"/>
        <v>9.36</v>
      </c>
      <c r="R103" s="33">
        <f t="shared" si="67"/>
        <v>421.20000000000005</v>
      </c>
      <c r="S103" s="33">
        <f t="shared" si="68"/>
        <v>235.87200000000004</v>
      </c>
      <c r="T103" s="33">
        <f t="shared" si="48"/>
        <v>57.550476347015277</v>
      </c>
      <c r="U103" s="33">
        <f t="shared" si="62"/>
        <v>70</v>
      </c>
      <c r="V103" s="33">
        <f t="shared" si="49"/>
        <v>10</v>
      </c>
      <c r="W103" s="33">
        <v>0</v>
      </c>
      <c r="X103" s="33">
        <f t="shared" si="50"/>
        <v>804.37747963771835</v>
      </c>
      <c r="Y103" s="38">
        <f t="shared" si="51"/>
        <v>547.71081297105161</v>
      </c>
      <c r="AA103" s="71">
        <v>98</v>
      </c>
      <c r="AB103" s="33">
        <f t="shared" si="52"/>
        <v>0</v>
      </c>
      <c r="AC103" s="308">
        <f t="shared" si="77"/>
        <v>0</v>
      </c>
      <c r="AD103" s="101">
        <f t="shared" si="53"/>
        <v>0</v>
      </c>
      <c r="AE103" s="101">
        <f t="shared" si="54"/>
        <v>0</v>
      </c>
      <c r="AF103" s="197">
        <f t="shared" si="73"/>
        <v>28.600962678830061</v>
      </c>
      <c r="AG103" s="197">
        <f t="shared" si="74"/>
        <v>0</v>
      </c>
      <c r="AH103" s="197">
        <f t="shared" si="75"/>
        <v>0</v>
      </c>
      <c r="AI103" s="202">
        <f t="shared" si="76"/>
        <v>28.600962678830061</v>
      </c>
      <c r="AK103" s="71">
        <v>98</v>
      </c>
      <c r="AL103" s="33">
        <f t="shared" si="55"/>
        <v>0</v>
      </c>
      <c r="AM103" s="33">
        <f t="shared" si="56"/>
        <v>0</v>
      </c>
      <c r="AN103" s="33">
        <f t="shared" si="57"/>
        <v>0</v>
      </c>
      <c r="AO103" s="33">
        <f t="shared" si="58"/>
        <v>0</v>
      </c>
      <c r="AP103" s="33">
        <f t="shared" si="59"/>
        <v>0</v>
      </c>
      <c r="AQ103" s="197">
        <f t="shared" si="60"/>
        <v>0</v>
      </c>
      <c r="AR103" s="197">
        <f t="shared" si="60"/>
        <v>0</v>
      </c>
      <c r="AS103" s="197">
        <f t="shared" si="60"/>
        <v>0</v>
      </c>
      <c r="AT103" s="197">
        <f t="shared" si="60"/>
        <v>0</v>
      </c>
      <c r="AU103" s="33"/>
      <c r="AV103" s="33"/>
      <c r="AW103" s="33"/>
      <c r="AX103" s="33"/>
      <c r="AY103" s="76"/>
    </row>
    <row r="104" spans="2:51">
      <c r="B104" t="s">
        <v>78</v>
      </c>
      <c r="C104">
        <v>1.52</v>
      </c>
      <c r="D104">
        <v>35</v>
      </c>
      <c r="F104" s="192" t="s">
        <v>228</v>
      </c>
      <c r="G104" s="24">
        <v>0.25</v>
      </c>
      <c r="I104" s="55">
        <v>99</v>
      </c>
      <c r="J104" s="33">
        <f t="shared" si="63"/>
        <v>0</v>
      </c>
      <c r="K104" s="33">
        <f t="shared" si="64"/>
        <v>0</v>
      </c>
      <c r="L104" s="33">
        <f t="shared" si="65"/>
        <v>70</v>
      </c>
      <c r="M104" s="33">
        <f t="shared" si="66"/>
        <v>0</v>
      </c>
      <c r="N104" s="33">
        <f t="shared" si="46"/>
        <v>0</v>
      </c>
      <c r="O104" s="34">
        <f t="shared" si="47"/>
        <v>256.66666666666669</v>
      </c>
      <c r="P104" s="55">
        <v>99</v>
      </c>
      <c r="Q104" s="33">
        <f t="shared" si="61"/>
        <v>9.36</v>
      </c>
      <c r="R104" s="33">
        <f t="shared" si="67"/>
        <v>430.56000000000006</v>
      </c>
      <c r="S104" s="33">
        <f t="shared" si="68"/>
        <v>241.11360000000005</v>
      </c>
      <c r="T104" s="33">
        <f t="shared" si="48"/>
        <v>58.679062355898857</v>
      </c>
      <c r="U104" s="33">
        <f t="shared" si="62"/>
        <v>70</v>
      </c>
      <c r="V104" s="33">
        <f t="shared" si="49"/>
        <v>10</v>
      </c>
      <c r="W104" s="33">
        <v>0</v>
      </c>
      <c r="X104" s="33">
        <f t="shared" si="50"/>
        <v>815.4722202698573</v>
      </c>
      <c r="Y104" s="38">
        <f t="shared" si="51"/>
        <v>558.80555360319067</v>
      </c>
      <c r="AA104" s="71">
        <v>99</v>
      </c>
      <c r="AB104" s="33">
        <f t="shared" si="52"/>
        <v>0</v>
      </c>
      <c r="AC104" s="308">
        <f t="shared" si="77"/>
        <v>0</v>
      </c>
      <c r="AD104" s="101">
        <f t="shared" si="53"/>
        <v>0</v>
      </c>
      <c r="AE104" s="101">
        <f t="shared" si="54"/>
        <v>0</v>
      </c>
      <c r="AF104" s="197">
        <f t="shared" si="73"/>
        <v>28.040115245562902</v>
      </c>
      <c r="AG104" s="197">
        <f t="shared" si="74"/>
        <v>0</v>
      </c>
      <c r="AH104" s="197">
        <f t="shared" si="75"/>
        <v>0</v>
      </c>
      <c r="AI104" s="202">
        <f t="shared" si="76"/>
        <v>28.040115245562902</v>
      </c>
      <c r="AK104" s="71">
        <v>99</v>
      </c>
      <c r="AL104" s="33">
        <f t="shared" si="55"/>
        <v>0</v>
      </c>
      <c r="AM104" s="33">
        <f t="shared" si="56"/>
        <v>0</v>
      </c>
      <c r="AN104" s="33">
        <f t="shared" si="57"/>
        <v>0</v>
      </c>
      <c r="AO104" s="33">
        <f t="shared" si="58"/>
        <v>0</v>
      </c>
      <c r="AP104" s="33">
        <f t="shared" si="59"/>
        <v>0</v>
      </c>
      <c r="AQ104" s="197">
        <f t="shared" si="60"/>
        <v>0</v>
      </c>
      <c r="AR104" s="197">
        <f t="shared" si="60"/>
        <v>0</v>
      </c>
      <c r="AS104" s="197">
        <f t="shared" si="60"/>
        <v>0</v>
      </c>
      <c r="AT104" s="197">
        <f t="shared" si="60"/>
        <v>0</v>
      </c>
      <c r="AU104" s="33"/>
      <c r="AV104" s="33"/>
      <c r="AW104" s="33"/>
      <c r="AX104" s="33"/>
      <c r="AY104" s="76"/>
    </row>
    <row r="105" spans="2:51">
      <c r="B105" t="s">
        <v>80</v>
      </c>
      <c r="C105">
        <v>0</v>
      </c>
      <c r="D105">
        <v>2</v>
      </c>
      <c r="F105" s="192" t="s">
        <v>230</v>
      </c>
      <c r="G105" s="24">
        <v>1.03</v>
      </c>
      <c r="I105" s="55">
        <v>100</v>
      </c>
      <c r="J105" s="33">
        <f t="shared" si="63"/>
        <v>0</v>
      </c>
      <c r="K105" s="33">
        <f t="shared" si="64"/>
        <v>0</v>
      </c>
      <c r="L105" s="33">
        <f t="shared" si="65"/>
        <v>70</v>
      </c>
      <c r="M105" s="33">
        <f t="shared" si="66"/>
        <v>0</v>
      </c>
      <c r="N105" s="33">
        <f t="shared" si="46"/>
        <v>0</v>
      </c>
      <c r="O105" s="34">
        <f t="shared" si="47"/>
        <v>256.66666666666669</v>
      </c>
      <c r="P105" s="55">
        <v>100</v>
      </c>
      <c r="Q105" s="33">
        <f t="shared" si="61"/>
        <v>9.36</v>
      </c>
      <c r="R105" s="33">
        <f t="shared" si="67"/>
        <v>439.92000000000007</v>
      </c>
      <c r="S105" s="33">
        <f t="shared" si="68"/>
        <v>246.35520000000005</v>
      </c>
      <c r="T105" s="33">
        <f t="shared" si="48"/>
        <v>59.804795924194437</v>
      </c>
      <c r="U105" s="33">
        <f t="shared" si="62"/>
        <v>70</v>
      </c>
      <c r="V105" s="33">
        <f t="shared" si="49"/>
        <v>10</v>
      </c>
      <c r="W105" s="33">
        <v>0</v>
      </c>
      <c r="X105" s="33">
        <f t="shared" si="50"/>
        <v>826.56199290130542</v>
      </c>
      <c r="Y105" s="38">
        <f t="shared" si="51"/>
        <v>569.89532623463879</v>
      </c>
      <c r="AA105" s="71">
        <v>100</v>
      </c>
      <c r="AB105" s="33">
        <f t="shared" si="52"/>
        <v>282</v>
      </c>
      <c r="AC105" s="308">
        <f t="shared" si="77"/>
        <v>0.47499999999999998</v>
      </c>
      <c r="AD105" s="101">
        <f t="shared" si="53"/>
        <v>0</v>
      </c>
      <c r="AE105" s="101">
        <f t="shared" si="54"/>
        <v>0</v>
      </c>
      <c r="AF105" s="197">
        <f t="shared" si="73"/>
        <v>156.85099449923899</v>
      </c>
      <c r="AG105" s="197">
        <f t="shared" si="74"/>
        <v>0</v>
      </c>
      <c r="AH105" s="197">
        <f t="shared" si="75"/>
        <v>0</v>
      </c>
      <c r="AI105" s="202">
        <f t="shared" si="76"/>
        <v>156.85099449923899</v>
      </c>
      <c r="AK105" s="71">
        <v>100</v>
      </c>
      <c r="AL105" s="33">
        <f t="shared" si="55"/>
        <v>282</v>
      </c>
      <c r="AM105" s="33">
        <f t="shared" si="56"/>
        <v>0.95</v>
      </c>
      <c r="AN105" s="33">
        <f t="shared" si="57"/>
        <v>0</v>
      </c>
      <c r="AO105" s="33">
        <f t="shared" si="58"/>
        <v>0</v>
      </c>
      <c r="AP105" s="33">
        <f t="shared" si="59"/>
        <v>5.0000000000000044E-2</v>
      </c>
      <c r="AQ105" s="197">
        <f t="shared" si="60"/>
        <v>267.89999999999998</v>
      </c>
      <c r="AR105" s="197">
        <f t="shared" si="60"/>
        <v>0</v>
      </c>
      <c r="AS105" s="197">
        <f t="shared" si="60"/>
        <v>0</v>
      </c>
      <c r="AT105" s="197">
        <f t="shared" si="60"/>
        <v>14.100000000000012</v>
      </c>
      <c r="AU105" s="33"/>
      <c r="AV105" s="33"/>
      <c r="AW105" s="33"/>
      <c r="AX105" s="33"/>
      <c r="AY105" s="76"/>
    </row>
    <row r="106" spans="2:51" ht="30">
      <c r="B106" t="s">
        <v>81</v>
      </c>
      <c r="C106">
        <v>0.77</v>
      </c>
      <c r="D106">
        <v>25</v>
      </c>
      <c r="F106" s="192" t="s">
        <v>231</v>
      </c>
      <c r="G106" s="24">
        <v>0.59</v>
      </c>
      <c r="I106" s="55">
        <v>101</v>
      </c>
      <c r="J106" s="33">
        <f t="shared" si="63"/>
        <v>0</v>
      </c>
      <c r="K106" s="33">
        <f t="shared" si="64"/>
        <v>0</v>
      </c>
      <c r="L106" s="33">
        <f t="shared" si="65"/>
        <v>0</v>
      </c>
      <c r="M106" s="33">
        <f t="shared" si="66"/>
        <v>0</v>
      </c>
      <c r="N106" s="33">
        <f t="shared" si="46"/>
        <v>0</v>
      </c>
      <c r="O106" s="34">
        <f t="shared" si="47"/>
        <v>0</v>
      </c>
      <c r="P106" s="55">
        <v>101</v>
      </c>
      <c r="Q106" s="33">
        <f t="shared" si="61"/>
        <v>0</v>
      </c>
      <c r="R106" s="33">
        <f t="shared" si="67"/>
        <v>0</v>
      </c>
      <c r="S106" s="33">
        <f t="shared" si="68"/>
        <v>0</v>
      </c>
      <c r="T106" s="33">
        <f t="shared" si="48"/>
        <v>0</v>
      </c>
      <c r="U106" s="33">
        <f t="shared" si="62"/>
        <v>0</v>
      </c>
      <c r="V106" s="33">
        <f t="shared" si="49"/>
        <v>0</v>
      </c>
      <c r="W106" s="33">
        <v>0</v>
      </c>
      <c r="X106" s="33">
        <f t="shared" si="50"/>
        <v>0</v>
      </c>
      <c r="Y106" s="38">
        <f t="shared" si="51"/>
        <v>0</v>
      </c>
      <c r="AA106" s="71">
        <v>101</v>
      </c>
      <c r="AB106" s="33">
        <f t="shared" si="52"/>
        <v>0</v>
      </c>
      <c r="AC106" s="308">
        <f t="shared" si="77"/>
        <v>0</v>
      </c>
      <c r="AD106" s="101">
        <f t="shared" si="53"/>
        <v>0</v>
      </c>
      <c r="AE106" s="101">
        <f t="shared" si="54"/>
        <v>0</v>
      </c>
      <c r="AF106" s="197">
        <f t="shared" si="73"/>
        <v>0</v>
      </c>
      <c r="AG106" s="197">
        <f t="shared" si="74"/>
        <v>0</v>
      </c>
      <c r="AH106" s="197">
        <f t="shared" si="75"/>
        <v>0</v>
      </c>
      <c r="AI106" s="202">
        <f t="shared" si="76"/>
        <v>0</v>
      </c>
      <c r="AK106" s="71">
        <v>101</v>
      </c>
      <c r="AL106" s="33">
        <f t="shared" si="55"/>
        <v>0</v>
      </c>
      <c r="AM106" s="33">
        <f t="shared" si="56"/>
        <v>0</v>
      </c>
      <c r="AN106" s="33">
        <f t="shared" si="57"/>
        <v>0</v>
      </c>
      <c r="AO106" s="33">
        <f t="shared" si="58"/>
        <v>0</v>
      </c>
      <c r="AP106" s="33">
        <f t="shared" si="59"/>
        <v>0</v>
      </c>
      <c r="AQ106" s="197">
        <f t="shared" si="60"/>
        <v>0</v>
      </c>
      <c r="AR106" s="197">
        <f t="shared" si="60"/>
        <v>0</v>
      </c>
      <c r="AS106" s="197">
        <f t="shared" si="60"/>
        <v>0</v>
      </c>
      <c r="AT106" s="197">
        <f t="shared" si="60"/>
        <v>0</v>
      </c>
      <c r="AU106" s="33"/>
      <c r="AV106" s="33"/>
      <c r="AW106" s="33"/>
      <c r="AX106" s="33"/>
      <c r="AY106" s="76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192" t="s">
        <v>229</v>
      </c>
      <c r="G107" s="24">
        <v>0.43</v>
      </c>
      <c r="I107" s="55">
        <v>102</v>
      </c>
      <c r="J107" s="33">
        <f t="shared" si="63"/>
        <v>0</v>
      </c>
      <c r="K107" s="33">
        <f t="shared" si="64"/>
        <v>0</v>
      </c>
      <c r="L107" s="33">
        <f t="shared" si="65"/>
        <v>0</v>
      </c>
      <c r="M107" s="33">
        <f t="shared" si="66"/>
        <v>0</v>
      </c>
      <c r="N107" s="33">
        <f t="shared" si="46"/>
        <v>0</v>
      </c>
      <c r="O107" s="34">
        <f t="shared" si="47"/>
        <v>0</v>
      </c>
      <c r="P107" s="55">
        <v>102</v>
      </c>
      <c r="Q107" s="33">
        <f t="shared" si="61"/>
        <v>0</v>
      </c>
      <c r="R107" s="33">
        <f t="shared" si="67"/>
        <v>0</v>
      </c>
      <c r="S107" s="33">
        <f t="shared" si="68"/>
        <v>0</v>
      </c>
      <c r="T107" s="33">
        <f t="shared" si="48"/>
        <v>0</v>
      </c>
      <c r="U107" s="33">
        <f t="shared" si="62"/>
        <v>0</v>
      </c>
      <c r="V107" s="33">
        <f t="shared" si="49"/>
        <v>0</v>
      </c>
      <c r="W107" s="33">
        <v>0</v>
      </c>
      <c r="X107" s="33">
        <f t="shared" si="50"/>
        <v>0</v>
      </c>
      <c r="Y107" s="38">
        <f t="shared" si="51"/>
        <v>0</v>
      </c>
      <c r="AA107" s="71">
        <v>102</v>
      </c>
      <c r="AB107" s="33">
        <f t="shared" si="52"/>
        <v>0</v>
      </c>
      <c r="AC107" s="308">
        <f t="shared" si="77"/>
        <v>0</v>
      </c>
      <c r="AD107" s="101">
        <f t="shared" si="53"/>
        <v>0</v>
      </c>
      <c r="AE107" s="101">
        <f t="shared" si="54"/>
        <v>0</v>
      </c>
      <c r="AF107" s="197">
        <f t="shared" si="73"/>
        <v>0</v>
      </c>
      <c r="AG107" s="197">
        <f t="shared" si="74"/>
        <v>0</v>
      </c>
      <c r="AH107" s="197">
        <f t="shared" si="75"/>
        <v>0</v>
      </c>
      <c r="AI107" s="202">
        <f t="shared" si="76"/>
        <v>0</v>
      </c>
      <c r="AK107" s="71">
        <v>102</v>
      </c>
      <c r="AL107" s="33">
        <f t="shared" si="55"/>
        <v>0</v>
      </c>
      <c r="AM107" s="33">
        <f t="shared" si="56"/>
        <v>0</v>
      </c>
      <c r="AN107" s="33">
        <f t="shared" si="57"/>
        <v>0</v>
      </c>
      <c r="AO107" s="33">
        <f t="shared" si="58"/>
        <v>0</v>
      </c>
      <c r="AP107" s="33">
        <f t="shared" si="59"/>
        <v>0</v>
      </c>
      <c r="AQ107" s="197">
        <f t="shared" si="60"/>
        <v>0</v>
      </c>
      <c r="AR107" s="197">
        <f t="shared" si="60"/>
        <v>0</v>
      </c>
      <c r="AS107" s="197">
        <f t="shared" si="60"/>
        <v>0</v>
      </c>
      <c r="AT107" s="197">
        <f t="shared" si="60"/>
        <v>0</v>
      </c>
      <c r="AU107" s="33"/>
      <c r="AV107" s="33"/>
      <c r="AW107" s="33"/>
      <c r="AX107" s="33"/>
      <c r="AY107" s="76"/>
    </row>
    <row r="108" spans="2:51">
      <c r="B108" t="s">
        <v>79</v>
      </c>
      <c r="C108">
        <v>0.25</v>
      </c>
      <c r="D108">
        <v>0</v>
      </c>
      <c r="F108" s="194" t="s">
        <v>233</v>
      </c>
      <c r="G108" s="195">
        <f>G107</f>
        <v>0.43</v>
      </c>
      <c r="I108" s="55">
        <v>103</v>
      </c>
      <c r="J108" s="33">
        <f t="shared" si="63"/>
        <v>0</v>
      </c>
      <c r="K108" s="33">
        <f t="shared" si="64"/>
        <v>0</v>
      </c>
      <c r="L108" s="33">
        <f t="shared" si="65"/>
        <v>0</v>
      </c>
      <c r="M108" s="33">
        <f t="shared" si="66"/>
        <v>0</v>
      </c>
      <c r="N108" s="33">
        <f t="shared" si="46"/>
        <v>0</v>
      </c>
      <c r="O108" s="34">
        <f t="shared" si="47"/>
        <v>0</v>
      </c>
      <c r="P108" s="55">
        <v>103</v>
      </c>
      <c r="Q108" s="33">
        <f t="shared" si="61"/>
        <v>0</v>
      </c>
      <c r="R108" s="33">
        <f t="shared" si="67"/>
        <v>0</v>
      </c>
      <c r="S108" s="33">
        <f t="shared" si="68"/>
        <v>0</v>
      </c>
      <c r="T108" s="33">
        <f t="shared" si="48"/>
        <v>0</v>
      </c>
      <c r="U108" s="33">
        <f t="shared" si="62"/>
        <v>0</v>
      </c>
      <c r="V108" s="33">
        <f t="shared" si="49"/>
        <v>0</v>
      </c>
      <c r="W108" s="33">
        <v>0</v>
      </c>
      <c r="X108" s="33">
        <f t="shared" si="50"/>
        <v>0</v>
      </c>
      <c r="Y108" s="38">
        <f t="shared" si="51"/>
        <v>0</v>
      </c>
      <c r="AA108" s="71">
        <v>103</v>
      </c>
      <c r="AB108" s="33">
        <f t="shared" si="52"/>
        <v>0</v>
      </c>
      <c r="AC108" s="308">
        <f t="shared" si="77"/>
        <v>0</v>
      </c>
      <c r="AD108" s="101">
        <f t="shared" si="53"/>
        <v>0</v>
      </c>
      <c r="AE108" s="101">
        <f t="shared" si="54"/>
        <v>0</v>
      </c>
      <c r="AF108" s="197">
        <f t="shared" si="73"/>
        <v>0</v>
      </c>
      <c r="AG108" s="197">
        <f t="shared" si="74"/>
        <v>0</v>
      </c>
      <c r="AH108" s="197">
        <f t="shared" si="75"/>
        <v>0</v>
      </c>
      <c r="AI108" s="202">
        <f t="shared" si="76"/>
        <v>0</v>
      </c>
      <c r="AK108" s="71">
        <v>103</v>
      </c>
      <c r="AL108" s="33">
        <f t="shared" si="55"/>
        <v>0</v>
      </c>
      <c r="AM108" s="33">
        <f t="shared" si="56"/>
        <v>0</v>
      </c>
      <c r="AN108" s="33">
        <f t="shared" si="57"/>
        <v>0</v>
      </c>
      <c r="AO108" s="33">
        <f t="shared" si="58"/>
        <v>0</v>
      </c>
      <c r="AP108" s="33">
        <f t="shared" si="59"/>
        <v>0</v>
      </c>
      <c r="AQ108" s="197">
        <f t="shared" si="60"/>
        <v>0</v>
      </c>
      <c r="AR108" s="197">
        <f t="shared" si="60"/>
        <v>0</v>
      </c>
      <c r="AS108" s="197">
        <f t="shared" si="60"/>
        <v>0</v>
      </c>
      <c r="AT108" s="197">
        <f t="shared" si="60"/>
        <v>0</v>
      </c>
      <c r="AU108" s="33"/>
      <c r="AV108" s="33"/>
      <c r="AW108" s="33"/>
      <c r="AX108" s="33"/>
      <c r="AY108" s="76"/>
    </row>
    <row r="109" spans="2:51">
      <c r="I109" s="55">
        <v>104</v>
      </c>
      <c r="J109" s="33">
        <f t="shared" si="63"/>
        <v>0</v>
      </c>
      <c r="K109" s="33">
        <f t="shared" si="64"/>
        <v>0</v>
      </c>
      <c r="L109" s="33">
        <f t="shared" si="65"/>
        <v>0</v>
      </c>
      <c r="M109" s="33">
        <f t="shared" si="66"/>
        <v>0</v>
      </c>
      <c r="N109" s="33">
        <f t="shared" si="46"/>
        <v>0</v>
      </c>
      <c r="O109" s="34">
        <f t="shared" si="47"/>
        <v>0</v>
      </c>
      <c r="P109" s="55">
        <v>104</v>
      </c>
      <c r="Q109" s="33">
        <f t="shared" si="61"/>
        <v>0</v>
      </c>
      <c r="R109" s="33">
        <f t="shared" si="67"/>
        <v>0</v>
      </c>
      <c r="S109" s="33">
        <f t="shared" si="68"/>
        <v>0</v>
      </c>
      <c r="T109" s="33">
        <f t="shared" si="48"/>
        <v>0</v>
      </c>
      <c r="U109" s="33">
        <f t="shared" si="62"/>
        <v>0</v>
      </c>
      <c r="V109" s="33">
        <f t="shared" si="49"/>
        <v>0</v>
      </c>
      <c r="W109" s="33">
        <v>0</v>
      </c>
      <c r="X109" s="33">
        <f t="shared" si="50"/>
        <v>0</v>
      </c>
      <c r="Y109" s="38">
        <f t="shared" si="51"/>
        <v>0</v>
      </c>
      <c r="AA109" s="71">
        <v>104</v>
      </c>
      <c r="AB109" s="33">
        <f t="shared" si="52"/>
        <v>0</v>
      </c>
      <c r="AC109" s="308">
        <f t="shared" si="77"/>
        <v>0</v>
      </c>
      <c r="AD109" s="101">
        <f t="shared" si="53"/>
        <v>0</v>
      </c>
      <c r="AE109" s="101">
        <f t="shared" si="54"/>
        <v>0</v>
      </c>
      <c r="AF109" s="197">
        <f t="shared" si="73"/>
        <v>0</v>
      </c>
      <c r="AG109" s="197">
        <f t="shared" si="74"/>
        <v>0</v>
      </c>
      <c r="AH109" s="197">
        <f t="shared" si="75"/>
        <v>0</v>
      </c>
      <c r="AI109" s="202">
        <f t="shared" si="76"/>
        <v>0</v>
      </c>
      <c r="AK109" s="71">
        <v>104</v>
      </c>
      <c r="AL109" s="33">
        <f t="shared" si="55"/>
        <v>0</v>
      </c>
      <c r="AM109" s="33">
        <f t="shared" si="56"/>
        <v>0</v>
      </c>
      <c r="AN109" s="33">
        <f t="shared" si="57"/>
        <v>0</v>
      </c>
      <c r="AO109" s="33">
        <f t="shared" si="58"/>
        <v>0</v>
      </c>
      <c r="AP109" s="33">
        <f t="shared" si="59"/>
        <v>0</v>
      </c>
      <c r="AQ109" s="197">
        <f t="shared" si="60"/>
        <v>0</v>
      </c>
      <c r="AR109" s="197">
        <f t="shared" si="60"/>
        <v>0</v>
      </c>
      <c r="AS109" s="197">
        <f t="shared" si="60"/>
        <v>0</v>
      </c>
      <c r="AT109" s="197">
        <f t="shared" si="60"/>
        <v>0</v>
      </c>
      <c r="AU109" s="33"/>
      <c r="AV109" s="33"/>
      <c r="AW109" s="33"/>
      <c r="AX109" s="33"/>
      <c r="AY109" s="76"/>
    </row>
    <row r="110" spans="2:51">
      <c r="I110" s="55">
        <v>105</v>
      </c>
      <c r="J110" s="33">
        <f t="shared" si="63"/>
        <v>0</v>
      </c>
      <c r="K110" s="33">
        <f t="shared" si="64"/>
        <v>0</v>
      </c>
      <c r="L110" s="33">
        <f t="shared" si="65"/>
        <v>0</v>
      </c>
      <c r="M110" s="33">
        <f t="shared" si="66"/>
        <v>0</v>
      </c>
      <c r="N110" s="33">
        <f t="shared" si="46"/>
        <v>0</v>
      </c>
      <c r="O110" s="34">
        <f t="shared" si="47"/>
        <v>0</v>
      </c>
      <c r="P110" s="55">
        <v>105</v>
      </c>
      <c r="Q110" s="33">
        <f t="shared" si="61"/>
        <v>0</v>
      </c>
      <c r="R110" s="33">
        <f t="shared" si="67"/>
        <v>0</v>
      </c>
      <c r="S110" s="33">
        <f t="shared" si="68"/>
        <v>0</v>
      </c>
      <c r="T110" s="33">
        <f t="shared" si="48"/>
        <v>0</v>
      </c>
      <c r="U110" s="33">
        <f t="shared" si="62"/>
        <v>0</v>
      </c>
      <c r="V110" s="33">
        <f t="shared" si="49"/>
        <v>0</v>
      </c>
      <c r="W110" s="33">
        <v>0</v>
      </c>
      <c r="X110" s="33">
        <f t="shared" si="50"/>
        <v>0</v>
      </c>
      <c r="Y110" s="38">
        <f t="shared" si="51"/>
        <v>0</v>
      </c>
      <c r="AA110" s="71">
        <v>105</v>
      </c>
      <c r="AB110" s="33">
        <f t="shared" si="52"/>
        <v>0</v>
      </c>
      <c r="AC110" s="308">
        <f t="shared" si="77"/>
        <v>0</v>
      </c>
      <c r="AD110" s="101">
        <f t="shared" si="53"/>
        <v>0</v>
      </c>
      <c r="AE110" s="101">
        <f t="shared" si="54"/>
        <v>0</v>
      </c>
      <c r="AF110" s="197">
        <f t="shared" si="73"/>
        <v>0</v>
      </c>
      <c r="AG110" s="197">
        <f t="shared" si="74"/>
        <v>0</v>
      </c>
      <c r="AH110" s="197">
        <f t="shared" si="75"/>
        <v>0</v>
      </c>
      <c r="AI110" s="202">
        <f t="shared" si="76"/>
        <v>0</v>
      </c>
      <c r="AK110" s="71">
        <v>105</v>
      </c>
      <c r="AL110" s="33">
        <f t="shared" si="55"/>
        <v>0</v>
      </c>
      <c r="AM110" s="33">
        <f t="shared" si="56"/>
        <v>0</v>
      </c>
      <c r="AN110" s="33">
        <f t="shared" si="57"/>
        <v>0</v>
      </c>
      <c r="AO110" s="33">
        <f t="shared" si="58"/>
        <v>0</v>
      </c>
      <c r="AP110" s="33">
        <f t="shared" si="59"/>
        <v>0</v>
      </c>
      <c r="AQ110" s="197">
        <f t="shared" si="60"/>
        <v>0</v>
      </c>
      <c r="AR110" s="197">
        <f t="shared" si="60"/>
        <v>0</v>
      </c>
      <c r="AS110" s="197">
        <f t="shared" si="60"/>
        <v>0</v>
      </c>
      <c r="AT110" s="197">
        <f t="shared" si="60"/>
        <v>0</v>
      </c>
      <c r="AU110" s="33"/>
      <c r="AV110" s="33"/>
      <c r="AW110" s="33"/>
      <c r="AX110" s="33"/>
      <c r="AY110" s="76"/>
    </row>
    <row r="111" spans="2:51">
      <c r="C111" s="160" t="s">
        <v>169</v>
      </c>
      <c r="D111" s="160"/>
      <c r="E111" s="160"/>
      <c r="I111" s="55">
        <v>106</v>
      </c>
      <c r="J111" s="33">
        <f t="shared" si="63"/>
        <v>0</v>
      </c>
      <c r="K111" s="33">
        <f t="shared" si="64"/>
        <v>0</v>
      </c>
      <c r="L111" s="33">
        <f t="shared" si="65"/>
        <v>0</v>
      </c>
      <c r="M111" s="33">
        <f t="shared" si="66"/>
        <v>0</v>
      </c>
      <c r="N111" s="33">
        <f t="shared" si="46"/>
        <v>0</v>
      </c>
      <c r="O111" s="34">
        <f t="shared" si="47"/>
        <v>0</v>
      </c>
      <c r="P111" s="55">
        <v>106</v>
      </c>
      <c r="Q111" s="33">
        <f t="shared" si="61"/>
        <v>0</v>
      </c>
      <c r="R111" s="33">
        <f t="shared" si="67"/>
        <v>0</v>
      </c>
      <c r="S111" s="33">
        <f t="shared" si="68"/>
        <v>0</v>
      </c>
      <c r="T111" s="33">
        <f t="shared" si="48"/>
        <v>0</v>
      </c>
      <c r="U111" s="33">
        <f t="shared" si="62"/>
        <v>0</v>
      </c>
      <c r="V111" s="33">
        <f t="shared" si="49"/>
        <v>0</v>
      </c>
      <c r="W111" s="33">
        <v>0</v>
      </c>
      <c r="X111" s="33">
        <f t="shared" si="50"/>
        <v>0</v>
      </c>
      <c r="Y111" s="38">
        <f t="shared" si="51"/>
        <v>0</v>
      </c>
      <c r="AA111" s="71">
        <v>106</v>
      </c>
      <c r="AB111" s="33">
        <f t="shared" si="52"/>
        <v>0</v>
      </c>
      <c r="AC111" s="308">
        <f t="shared" si="77"/>
        <v>0</v>
      </c>
      <c r="AD111" s="101">
        <f t="shared" si="53"/>
        <v>0</v>
      </c>
      <c r="AE111" s="101">
        <f t="shared" si="54"/>
        <v>0</v>
      </c>
      <c r="AF111" s="197">
        <f t="shared" si="73"/>
        <v>0</v>
      </c>
      <c r="AG111" s="197">
        <f t="shared" si="74"/>
        <v>0</v>
      </c>
      <c r="AH111" s="197">
        <f t="shared" si="75"/>
        <v>0</v>
      </c>
      <c r="AI111" s="202">
        <f t="shared" si="76"/>
        <v>0</v>
      </c>
      <c r="AK111" s="71">
        <v>106</v>
      </c>
      <c r="AL111" s="33">
        <f t="shared" si="55"/>
        <v>0</v>
      </c>
      <c r="AM111" s="33">
        <f t="shared" si="56"/>
        <v>0</v>
      </c>
      <c r="AN111" s="33">
        <f t="shared" si="57"/>
        <v>0</v>
      </c>
      <c r="AO111" s="33">
        <f t="shared" si="58"/>
        <v>0</v>
      </c>
      <c r="AP111" s="33">
        <f t="shared" si="59"/>
        <v>0</v>
      </c>
      <c r="AQ111" s="197">
        <f t="shared" si="60"/>
        <v>0</v>
      </c>
      <c r="AR111" s="197">
        <f t="shared" si="60"/>
        <v>0</v>
      </c>
      <c r="AS111" s="197">
        <f t="shared" si="60"/>
        <v>0</v>
      </c>
      <c r="AT111" s="197">
        <f t="shared" si="60"/>
        <v>0</v>
      </c>
      <c r="AU111" s="33"/>
      <c r="AV111" s="33"/>
      <c r="AW111" s="33"/>
      <c r="AX111" s="33"/>
      <c r="AY111" s="76"/>
    </row>
    <row r="112" spans="2:51">
      <c r="C112" s="74" t="s">
        <v>145</v>
      </c>
      <c r="D112" s="74" t="s">
        <v>72</v>
      </c>
      <c r="E112" s="74" t="s">
        <v>166</v>
      </c>
      <c r="I112" s="55">
        <v>107</v>
      </c>
      <c r="J112" s="33">
        <f t="shared" si="63"/>
        <v>0</v>
      </c>
      <c r="K112" s="33">
        <f t="shared" si="64"/>
        <v>0</v>
      </c>
      <c r="L112" s="33">
        <f t="shared" si="65"/>
        <v>0</v>
      </c>
      <c r="M112" s="33">
        <f t="shared" si="66"/>
        <v>0</v>
      </c>
      <c r="N112" s="33">
        <f t="shared" si="46"/>
        <v>0</v>
      </c>
      <c r="O112" s="34">
        <f t="shared" si="47"/>
        <v>0</v>
      </c>
      <c r="P112" s="55">
        <v>107</v>
      </c>
      <c r="Q112" s="33">
        <f t="shared" si="61"/>
        <v>0</v>
      </c>
      <c r="R112" s="33">
        <f t="shared" si="67"/>
        <v>0</v>
      </c>
      <c r="S112" s="33">
        <f t="shared" si="68"/>
        <v>0</v>
      </c>
      <c r="T112" s="33">
        <f t="shared" si="48"/>
        <v>0</v>
      </c>
      <c r="U112" s="33">
        <f t="shared" si="62"/>
        <v>0</v>
      </c>
      <c r="V112" s="33">
        <f t="shared" si="49"/>
        <v>0</v>
      </c>
      <c r="W112" s="33">
        <v>0</v>
      </c>
      <c r="X112" s="33">
        <f t="shared" si="50"/>
        <v>0</v>
      </c>
      <c r="Y112" s="38">
        <f t="shared" si="51"/>
        <v>0</v>
      </c>
      <c r="AA112" s="71">
        <v>107</v>
      </c>
      <c r="AB112" s="33">
        <f t="shared" si="52"/>
        <v>0</v>
      </c>
      <c r="AC112" s="308">
        <f t="shared" si="77"/>
        <v>0</v>
      </c>
      <c r="AD112" s="101">
        <f t="shared" si="53"/>
        <v>0</v>
      </c>
      <c r="AE112" s="101">
        <f t="shared" si="54"/>
        <v>0</v>
      </c>
      <c r="AF112" s="197">
        <f t="shared" si="73"/>
        <v>0</v>
      </c>
      <c r="AG112" s="197">
        <f t="shared" si="74"/>
        <v>0</v>
      </c>
      <c r="AH112" s="197">
        <f t="shared" si="75"/>
        <v>0</v>
      </c>
      <c r="AI112" s="202">
        <f t="shared" si="76"/>
        <v>0</v>
      </c>
      <c r="AK112" s="71">
        <v>107</v>
      </c>
      <c r="AL112" s="33">
        <f t="shared" si="55"/>
        <v>0</v>
      </c>
      <c r="AM112" s="33">
        <f t="shared" si="56"/>
        <v>0</v>
      </c>
      <c r="AN112" s="33">
        <f t="shared" si="57"/>
        <v>0</v>
      </c>
      <c r="AO112" s="33">
        <f t="shared" si="58"/>
        <v>0</v>
      </c>
      <c r="AP112" s="33">
        <f t="shared" si="59"/>
        <v>0</v>
      </c>
      <c r="AQ112" s="197">
        <f t="shared" si="60"/>
        <v>0</v>
      </c>
      <c r="AR112" s="197">
        <f t="shared" si="60"/>
        <v>0</v>
      </c>
      <c r="AS112" s="197">
        <f t="shared" si="60"/>
        <v>0</v>
      </c>
      <c r="AT112" s="197">
        <f t="shared" si="60"/>
        <v>0</v>
      </c>
      <c r="AU112" s="33"/>
      <c r="AV112" s="33"/>
      <c r="AW112" s="33"/>
      <c r="AX112" s="33"/>
      <c r="AY112" s="76"/>
    </row>
    <row r="113" spans="2:51">
      <c r="B113" s="67" t="s">
        <v>167</v>
      </c>
      <c r="C113" s="79">
        <f>1/$F$18*SUM(X6:X205)</f>
        <v>581.32364858527455</v>
      </c>
      <c r="D113" s="79">
        <f>1/$F$10*SUM(O6:O205)</f>
        <v>256.66666666666697</v>
      </c>
      <c r="E113" s="78">
        <f>C113-D113</f>
        <v>324.65698191860758</v>
      </c>
      <c r="I113" s="55">
        <v>108</v>
      </c>
      <c r="J113" s="33">
        <f t="shared" si="63"/>
        <v>0</v>
      </c>
      <c r="K113" s="33">
        <f t="shared" si="64"/>
        <v>0</v>
      </c>
      <c r="L113" s="33">
        <f t="shared" si="65"/>
        <v>0</v>
      </c>
      <c r="M113" s="33">
        <f t="shared" si="66"/>
        <v>0</v>
      </c>
      <c r="N113" s="33">
        <f t="shared" si="46"/>
        <v>0</v>
      </c>
      <c r="O113" s="34">
        <f t="shared" si="47"/>
        <v>0</v>
      </c>
      <c r="P113" s="55">
        <v>108</v>
      </c>
      <c r="Q113" s="33">
        <f t="shared" si="61"/>
        <v>0</v>
      </c>
      <c r="R113" s="33">
        <f t="shared" si="67"/>
        <v>0</v>
      </c>
      <c r="S113" s="33">
        <f t="shared" si="68"/>
        <v>0</v>
      </c>
      <c r="T113" s="33">
        <f t="shared" si="48"/>
        <v>0</v>
      </c>
      <c r="U113" s="33">
        <f t="shared" si="62"/>
        <v>0</v>
      </c>
      <c r="V113" s="33">
        <f t="shared" si="49"/>
        <v>0</v>
      </c>
      <c r="W113" s="33">
        <v>0</v>
      </c>
      <c r="X113" s="33">
        <f t="shared" si="50"/>
        <v>0</v>
      </c>
      <c r="Y113" s="38">
        <f t="shared" si="51"/>
        <v>0</v>
      </c>
      <c r="AA113" s="71">
        <v>108</v>
      </c>
      <c r="AB113" s="33">
        <f t="shared" si="52"/>
        <v>0</v>
      </c>
      <c r="AC113" s="308">
        <f t="shared" si="77"/>
        <v>0</v>
      </c>
      <c r="AD113" s="101">
        <f t="shared" si="53"/>
        <v>0</v>
      </c>
      <c r="AE113" s="101">
        <f t="shared" si="54"/>
        <v>0</v>
      </c>
      <c r="AF113" s="197">
        <f t="shared" si="73"/>
        <v>0</v>
      </c>
      <c r="AG113" s="197">
        <f t="shared" si="74"/>
        <v>0</v>
      </c>
      <c r="AH113" s="197">
        <f t="shared" si="75"/>
        <v>0</v>
      </c>
      <c r="AI113" s="202">
        <f t="shared" si="76"/>
        <v>0</v>
      </c>
      <c r="AK113" s="71">
        <v>108</v>
      </c>
      <c r="AL113" s="33">
        <f t="shared" si="55"/>
        <v>0</v>
      </c>
      <c r="AM113" s="33">
        <f t="shared" si="56"/>
        <v>0</v>
      </c>
      <c r="AN113" s="33">
        <f t="shared" si="57"/>
        <v>0</v>
      </c>
      <c r="AO113" s="33">
        <f t="shared" si="58"/>
        <v>0</v>
      </c>
      <c r="AP113" s="33">
        <f t="shared" si="59"/>
        <v>0</v>
      </c>
      <c r="AQ113" s="197">
        <f t="shared" si="60"/>
        <v>0</v>
      </c>
      <c r="AR113" s="197">
        <f t="shared" si="60"/>
        <v>0</v>
      </c>
      <c r="AS113" s="197">
        <f t="shared" si="60"/>
        <v>0</v>
      </c>
      <c r="AT113" s="197">
        <f t="shared" si="60"/>
        <v>0</v>
      </c>
      <c r="AU113" s="33"/>
      <c r="AV113" s="33"/>
      <c r="AW113" s="33"/>
      <c r="AX113" s="33"/>
      <c r="AY113" s="76"/>
    </row>
    <row r="114" spans="2:51">
      <c r="B114" s="67" t="s">
        <v>168</v>
      </c>
      <c r="C114" s="79">
        <f>X35</f>
        <v>481.48773158305545</v>
      </c>
      <c r="D114" s="79">
        <f>O35</f>
        <v>256.66666666666669</v>
      </c>
      <c r="E114" s="78">
        <f>VLOOKUP(30,I5:Y205,17,FALSE)</f>
        <v>224.82106491638876</v>
      </c>
      <c r="I114" s="55">
        <v>109</v>
      </c>
      <c r="J114" s="33">
        <f t="shared" si="63"/>
        <v>0</v>
      </c>
      <c r="K114" s="33">
        <f t="shared" si="64"/>
        <v>0</v>
      </c>
      <c r="L114" s="33">
        <f t="shared" si="65"/>
        <v>0</v>
      </c>
      <c r="M114" s="33">
        <f t="shared" si="66"/>
        <v>0</v>
      </c>
      <c r="N114" s="33">
        <f t="shared" si="46"/>
        <v>0</v>
      </c>
      <c r="O114" s="34">
        <f t="shared" si="47"/>
        <v>0</v>
      </c>
      <c r="P114" s="55">
        <v>109</v>
      </c>
      <c r="Q114" s="33">
        <f t="shared" si="61"/>
        <v>0</v>
      </c>
      <c r="R114" s="33">
        <f t="shared" si="67"/>
        <v>0</v>
      </c>
      <c r="S114" s="33">
        <f t="shared" si="68"/>
        <v>0</v>
      </c>
      <c r="T114" s="33">
        <f t="shared" si="48"/>
        <v>0</v>
      </c>
      <c r="U114" s="33">
        <f t="shared" si="62"/>
        <v>0</v>
      </c>
      <c r="V114" s="33">
        <f t="shared" si="49"/>
        <v>0</v>
      </c>
      <c r="W114" s="33">
        <v>0</v>
      </c>
      <c r="X114" s="33">
        <f t="shared" si="50"/>
        <v>0</v>
      </c>
      <c r="Y114" s="38">
        <f t="shared" si="51"/>
        <v>0</v>
      </c>
      <c r="AA114" s="71">
        <v>109</v>
      </c>
      <c r="AB114" s="33">
        <f t="shared" si="52"/>
        <v>0</v>
      </c>
      <c r="AC114" s="308">
        <f t="shared" si="77"/>
        <v>0</v>
      </c>
      <c r="AD114" s="101">
        <f t="shared" si="53"/>
        <v>0</v>
      </c>
      <c r="AE114" s="101">
        <f t="shared" si="54"/>
        <v>0</v>
      </c>
      <c r="AF114" s="197">
        <f t="shared" si="73"/>
        <v>0</v>
      </c>
      <c r="AG114" s="197">
        <f t="shared" si="74"/>
        <v>0</v>
      </c>
      <c r="AH114" s="197">
        <f t="shared" si="75"/>
        <v>0</v>
      </c>
      <c r="AI114" s="202">
        <f t="shared" si="76"/>
        <v>0</v>
      </c>
      <c r="AK114" s="71">
        <v>109</v>
      </c>
      <c r="AL114" s="33">
        <f t="shared" si="55"/>
        <v>0</v>
      </c>
      <c r="AM114" s="33">
        <f t="shared" si="56"/>
        <v>0</v>
      </c>
      <c r="AN114" s="33">
        <f t="shared" si="57"/>
        <v>0</v>
      </c>
      <c r="AO114" s="33">
        <f t="shared" si="58"/>
        <v>0</v>
      </c>
      <c r="AP114" s="33">
        <f t="shared" si="59"/>
        <v>0</v>
      </c>
      <c r="AQ114" s="197">
        <f t="shared" si="60"/>
        <v>0</v>
      </c>
      <c r="AR114" s="197">
        <f t="shared" si="60"/>
        <v>0</v>
      </c>
      <c r="AS114" s="197">
        <f t="shared" si="60"/>
        <v>0</v>
      </c>
      <c r="AT114" s="197">
        <f t="shared" si="60"/>
        <v>0</v>
      </c>
      <c r="AU114" s="33"/>
      <c r="AV114" s="33"/>
      <c r="AW114" s="33"/>
      <c r="AX114" s="33"/>
      <c r="AY114" s="76"/>
    </row>
    <row r="115" spans="2:51">
      <c r="C115" s="80"/>
      <c r="D115" s="80"/>
      <c r="E115" s="80"/>
      <c r="I115" s="55">
        <v>110</v>
      </c>
      <c r="J115" s="33">
        <f t="shared" si="63"/>
        <v>0</v>
      </c>
      <c r="K115" s="33">
        <f t="shared" si="64"/>
        <v>0</v>
      </c>
      <c r="L115" s="33">
        <f t="shared" si="65"/>
        <v>0</v>
      </c>
      <c r="M115" s="33">
        <f t="shared" si="66"/>
        <v>0</v>
      </c>
      <c r="N115" s="33">
        <f t="shared" si="46"/>
        <v>0</v>
      </c>
      <c r="O115" s="34">
        <f t="shared" si="47"/>
        <v>0</v>
      </c>
      <c r="P115" s="55">
        <v>110</v>
      </c>
      <c r="Q115" s="33">
        <f t="shared" si="61"/>
        <v>0</v>
      </c>
      <c r="R115" s="33">
        <f t="shared" si="67"/>
        <v>0</v>
      </c>
      <c r="S115" s="33">
        <f t="shared" si="68"/>
        <v>0</v>
      </c>
      <c r="T115" s="33">
        <f t="shared" si="48"/>
        <v>0</v>
      </c>
      <c r="U115" s="33">
        <f t="shared" si="62"/>
        <v>0</v>
      </c>
      <c r="V115" s="33">
        <f t="shared" si="49"/>
        <v>0</v>
      </c>
      <c r="W115" s="33">
        <v>0</v>
      </c>
      <c r="X115" s="33">
        <f t="shared" si="50"/>
        <v>0</v>
      </c>
      <c r="Y115" s="38">
        <f t="shared" si="51"/>
        <v>0</v>
      </c>
      <c r="AA115" s="71">
        <v>110</v>
      </c>
      <c r="AB115" s="33">
        <f t="shared" si="52"/>
        <v>0</v>
      </c>
      <c r="AC115" s="308">
        <f t="shared" si="77"/>
        <v>0</v>
      </c>
      <c r="AD115" s="101">
        <f t="shared" si="53"/>
        <v>0</v>
      </c>
      <c r="AE115" s="101">
        <f t="shared" si="54"/>
        <v>0</v>
      </c>
      <c r="AF115" s="197">
        <f t="shared" si="73"/>
        <v>0</v>
      </c>
      <c r="AG115" s="197">
        <f t="shared" si="74"/>
        <v>0</v>
      </c>
      <c r="AH115" s="197">
        <f t="shared" si="75"/>
        <v>0</v>
      </c>
      <c r="AI115" s="202">
        <f t="shared" si="76"/>
        <v>0</v>
      </c>
      <c r="AK115" s="71">
        <v>110</v>
      </c>
      <c r="AL115" s="33">
        <f t="shared" si="55"/>
        <v>0</v>
      </c>
      <c r="AM115" s="33">
        <f t="shared" si="56"/>
        <v>0</v>
      </c>
      <c r="AN115" s="33">
        <f t="shared" si="57"/>
        <v>0</v>
      </c>
      <c r="AO115" s="33">
        <f t="shared" si="58"/>
        <v>0</v>
      </c>
      <c r="AP115" s="33">
        <f t="shared" si="59"/>
        <v>0</v>
      </c>
      <c r="AQ115" s="197">
        <f t="shared" si="60"/>
        <v>0</v>
      </c>
      <c r="AR115" s="197">
        <f t="shared" si="60"/>
        <v>0</v>
      </c>
      <c r="AS115" s="197">
        <f t="shared" si="60"/>
        <v>0</v>
      </c>
      <c r="AT115" s="197">
        <f t="shared" si="60"/>
        <v>0</v>
      </c>
      <c r="AU115" s="33"/>
      <c r="AV115" s="33"/>
      <c r="AW115" s="33"/>
      <c r="AX115" s="33"/>
      <c r="AY115" s="76"/>
    </row>
    <row r="116" spans="2:51">
      <c r="C116" s="136" t="s">
        <v>125</v>
      </c>
      <c r="D116" s="136"/>
      <c r="E116" s="136"/>
      <c r="I116" s="55">
        <v>111</v>
      </c>
      <c r="J116" s="33">
        <f t="shared" si="63"/>
        <v>0</v>
      </c>
      <c r="K116" s="33">
        <f t="shared" si="64"/>
        <v>0</v>
      </c>
      <c r="L116" s="33">
        <f t="shared" si="65"/>
        <v>0</v>
      </c>
      <c r="M116" s="33">
        <f t="shared" si="66"/>
        <v>0</v>
      </c>
      <c r="N116" s="33">
        <f t="shared" si="46"/>
        <v>0</v>
      </c>
      <c r="O116" s="34">
        <f t="shared" si="47"/>
        <v>0</v>
      </c>
      <c r="P116" s="55">
        <v>111</v>
      </c>
      <c r="Q116" s="33">
        <f t="shared" si="61"/>
        <v>0</v>
      </c>
      <c r="R116" s="33">
        <f t="shared" si="67"/>
        <v>0</v>
      </c>
      <c r="S116" s="33">
        <f t="shared" si="68"/>
        <v>0</v>
      </c>
      <c r="T116" s="33">
        <f t="shared" si="48"/>
        <v>0</v>
      </c>
      <c r="U116" s="33">
        <f t="shared" si="62"/>
        <v>0</v>
      </c>
      <c r="V116" s="33">
        <f t="shared" si="49"/>
        <v>0</v>
      </c>
      <c r="W116" s="33">
        <v>0</v>
      </c>
      <c r="X116" s="33">
        <f t="shared" si="50"/>
        <v>0</v>
      </c>
      <c r="Y116" s="38">
        <f t="shared" si="51"/>
        <v>0</v>
      </c>
      <c r="AA116" s="71">
        <v>111</v>
      </c>
      <c r="AB116" s="33">
        <f t="shared" si="52"/>
        <v>0</v>
      </c>
      <c r="AC116" s="308">
        <f t="shared" si="77"/>
        <v>0</v>
      </c>
      <c r="AD116" s="101">
        <f t="shared" si="53"/>
        <v>0</v>
      </c>
      <c r="AE116" s="101">
        <f t="shared" si="54"/>
        <v>0</v>
      </c>
      <c r="AF116" s="197">
        <f t="shared" si="73"/>
        <v>0</v>
      </c>
      <c r="AG116" s="197">
        <f t="shared" si="74"/>
        <v>0</v>
      </c>
      <c r="AH116" s="197">
        <f t="shared" si="75"/>
        <v>0</v>
      </c>
      <c r="AI116" s="202">
        <f t="shared" si="76"/>
        <v>0</v>
      </c>
      <c r="AK116" s="71">
        <v>111</v>
      </c>
      <c r="AL116" s="33">
        <f t="shared" si="55"/>
        <v>0</v>
      </c>
      <c r="AM116" s="33">
        <f t="shared" si="56"/>
        <v>0</v>
      </c>
      <c r="AN116" s="33">
        <f t="shared" si="57"/>
        <v>0</v>
      </c>
      <c r="AO116" s="33">
        <f t="shared" si="58"/>
        <v>0</v>
      </c>
      <c r="AP116" s="33">
        <f t="shared" si="59"/>
        <v>0</v>
      </c>
      <c r="AQ116" s="197">
        <f t="shared" si="60"/>
        <v>0</v>
      </c>
      <c r="AR116" s="197">
        <f t="shared" si="60"/>
        <v>0</v>
      </c>
      <c r="AS116" s="197">
        <f t="shared" si="60"/>
        <v>0</v>
      </c>
      <c r="AT116" s="197">
        <f t="shared" si="60"/>
        <v>0</v>
      </c>
      <c r="AU116" s="33"/>
      <c r="AV116" s="33"/>
      <c r="AW116" s="33"/>
      <c r="AX116" s="33"/>
      <c r="AY116" s="76"/>
    </row>
    <row r="117" spans="2:51">
      <c r="C117" s="136" t="s">
        <v>145</v>
      </c>
      <c r="D117" s="136" t="s">
        <v>72</v>
      </c>
      <c r="E117" s="81" t="s">
        <v>166</v>
      </c>
      <c r="I117" s="55">
        <v>112</v>
      </c>
      <c r="J117" s="33">
        <f t="shared" si="63"/>
        <v>0</v>
      </c>
      <c r="K117" s="33">
        <f t="shared" si="64"/>
        <v>0</v>
      </c>
      <c r="L117" s="33">
        <f t="shared" si="65"/>
        <v>0</v>
      </c>
      <c r="M117" s="33">
        <f t="shared" si="66"/>
        <v>0</v>
      </c>
      <c r="N117" s="33">
        <f t="shared" si="46"/>
        <v>0</v>
      </c>
      <c r="O117" s="34">
        <f t="shared" si="47"/>
        <v>0</v>
      </c>
      <c r="P117" s="55">
        <v>112</v>
      </c>
      <c r="Q117" s="33">
        <f t="shared" si="61"/>
        <v>0</v>
      </c>
      <c r="R117" s="33">
        <f t="shared" si="67"/>
        <v>0</v>
      </c>
      <c r="S117" s="33">
        <f t="shared" si="68"/>
        <v>0</v>
      </c>
      <c r="T117" s="33">
        <f t="shared" si="48"/>
        <v>0</v>
      </c>
      <c r="U117" s="33">
        <f t="shared" si="62"/>
        <v>0</v>
      </c>
      <c r="V117" s="33">
        <f t="shared" si="49"/>
        <v>0</v>
      </c>
      <c r="W117" s="33">
        <v>0</v>
      </c>
      <c r="X117" s="33">
        <f t="shared" si="50"/>
        <v>0</v>
      </c>
      <c r="Y117" s="38">
        <f t="shared" si="51"/>
        <v>0</v>
      </c>
      <c r="AA117" s="71">
        <v>112</v>
      </c>
      <c r="AB117" s="33">
        <f t="shared" si="52"/>
        <v>0</v>
      </c>
      <c r="AC117" s="308">
        <f t="shared" si="77"/>
        <v>0</v>
      </c>
      <c r="AD117" s="101">
        <f t="shared" si="53"/>
        <v>0</v>
      </c>
      <c r="AE117" s="101">
        <f t="shared" si="54"/>
        <v>0</v>
      </c>
      <c r="AF117" s="197">
        <f t="shared" si="73"/>
        <v>0</v>
      </c>
      <c r="AG117" s="197">
        <f t="shared" si="74"/>
        <v>0</v>
      </c>
      <c r="AH117" s="197">
        <f t="shared" si="75"/>
        <v>0</v>
      </c>
      <c r="AI117" s="202">
        <f t="shared" si="76"/>
        <v>0</v>
      </c>
      <c r="AK117" s="71">
        <v>112</v>
      </c>
      <c r="AL117" s="33">
        <f t="shared" si="55"/>
        <v>0</v>
      </c>
      <c r="AM117" s="33">
        <f t="shared" si="56"/>
        <v>0</v>
      </c>
      <c r="AN117" s="33">
        <f t="shared" si="57"/>
        <v>0</v>
      </c>
      <c r="AO117" s="33">
        <f t="shared" si="58"/>
        <v>0</v>
      </c>
      <c r="AP117" s="33">
        <f t="shared" si="59"/>
        <v>0</v>
      </c>
      <c r="AQ117" s="197">
        <f t="shared" si="60"/>
        <v>0</v>
      </c>
      <c r="AR117" s="197">
        <f t="shared" si="60"/>
        <v>0</v>
      </c>
      <c r="AS117" s="197">
        <f t="shared" si="60"/>
        <v>0</v>
      </c>
      <c r="AT117" s="197">
        <f t="shared" si="60"/>
        <v>0</v>
      </c>
      <c r="AU117" s="33"/>
      <c r="AV117" s="33"/>
      <c r="AW117" s="33"/>
      <c r="AX117" s="33"/>
      <c r="AY117" s="76"/>
    </row>
    <row r="118" spans="2:51">
      <c r="B118" s="67" t="s">
        <v>261</v>
      </c>
      <c r="C118" s="306">
        <f>1/30*SUM(AI6:AI35)</f>
        <v>0</v>
      </c>
      <c r="D118" s="79">
        <v>0</v>
      </c>
      <c r="E118" s="78">
        <f>C118-D118</f>
        <v>0</v>
      </c>
      <c r="I118" s="55">
        <v>113</v>
      </c>
      <c r="J118" s="33">
        <f t="shared" si="63"/>
        <v>0</v>
      </c>
      <c r="K118" s="33">
        <f t="shared" si="64"/>
        <v>0</v>
      </c>
      <c r="L118" s="33">
        <f t="shared" si="65"/>
        <v>0</v>
      </c>
      <c r="M118" s="33">
        <f t="shared" si="66"/>
        <v>0</v>
      </c>
      <c r="N118" s="33">
        <f t="shared" si="46"/>
        <v>0</v>
      </c>
      <c r="O118" s="34">
        <f t="shared" si="47"/>
        <v>0</v>
      </c>
      <c r="P118" s="55">
        <v>113</v>
      </c>
      <c r="Q118" s="33">
        <f t="shared" si="61"/>
        <v>0</v>
      </c>
      <c r="R118" s="33">
        <f t="shared" si="67"/>
        <v>0</v>
      </c>
      <c r="S118" s="33">
        <f t="shared" si="68"/>
        <v>0</v>
      </c>
      <c r="T118" s="33">
        <f t="shared" si="48"/>
        <v>0</v>
      </c>
      <c r="U118" s="33">
        <f t="shared" si="62"/>
        <v>0</v>
      </c>
      <c r="V118" s="33">
        <f t="shared" si="49"/>
        <v>0</v>
      </c>
      <c r="W118" s="33">
        <v>0</v>
      </c>
      <c r="X118" s="33">
        <f t="shared" si="50"/>
        <v>0</v>
      </c>
      <c r="Y118" s="38">
        <f t="shared" si="51"/>
        <v>0</v>
      </c>
      <c r="AA118" s="71">
        <v>113</v>
      </c>
      <c r="AB118" s="33">
        <f t="shared" si="52"/>
        <v>0</v>
      </c>
      <c r="AC118" s="308">
        <f t="shared" si="77"/>
        <v>0</v>
      </c>
      <c r="AD118" s="101">
        <f t="shared" si="53"/>
        <v>0</v>
      </c>
      <c r="AE118" s="101">
        <f t="shared" si="54"/>
        <v>0</v>
      </c>
      <c r="AF118" s="197">
        <f t="shared" si="73"/>
        <v>0</v>
      </c>
      <c r="AG118" s="197">
        <f t="shared" si="74"/>
        <v>0</v>
      </c>
      <c r="AH118" s="197">
        <f t="shared" si="75"/>
        <v>0</v>
      </c>
      <c r="AI118" s="202">
        <f t="shared" si="76"/>
        <v>0</v>
      </c>
      <c r="AK118" s="71">
        <v>113</v>
      </c>
      <c r="AL118" s="33">
        <f t="shared" si="55"/>
        <v>0</v>
      </c>
      <c r="AM118" s="33">
        <f t="shared" si="56"/>
        <v>0</v>
      </c>
      <c r="AN118" s="33">
        <f t="shared" si="57"/>
        <v>0</v>
      </c>
      <c r="AO118" s="33">
        <f t="shared" si="58"/>
        <v>0</v>
      </c>
      <c r="AP118" s="33">
        <f t="shared" si="59"/>
        <v>0</v>
      </c>
      <c r="AQ118" s="197">
        <f t="shared" si="60"/>
        <v>0</v>
      </c>
      <c r="AR118" s="197">
        <f t="shared" si="60"/>
        <v>0</v>
      </c>
      <c r="AS118" s="197">
        <f t="shared" si="60"/>
        <v>0</v>
      </c>
      <c r="AT118" s="197">
        <f t="shared" si="60"/>
        <v>0</v>
      </c>
      <c r="AU118" s="33"/>
      <c r="AV118" s="33"/>
      <c r="AW118" s="33"/>
      <c r="AX118" s="33"/>
      <c r="AY118" s="76"/>
    </row>
    <row r="119" spans="2:51">
      <c r="B119" s="67"/>
      <c r="C119" s="82"/>
      <c r="D119" s="79"/>
      <c r="E119" s="78"/>
      <c r="I119" s="55">
        <v>114</v>
      </c>
      <c r="J119" s="33">
        <f t="shared" si="63"/>
        <v>0</v>
      </c>
      <c r="K119" s="33">
        <f t="shared" si="64"/>
        <v>0</v>
      </c>
      <c r="L119" s="33">
        <f t="shared" si="65"/>
        <v>0</v>
      </c>
      <c r="M119" s="33">
        <f t="shared" si="66"/>
        <v>0</v>
      </c>
      <c r="N119" s="33">
        <f t="shared" si="46"/>
        <v>0</v>
      </c>
      <c r="O119" s="34">
        <f t="shared" si="47"/>
        <v>0</v>
      </c>
      <c r="P119" s="55">
        <v>114</v>
      </c>
      <c r="Q119" s="33">
        <f t="shared" si="61"/>
        <v>0</v>
      </c>
      <c r="R119" s="33">
        <f t="shared" si="67"/>
        <v>0</v>
      </c>
      <c r="S119" s="33">
        <f t="shared" si="68"/>
        <v>0</v>
      </c>
      <c r="T119" s="33">
        <f t="shared" si="48"/>
        <v>0</v>
      </c>
      <c r="U119" s="33">
        <f t="shared" si="62"/>
        <v>0</v>
      </c>
      <c r="V119" s="33">
        <f t="shared" si="49"/>
        <v>0</v>
      </c>
      <c r="W119" s="33">
        <v>0</v>
      </c>
      <c r="X119" s="33">
        <f t="shared" si="50"/>
        <v>0</v>
      </c>
      <c r="Y119" s="38">
        <f t="shared" si="51"/>
        <v>0</v>
      </c>
      <c r="AA119" s="71">
        <v>114</v>
      </c>
      <c r="AB119" s="33">
        <f t="shared" si="52"/>
        <v>0</v>
      </c>
      <c r="AC119" s="308">
        <f t="shared" si="77"/>
        <v>0</v>
      </c>
      <c r="AD119" s="101">
        <f t="shared" si="53"/>
        <v>0</v>
      </c>
      <c r="AE119" s="101">
        <f t="shared" si="54"/>
        <v>0</v>
      </c>
      <c r="AF119" s="197">
        <f t="shared" si="73"/>
        <v>0</v>
      </c>
      <c r="AG119" s="197">
        <f t="shared" si="74"/>
        <v>0</v>
      </c>
      <c r="AH119" s="197">
        <f t="shared" si="75"/>
        <v>0</v>
      </c>
      <c r="AI119" s="202">
        <f t="shared" si="76"/>
        <v>0</v>
      </c>
      <c r="AK119" s="71">
        <v>114</v>
      </c>
      <c r="AL119" s="33">
        <f t="shared" si="55"/>
        <v>0</v>
      </c>
      <c r="AM119" s="33">
        <f t="shared" si="56"/>
        <v>0</v>
      </c>
      <c r="AN119" s="33">
        <f t="shared" si="57"/>
        <v>0</v>
      </c>
      <c r="AO119" s="33">
        <f t="shared" si="58"/>
        <v>0</v>
      </c>
      <c r="AP119" s="33">
        <f t="shared" si="59"/>
        <v>0</v>
      </c>
      <c r="AQ119" s="197">
        <f t="shared" si="60"/>
        <v>0</v>
      </c>
      <c r="AR119" s="197">
        <f t="shared" si="60"/>
        <v>0</v>
      </c>
      <c r="AS119" s="197">
        <f t="shared" si="60"/>
        <v>0</v>
      </c>
      <c r="AT119" s="197">
        <f t="shared" si="60"/>
        <v>0</v>
      </c>
      <c r="AU119" s="33"/>
      <c r="AV119" s="33"/>
      <c r="AW119" s="33"/>
      <c r="AX119" s="33"/>
      <c r="AY119" s="76"/>
    </row>
    <row r="120" spans="2:51">
      <c r="C120" s="80"/>
      <c r="D120" s="80"/>
      <c r="E120" s="83"/>
      <c r="I120" s="55">
        <v>115</v>
      </c>
      <c r="J120" s="33">
        <f t="shared" si="63"/>
        <v>0</v>
      </c>
      <c r="K120" s="33">
        <f t="shared" si="64"/>
        <v>0</v>
      </c>
      <c r="L120" s="33">
        <f t="shared" si="65"/>
        <v>0</v>
      </c>
      <c r="M120" s="33">
        <f t="shared" si="66"/>
        <v>0</v>
      </c>
      <c r="N120" s="33">
        <f t="shared" si="46"/>
        <v>0</v>
      </c>
      <c r="O120" s="34">
        <f t="shared" si="47"/>
        <v>0</v>
      </c>
      <c r="P120" s="55">
        <v>115</v>
      </c>
      <c r="Q120" s="33">
        <f t="shared" si="61"/>
        <v>0</v>
      </c>
      <c r="R120" s="33">
        <f t="shared" si="67"/>
        <v>0</v>
      </c>
      <c r="S120" s="33">
        <f t="shared" si="68"/>
        <v>0</v>
      </c>
      <c r="T120" s="33">
        <f t="shared" si="48"/>
        <v>0</v>
      </c>
      <c r="U120" s="33">
        <f t="shared" si="62"/>
        <v>0</v>
      </c>
      <c r="V120" s="33">
        <f t="shared" si="49"/>
        <v>0</v>
      </c>
      <c r="W120" s="33">
        <v>0</v>
      </c>
      <c r="X120" s="33">
        <f t="shared" si="50"/>
        <v>0</v>
      </c>
      <c r="Y120" s="38">
        <f t="shared" si="51"/>
        <v>0</v>
      </c>
      <c r="AA120" s="71">
        <v>115</v>
      </c>
      <c r="AB120" s="33">
        <f t="shared" si="52"/>
        <v>0</v>
      </c>
      <c r="AC120" s="308">
        <f t="shared" si="77"/>
        <v>0</v>
      </c>
      <c r="AD120" s="101">
        <f t="shared" si="53"/>
        <v>0</v>
      </c>
      <c r="AE120" s="101">
        <f t="shared" si="54"/>
        <v>0</v>
      </c>
      <c r="AF120" s="197">
        <f t="shared" si="73"/>
        <v>0</v>
      </c>
      <c r="AG120" s="197">
        <f t="shared" si="74"/>
        <v>0</v>
      </c>
      <c r="AH120" s="197">
        <f t="shared" si="75"/>
        <v>0</v>
      </c>
      <c r="AI120" s="202">
        <f t="shared" si="76"/>
        <v>0</v>
      </c>
      <c r="AK120" s="71">
        <v>115</v>
      </c>
      <c r="AL120" s="33">
        <f t="shared" si="55"/>
        <v>0</v>
      </c>
      <c r="AM120" s="33">
        <f t="shared" si="56"/>
        <v>0</v>
      </c>
      <c r="AN120" s="33">
        <f t="shared" si="57"/>
        <v>0</v>
      </c>
      <c r="AO120" s="33">
        <f t="shared" si="58"/>
        <v>0</v>
      </c>
      <c r="AP120" s="33">
        <f t="shared" si="59"/>
        <v>0</v>
      </c>
      <c r="AQ120" s="197">
        <f t="shared" si="60"/>
        <v>0</v>
      </c>
      <c r="AR120" s="197">
        <f t="shared" si="60"/>
        <v>0</v>
      </c>
      <c r="AS120" s="197">
        <f t="shared" si="60"/>
        <v>0</v>
      </c>
      <c r="AT120" s="197">
        <f t="shared" si="60"/>
        <v>0</v>
      </c>
      <c r="AU120" s="33"/>
      <c r="AV120" s="33"/>
      <c r="AW120" s="33"/>
      <c r="AX120" s="33"/>
      <c r="AY120" s="76"/>
    </row>
    <row r="121" spans="2:51">
      <c r="C121" s="136" t="s">
        <v>160</v>
      </c>
      <c r="D121" s="136"/>
      <c r="E121" s="136"/>
      <c r="I121" s="55">
        <v>116</v>
      </c>
      <c r="J121" s="33">
        <f t="shared" si="63"/>
        <v>0</v>
      </c>
      <c r="K121" s="33">
        <f t="shared" si="64"/>
        <v>0</v>
      </c>
      <c r="L121" s="33">
        <f t="shared" si="65"/>
        <v>0</v>
      </c>
      <c r="M121" s="33">
        <f t="shared" si="66"/>
        <v>0</v>
      </c>
      <c r="N121" s="33">
        <f t="shared" si="46"/>
        <v>0</v>
      </c>
      <c r="O121" s="34">
        <f t="shared" si="47"/>
        <v>0</v>
      </c>
      <c r="P121" s="55">
        <v>116</v>
      </c>
      <c r="Q121" s="33">
        <f t="shared" si="61"/>
        <v>0</v>
      </c>
      <c r="R121" s="33">
        <f t="shared" si="67"/>
        <v>0</v>
      </c>
      <c r="S121" s="33">
        <f t="shared" si="68"/>
        <v>0</v>
      </c>
      <c r="T121" s="33">
        <f t="shared" si="48"/>
        <v>0</v>
      </c>
      <c r="U121" s="33">
        <f t="shared" si="62"/>
        <v>0</v>
      </c>
      <c r="V121" s="33">
        <f t="shared" si="49"/>
        <v>0</v>
      </c>
      <c r="W121" s="33">
        <v>0</v>
      </c>
      <c r="X121" s="33">
        <f t="shared" si="50"/>
        <v>0</v>
      </c>
      <c r="Y121" s="38">
        <f t="shared" si="51"/>
        <v>0</v>
      </c>
      <c r="AA121" s="71">
        <v>116</v>
      </c>
      <c r="AB121" s="33">
        <f t="shared" si="52"/>
        <v>0</v>
      </c>
      <c r="AC121" s="308">
        <f t="shared" si="77"/>
        <v>0</v>
      </c>
      <c r="AD121" s="101">
        <f t="shared" si="53"/>
        <v>0</v>
      </c>
      <c r="AE121" s="101">
        <f t="shared" si="54"/>
        <v>0</v>
      </c>
      <c r="AF121" s="197">
        <f t="shared" si="73"/>
        <v>0</v>
      </c>
      <c r="AG121" s="197">
        <f t="shared" si="74"/>
        <v>0</v>
      </c>
      <c r="AH121" s="197">
        <f t="shared" si="75"/>
        <v>0</v>
      </c>
      <c r="AI121" s="202">
        <f t="shared" si="76"/>
        <v>0</v>
      </c>
      <c r="AK121" s="71">
        <v>116</v>
      </c>
      <c r="AL121" s="33">
        <f t="shared" si="55"/>
        <v>0</v>
      </c>
      <c r="AM121" s="33">
        <f t="shared" si="56"/>
        <v>0</v>
      </c>
      <c r="AN121" s="33">
        <f t="shared" si="57"/>
        <v>0</v>
      </c>
      <c r="AO121" s="33">
        <f t="shared" si="58"/>
        <v>0</v>
      </c>
      <c r="AP121" s="33">
        <f t="shared" si="59"/>
        <v>0</v>
      </c>
      <c r="AQ121" s="197">
        <f t="shared" si="60"/>
        <v>0</v>
      </c>
      <c r="AR121" s="197">
        <f t="shared" si="60"/>
        <v>0</v>
      </c>
      <c r="AS121" s="197">
        <f t="shared" si="60"/>
        <v>0</v>
      </c>
      <c r="AT121" s="197">
        <f t="shared" si="60"/>
        <v>0</v>
      </c>
      <c r="AU121" s="33"/>
      <c r="AV121" s="33"/>
      <c r="AW121" s="33"/>
      <c r="AX121" s="33"/>
      <c r="AY121" s="76"/>
    </row>
    <row r="122" spans="2:51">
      <c r="C122" s="136" t="s">
        <v>145</v>
      </c>
      <c r="D122" s="136" t="s">
        <v>72</v>
      </c>
      <c r="E122" s="81" t="s">
        <v>166</v>
      </c>
      <c r="I122" s="55">
        <v>117</v>
      </c>
      <c r="J122" s="33">
        <f t="shared" si="63"/>
        <v>0</v>
      </c>
      <c r="K122" s="33">
        <f t="shared" si="64"/>
        <v>0</v>
      </c>
      <c r="L122" s="33">
        <f t="shared" si="65"/>
        <v>0</v>
      </c>
      <c r="M122" s="33">
        <f t="shared" si="66"/>
        <v>0</v>
      </c>
      <c r="N122" s="33">
        <f t="shared" si="46"/>
        <v>0</v>
      </c>
      <c r="O122" s="34">
        <f t="shared" si="47"/>
        <v>0</v>
      </c>
      <c r="P122" s="55">
        <v>117</v>
      </c>
      <c r="Q122" s="33">
        <f t="shared" si="61"/>
        <v>0</v>
      </c>
      <c r="R122" s="33">
        <f t="shared" si="67"/>
        <v>0</v>
      </c>
      <c r="S122" s="33">
        <f t="shared" si="68"/>
        <v>0</v>
      </c>
      <c r="T122" s="33">
        <f t="shared" si="48"/>
        <v>0</v>
      </c>
      <c r="U122" s="33">
        <f t="shared" si="62"/>
        <v>0</v>
      </c>
      <c r="V122" s="33">
        <f t="shared" si="49"/>
        <v>0</v>
      </c>
      <c r="W122" s="33">
        <v>0</v>
      </c>
      <c r="X122" s="33">
        <f t="shared" si="50"/>
        <v>0</v>
      </c>
      <c r="Y122" s="38">
        <f t="shared" si="51"/>
        <v>0</v>
      </c>
      <c r="AA122" s="71">
        <v>117</v>
      </c>
      <c r="AB122" s="33">
        <f t="shared" si="52"/>
        <v>0</v>
      </c>
      <c r="AC122" s="308">
        <f t="shared" si="77"/>
        <v>0</v>
      </c>
      <c r="AD122" s="101">
        <f t="shared" si="53"/>
        <v>0</v>
      </c>
      <c r="AE122" s="101">
        <f t="shared" si="54"/>
        <v>0</v>
      </c>
      <c r="AF122" s="197">
        <f t="shared" si="73"/>
        <v>0</v>
      </c>
      <c r="AG122" s="197">
        <f t="shared" si="74"/>
        <v>0</v>
      </c>
      <c r="AH122" s="197">
        <f t="shared" si="75"/>
        <v>0</v>
      </c>
      <c r="AI122" s="202">
        <f t="shared" si="76"/>
        <v>0</v>
      </c>
      <c r="AK122" s="71">
        <v>117</v>
      </c>
      <c r="AL122" s="33">
        <f t="shared" si="55"/>
        <v>0</v>
      </c>
      <c r="AM122" s="33">
        <f t="shared" si="56"/>
        <v>0</v>
      </c>
      <c r="AN122" s="33">
        <f t="shared" si="57"/>
        <v>0</v>
      </c>
      <c r="AO122" s="33">
        <f t="shared" si="58"/>
        <v>0</v>
      </c>
      <c r="AP122" s="33">
        <f t="shared" si="59"/>
        <v>0</v>
      </c>
      <c r="AQ122" s="197">
        <f t="shared" si="60"/>
        <v>0</v>
      </c>
      <c r="AR122" s="197">
        <f t="shared" si="60"/>
        <v>0</v>
      </c>
      <c r="AS122" s="197">
        <f t="shared" si="60"/>
        <v>0</v>
      </c>
      <c r="AT122" s="197">
        <f t="shared" si="60"/>
        <v>0</v>
      </c>
      <c r="AU122" s="33"/>
      <c r="AV122" s="33"/>
      <c r="AW122" s="33"/>
      <c r="AX122" s="33"/>
      <c r="AY122" s="76"/>
    </row>
    <row r="123" spans="2:51">
      <c r="B123" s="67" t="s">
        <v>168</v>
      </c>
      <c r="C123" s="82">
        <f>AY35</f>
        <v>3.44</v>
      </c>
      <c r="D123" s="307">
        <f>IF(AND(D8=B100,F12=C194),J34*50%*G107,0)</f>
        <v>0</v>
      </c>
      <c r="E123" s="78">
        <f>C123-D123</f>
        <v>3.44</v>
      </c>
      <c r="I123" s="55">
        <v>118</v>
      </c>
      <c r="J123" s="33">
        <f t="shared" si="63"/>
        <v>0</v>
      </c>
      <c r="K123" s="33">
        <f t="shared" si="64"/>
        <v>0</v>
      </c>
      <c r="L123" s="33">
        <f t="shared" si="65"/>
        <v>0</v>
      </c>
      <c r="M123" s="33">
        <f t="shared" si="66"/>
        <v>0</v>
      </c>
      <c r="N123" s="33">
        <f t="shared" si="46"/>
        <v>0</v>
      </c>
      <c r="O123" s="34">
        <f t="shared" si="47"/>
        <v>0</v>
      </c>
      <c r="P123" s="55">
        <v>118</v>
      </c>
      <c r="Q123" s="33">
        <f t="shared" si="61"/>
        <v>0</v>
      </c>
      <c r="R123" s="33">
        <f t="shared" si="67"/>
        <v>0</v>
      </c>
      <c r="S123" s="33">
        <f t="shared" si="68"/>
        <v>0</v>
      </c>
      <c r="T123" s="33">
        <f t="shared" si="48"/>
        <v>0</v>
      </c>
      <c r="U123" s="33">
        <f t="shared" si="62"/>
        <v>0</v>
      </c>
      <c r="V123" s="33">
        <f t="shared" si="49"/>
        <v>0</v>
      </c>
      <c r="W123" s="33">
        <v>0</v>
      </c>
      <c r="X123" s="33">
        <f t="shared" si="50"/>
        <v>0</v>
      </c>
      <c r="Y123" s="38">
        <f t="shared" si="51"/>
        <v>0</v>
      </c>
      <c r="AA123" s="71">
        <v>118</v>
      </c>
      <c r="AB123" s="33">
        <f t="shared" si="52"/>
        <v>0</v>
      </c>
      <c r="AC123" s="308">
        <f t="shared" si="77"/>
        <v>0</v>
      </c>
      <c r="AD123" s="101">
        <f t="shared" si="53"/>
        <v>0</v>
      </c>
      <c r="AE123" s="101">
        <f t="shared" si="54"/>
        <v>0</v>
      </c>
      <c r="AF123" s="197">
        <f t="shared" si="73"/>
        <v>0</v>
      </c>
      <c r="AG123" s="197">
        <f t="shared" si="74"/>
        <v>0</v>
      </c>
      <c r="AH123" s="197">
        <f t="shared" si="75"/>
        <v>0</v>
      </c>
      <c r="AI123" s="202">
        <f t="shared" si="76"/>
        <v>0</v>
      </c>
      <c r="AK123" s="71">
        <v>118</v>
      </c>
      <c r="AL123" s="33">
        <f t="shared" si="55"/>
        <v>0</v>
      </c>
      <c r="AM123" s="33">
        <f t="shared" si="56"/>
        <v>0</v>
      </c>
      <c r="AN123" s="33">
        <f t="shared" si="57"/>
        <v>0</v>
      </c>
      <c r="AO123" s="33">
        <f t="shared" si="58"/>
        <v>0</v>
      </c>
      <c r="AP123" s="33">
        <f t="shared" si="59"/>
        <v>0</v>
      </c>
      <c r="AQ123" s="197">
        <f t="shared" si="60"/>
        <v>0</v>
      </c>
      <c r="AR123" s="197">
        <f t="shared" si="60"/>
        <v>0</v>
      </c>
      <c r="AS123" s="197">
        <f t="shared" si="60"/>
        <v>0</v>
      </c>
      <c r="AT123" s="197">
        <f t="shared" si="60"/>
        <v>0</v>
      </c>
      <c r="AU123" s="33"/>
      <c r="AV123" s="33"/>
      <c r="AW123" s="33"/>
      <c r="AX123" s="33"/>
      <c r="AY123" s="76"/>
    </row>
    <row r="124" spans="2:51">
      <c r="I124" s="55">
        <v>119</v>
      </c>
      <c r="J124" s="33">
        <f t="shared" si="63"/>
        <v>0</v>
      </c>
      <c r="K124" s="33">
        <f t="shared" si="64"/>
        <v>0</v>
      </c>
      <c r="L124" s="33">
        <f t="shared" si="65"/>
        <v>0</v>
      </c>
      <c r="M124" s="33">
        <f t="shared" si="66"/>
        <v>0</v>
      </c>
      <c r="N124" s="33">
        <f t="shared" si="46"/>
        <v>0</v>
      </c>
      <c r="O124" s="34">
        <f t="shared" si="47"/>
        <v>0</v>
      </c>
      <c r="P124" s="55">
        <v>119</v>
      </c>
      <c r="Q124" s="33">
        <f t="shared" si="61"/>
        <v>0</v>
      </c>
      <c r="R124" s="33">
        <f t="shared" si="67"/>
        <v>0</v>
      </c>
      <c r="S124" s="33">
        <f t="shared" si="68"/>
        <v>0</v>
      </c>
      <c r="T124" s="33">
        <f t="shared" si="48"/>
        <v>0</v>
      </c>
      <c r="U124" s="33">
        <f t="shared" si="62"/>
        <v>0</v>
      </c>
      <c r="V124" s="33">
        <f t="shared" si="49"/>
        <v>0</v>
      </c>
      <c r="W124" s="33">
        <v>0</v>
      </c>
      <c r="X124" s="33">
        <f t="shared" si="50"/>
        <v>0</v>
      </c>
      <c r="Y124" s="38">
        <f t="shared" si="51"/>
        <v>0</v>
      </c>
      <c r="AA124" s="71">
        <v>119</v>
      </c>
      <c r="AB124" s="33">
        <f t="shared" si="52"/>
        <v>0</v>
      </c>
      <c r="AC124" s="308">
        <f t="shared" si="77"/>
        <v>0</v>
      </c>
      <c r="AD124" s="101">
        <f t="shared" si="53"/>
        <v>0</v>
      </c>
      <c r="AE124" s="101">
        <f t="shared" si="54"/>
        <v>0</v>
      </c>
      <c r="AF124" s="197">
        <f t="shared" si="73"/>
        <v>0</v>
      </c>
      <c r="AG124" s="197">
        <f t="shared" si="74"/>
        <v>0</v>
      </c>
      <c r="AH124" s="197">
        <f t="shared" si="75"/>
        <v>0</v>
      </c>
      <c r="AI124" s="202">
        <f t="shared" si="76"/>
        <v>0</v>
      </c>
      <c r="AK124" s="71">
        <v>119</v>
      </c>
      <c r="AL124" s="33">
        <f t="shared" si="55"/>
        <v>0</v>
      </c>
      <c r="AM124" s="33">
        <f t="shared" si="56"/>
        <v>0</v>
      </c>
      <c r="AN124" s="33">
        <f t="shared" si="57"/>
        <v>0</v>
      </c>
      <c r="AO124" s="33">
        <f t="shared" si="58"/>
        <v>0</v>
      </c>
      <c r="AP124" s="33">
        <f t="shared" si="59"/>
        <v>0</v>
      </c>
      <c r="AQ124" s="197">
        <f t="shared" si="60"/>
        <v>0</v>
      </c>
      <c r="AR124" s="197">
        <f t="shared" si="60"/>
        <v>0</v>
      </c>
      <c r="AS124" s="197">
        <f t="shared" si="60"/>
        <v>0</v>
      </c>
      <c r="AT124" s="197">
        <f t="shared" si="60"/>
        <v>0</v>
      </c>
      <c r="AU124" s="33"/>
      <c r="AV124" s="33"/>
      <c r="AW124" s="33"/>
      <c r="AX124" s="33"/>
      <c r="AY124" s="76"/>
    </row>
    <row r="125" spans="2:51">
      <c r="C125" s="80"/>
      <c r="D125" s="80"/>
      <c r="E125" s="83"/>
      <c r="I125" s="55">
        <v>120</v>
      </c>
      <c r="J125" s="33">
        <f t="shared" si="63"/>
        <v>0</v>
      </c>
      <c r="K125" s="33">
        <f t="shared" si="64"/>
        <v>0</v>
      </c>
      <c r="L125" s="33">
        <f t="shared" si="65"/>
        <v>0</v>
      </c>
      <c r="M125" s="33">
        <f t="shared" si="66"/>
        <v>0</v>
      </c>
      <c r="N125" s="33">
        <f t="shared" si="46"/>
        <v>0</v>
      </c>
      <c r="O125" s="34">
        <f t="shared" si="47"/>
        <v>0</v>
      </c>
      <c r="P125" s="55">
        <v>120</v>
      </c>
      <c r="Q125" s="33">
        <f t="shared" si="61"/>
        <v>0</v>
      </c>
      <c r="R125" s="33">
        <f t="shared" si="67"/>
        <v>0</v>
      </c>
      <c r="S125" s="33">
        <f t="shared" si="68"/>
        <v>0</v>
      </c>
      <c r="T125" s="33">
        <f t="shared" si="48"/>
        <v>0</v>
      </c>
      <c r="U125" s="33">
        <f t="shared" si="62"/>
        <v>0</v>
      </c>
      <c r="V125" s="33">
        <f t="shared" si="49"/>
        <v>0</v>
      </c>
      <c r="W125" s="33">
        <v>0</v>
      </c>
      <c r="X125" s="33">
        <f t="shared" si="50"/>
        <v>0</v>
      </c>
      <c r="Y125" s="38">
        <f t="shared" si="51"/>
        <v>0</v>
      </c>
      <c r="AA125" s="71">
        <v>120</v>
      </c>
      <c r="AB125" s="33">
        <f t="shared" si="52"/>
        <v>0</v>
      </c>
      <c r="AC125" s="308">
        <f t="shared" si="77"/>
        <v>0</v>
      </c>
      <c r="AD125" s="101">
        <f t="shared" si="53"/>
        <v>0</v>
      </c>
      <c r="AE125" s="101">
        <f t="shared" si="54"/>
        <v>0</v>
      </c>
      <c r="AF125" s="197">
        <f t="shared" si="73"/>
        <v>0</v>
      </c>
      <c r="AG125" s="197">
        <f t="shared" si="74"/>
        <v>0</v>
      </c>
      <c r="AH125" s="197">
        <f t="shared" si="75"/>
        <v>0</v>
      </c>
      <c r="AI125" s="202">
        <f t="shared" si="76"/>
        <v>0</v>
      </c>
      <c r="AK125" s="71">
        <v>120</v>
      </c>
      <c r="AL125" s="33">
        <f t="shared" si="55"/>
        <v>0</v>
      </c>
      <c r="AM125" s="33">
        <f t="shared" si="56"/>
        <v>0</v>
      </c>
      <c r="AN125" s="33">
        <f t="shared" si="57"/>
        <v>0</v>
      </c>
      <c r="AO125" s="33">
        <f t="shared" si="58"/>
        <v>0</v>
      </c>
      <c r="AP125" s="33">
        <f t="shared" si="59"/>
        <v>0</v>
      </c>
      <c r="AQ125" s="197">
        <f t="shared" si="60"/>
        <v>0</v>
      </c>
      <c r="AR125" s="197">
        <f t="shared" si="60"/>
        <v>0</v>
      </c>
      <c r="AS125" s="197">
        <f t="shared" si="60"/>
        <v>0</v>
      </c>
      <c r="AT125" s="197">
        <f t="shared" si="60"/>
        <v>0</v>
      </c>
      <c r="AU125" s="33"/>
      <c r="AV125" s="33"/>
      <c r="AW125" s="33"/>
      <c r="AX125" s="33"/>
      <c r="AY125" s="76"/>
    </row>
    <row r="126" spans="2:51">
      <c r="C126" s="84" t="s">
        <v>129</v>
      </c>
      <c r="D126" s="84" t="s">
        <v>130</v>
      </c>
      <c r="E126" s="84" t="s">
        <v>160</v>
      </c>
      <c r="F126" s="160" t="s">
        <v>170</v>
      </c>
      <c r="I126" s="55">
        <v>121</v>
      </c>
      <c r="J126" s="33">
        <f t="shared" si="63"/>
        <v>0</v>
      </c>
      <c r="K126" s="33">
        <f t="shared" si="64"/>
        <v>0</v>
      </c>
      <c r="L126" s="33">
        <f t="shared" si="65"/>
        <v>0</v>
      </c>
      <c r="M126" s="33">
        <f t="shared" si="66"/>
        <v>0</v>
      </c>
      <c r="N126" s="33">
        <f t="shared" si="46"/>
        <v>0</v>
      </c>
      <c r="O126" s="34">
        <f t="shared" si="47"/>
        <v>0</v>
      </c>
      <c r="P126" s="55">
        <v>121</v>
      </c>
      <c r="Q126" s="33">
        <f t="shared" si="61"/>
        <v>0</v>
      </c>
      <c r="R126" s="33">
        <f t="shared" si="67"/>
        <v>0</v>
      </c>
      <c r="S126" s="33">
        <f t="shared" si="68"/>
        <v>0</v>
      </c>
      <c r="T126" s="33">
        <f t="shared" si="48"/>
        <v>0</v>
      </c>
      <c r="U126" s="33">
        <f t="shared" si="62"/>
        <v>0</v>
      </c>
      <c r="V126" s="33">
        <f t="shared" si="49"/>
        <v>0</v>
      </c>
      <c r="W126" s="33">
        <v>0</v>
      </c>
      <c r="X126" s="33">
        <f t="shared" si="50"/>
        <v>0</v>
      </c>
      <c r="Y126" s="38">
        <f t="shared" si="51"/>
        <v>0</v>
      </c>
      <c r="AA126" s="71">
        <v>121</v>
      </c>
      <c r="AB126" s="33">
        <f t="shared" si="52"/>
        <v>0</v>
      </c>
      <c r="AC126" s="308">
        <f t="shared" si="77"/>
        <v>0</v>
      </c>
      <c r="AD126" s="101">
        <f t="shared" si="53"/>
        <v>0</v>
      </c>
      <c r="AE126" s="101">
        <f t="shared" si="54"/>
        <v>0</v>
      </c>
      <c r="AF126" s="197">
        <f t="shared" si="73"/>
        <v>0</v>
      </c>
      <c r="AG126" s="197">
        <f t="shared" si="74"/>
        <v>0</v>
      </c>
      <c r="AH126" s="197">
        <f t="shared" si="75"/>
        <v>0</v>
      </c>
      <c r="AI126" s="202">
        <f t="shared" si="76"/>
        <v>0</v>
      </c>
      <c r="AK126" s="71">
        <v>121</v>
      </c>
      <c r="AL126" s="33">
        <f t="shared" si="55"/>
        <v>0</v>
      </c>
      <c r="AM126" s="33">
        <f t="shared" si="56"/>
        <v>0</v>
      </c>
      <c r="AN126" s="33">
        <f t="shared" si="57"/>
        <v>0</v>
      </c>
      <c r="AO126" s="33">
        <f t="shared" si="58"/>
        <v>0</v>
      </c>
      <c r="AP126" s="33">
        <f t="shared" si="59"/>
        <v>0</v>
      </c>
      <c r="AQ126" s="197">
        <f t="shared" si="60"/>
        <v>0</v>
      </c>
      <c r="AR126" s="197">
        <f t="shared" si="60"/>
        <v>0</v>
      </c>
      <c r="AS126" s="197">
        <f t="shared" si="60"/>
        <v>0</v>
      </c>
      <c r="AT126" s="197">
        <f t="shared" si="60"/>
        <v>0</v>
      </c>
      <c r="AU126" s="33"/>
      <c r="AV126" s="33"/>
      <c r="AW126" s="33"/>
      <c r="AX126" s="33"/>
      <c r="AY126" s="76"/>
    </row>
    <row r="127" spans="2:51">
      <c r="C127" s="82">
        <f>IF(F18&gt;30,MIN(E113:E114),E113)</f>
        <v>224.82106491638876</v>
      </c>
      <c r="D127" s="82">
        <f>MIN(E118:E119)</f>
        <v>0</v>
      </c>
      <c r="E127" s="85">
        <f>E123</f>
        <v>3.44</v>
      </c>
      <c r="F127" s="86">
        <f>SUM(C127:E127)</f>
        <v>228.26106491638876</v>
      </c>
      <c r="I127" s="55">
        <v>122</v>
      </c>
      <c r="J127" s="33">
        <f t="shared" si="63"/>
        <v>0</v>
      </c>
      <c r="K127" s="33">
        <f t="shared" si="64"/>
        <v>0</v>
      </c>
      <c r="L127" s="33">
        <f t="shared" si="65"/>
        <v>0</v>
      </c>
      <c r="M127" s="33">
        <f t="shared" si="66"/>
        <v>0</v>
      </c>
      <c r="N127" s="33">
        <f t="shared" si="46"/>
        <v>0</v>
      </c>
      <c r="O127" s="34">
        <f t="shared" si="47"/>
        <v>0</v>
      </c>
      <c r="P127" s="55">
        <v>122</v>
      </c>
      <c r="Q127" s="33">
        <f t="shared" si="61"/>
        <v>0</v>
      </c>
      <c r="R127" s="33">
        <f t="shared" si="67"/>
        <v>0</v>
      </c>
      <c r="S127" s="33">
        <f t="shared" si="68"/>
        <v>0</v>
      </c>
      <c r="T127" s="33">
        <f t="shared" si="48"/>
        <v>0</v>
      </c>
      <c r="U127" s="33">
        <f t="shared" si="62"/>
        <v>0</v>
      </c>
      <c r="V127" s="33">
        <f t="shared" si="49"/>
        <v>0</v>
      </c>
      <c r="W127" s="33">
        <v>0</v>
      </c>
      <c r="X127" s="33">
        <f t="shared" si="50"/>
        <v>0</v>
      </c>
      <c r="Y127" s="38">
        <f t="shared" si="51"/>
        <v>0</v>
      </c>
      <c r="AA127" s="71">
        <v>122</v>
      </c>
      <c r="AB127" s="33">
        <f t="shared" si="52"/>
        <v>0</v>
      </c>
      <c r="AC127" s="308">
        <f t="shared" si="77"/>
        <v>0</v>
      </c>
      <c r="AD127" s="101">
        <f t="shared" si="53"/>
        <v>0</v>
      </c>
      <c r="AE127" s="101">
        <f t="shared" si="54"/>
        <v>0</v>
      </c>
      <c r="AF127" s="197">
        <f t="shared" si="73"/>
        <v>0</v>
      </c>
      <c r="AG127" s="197">
        <f t="shared" si="74"/>
        <v>0</v>
      </c>
      <c r="AH127" s="197">
        <f t="shared" si="75"/>
        <v>0</v>
      </c>
      <c r="AI127" s="202">
        <f t="shared" si="76"/>
        <v>0</v>
      </c>
      <c r="AK127" s="71">
        <v>122</v>
      </c>
      <c r="AL127" s="33">
        <f t="shared" si="55"/>
        <v>0</v>
      </c>
      <c r="AM127" s="33">
        <f t="shared" si="56"/>
        <v>0</v>
      </c>
      <c r="AN127" s="33">
        <f t="shared" si="57"/>
        <v>0</v>
      </c>
      <c r="AO127" s="33">
        <f t="shared" si="58"/>
        <v>0</v>
      </c>
      <c r="AP127" s="33">
        <f t="shared" si="59"/>
        <v>0</v>
      </c>
      <c r="AQ127" s="197">
        <f t="shared" si="60"/>
        <v>0</v>
      </c>
      <c r="AR127" s="197">
        <f t="shared" si="60"/>
        <v>0</v>
      </c>
      <c r="AS127" s="197">
        <f t="shared" si="60"/>
        <v>0</v>
      </c>
      <c r="AT127" s="197">
        <f t="shared" si="60"/>
        <v>0</v>
      </c>
      <c r="AU127" s="33"/>
      <c r="AV127" s="33"/>
      <c r="AW127" s="33"/>
      <c r="AX127" s="33"/>
      <c r="AY127" s="76"/>
    </row>
    <row r="128" spans="2:51">
      <c r="E128" s="24"/>
      <c r="I128" s="55">
        <v>123</v>
      </c>
      <c r="J128" s="33">
        <f t="shared" si="63"/>
        <v>0</v>
      </c>
      <c r="K128" s="33">
        <f t="shared" si="64"/>
        <v>0</v>
      </c>
      <c r="L128" s="33">
        <f t="shared" si="65"/>
        <v>0</v>
      </c>
      <c r="M128" s="33">
        <f t="shared" si="66"/>
        <v>0</v>
      </c>
      <c r="N128" s="33">
        <f t="shared" si="46"/>
        <v>0</v>
      </c>
      <c r="O128" s="34">
        <f t="shared" si="47"/>
        <v>0</v>
      </c>
      <c r="P128" s="55">
        <v>123</v>
      </c>
      <c r="Q128" s="33">
        <f t="shared" si="61"/>
        <v>0</v>
      </c>
      <c r="R128" s="33">
        <f t="shared" si="67"/>
        <v>0</v>
      </c>
      <c r="S128" s="33">
        <f t="shared" si="68"/>
        <v>0</v>
      </c>
      <c r="T128" s="33">
        <f t="shared" si="48"/>
        <v>0</v>
      </c>
      <c r="U128" s="33">
        <f t="shared" si="62"/>
        <v>0</v>
      </c>
      <c r="V128" s="33">
        <f t="shared" si="49"/>
        <v>0</v>
      </c>
      <c r="W128" s="33">
        <v>0</v>
      </c>
      <c r="X128" s="33">
        <f t="shared" si="50"/>
        <v>0</v>
      </c>
      <c r="Y128" s="38">
        <f t="shared" si="51"/>
        <v>0</v>
      </c>
      <c r="AA128" s="71">
        <v>123</v>
      </c>
      <c r="AB128" s="33">
        <f t="shared" si="52"/>
        <v>0</v>
      </c>
      <c r="AC128" s="308">
        <f t="shared" si="77"/>
        <v>0</v>
      </c>
      <c r="AD128" s="101">
        <f t="shared" si="53"/>
        <v>0</v>
      </c>
      <c r="AE128" s="101">
        <f t="shared" si="54"/>
        <v>0</v>
      </c>
      <c r="AF128" s="197">
        <f t="shared" si="73"/>
        <v>0</v>
      </c>
      <c r="AG128" s="197">
        <f t="shared" si="74"/>
        <v>0</v>
      </c>
      <c r="AH128" s="197">
        <f t="shared" si="75"/>
        <v>0</v>
      </c>
      <c r="AI128" s="202">
        <f t="shared" si="76"/>
        <v>0</v>
      </c>
      <c r="AK128" s="71">
        <v>123</v>
      </c>
      <c r="AL128" s="33">
        <f t="shared" si="55"/>
        <v>0</v>
      </c>
      <c r="AM128" s="33">
        <f t="shared" si="56"/>
        <v>0</v>
      </c>
      <c r="AN128" s="33">
        <f t="shared" si="57"/>
        <v>0</v>
      </c>
      <c r="AO128" s="33">
        <f t="shared" si="58"/>
        <v>0</v>
      </c>
      <c r="AP128" s="33">
        <f t="shared" si="59"/>
        <v>0</v>
      </c>
      <c r="AQ128" s="197">
        <f t="shared" si="60"/>
        <v>0</v>
      </c>
      <c r="AR128" s="197">
        <f t="shared" si="60"/>
        <v>0</v>
      </c>
      <c r="AS128" s="197">
        <f t="shared" si="60"/>
        <v>0</v>
      </c>
      <c r="AT128" s="197">
        <f t="shared" si="60"/>
        <v>0</v>
      </c>
      <c r="AU128" s="33"/>
      <c r="AV128" s="33"/>
      <c r="AW128" s="33"/>
      <c r="AX128" s="33"/>
      <c r="AY128" s="76"/>
    </row>
    <row r="129" spans="3:51">
      <c r="E129" s="24"/>
      <c r="I129" s="55">
        <v>124</v>
      </c>
      <c r="J129" s="33">
        <f t="shared" si="63"/>
        <v>0</v>
      </c>
      <c r="K129" s="33">
        <f t="shared" si="64"/>
        <v>0</v>
      </c>
      <c r="L129" s="33">
        <f t="shared" si="65"/>
        <v>0</v>
      </c>
      <c r="M129" s="33">
        <f t="shared" si="66"/>
        <v>0</v>
      </c>
      <c r="N129" s="33">
        <f t="shared" si="46"/>
        <v>0</v>
      </c>
      <c r="O129" s="34">
        <f t="shared" si="47"/>
        <v>0</v>
      </c>
      <c r="P129" s="55">
        <v>124</v>
      </c>
      <c r="Q129" s="33">
        <f t="shared" si="61"/>
        <v>0</v>
      </c>
      <c r="R129" s="33">
        <f t="shared" si="67"/>
        <v>0</v>
      </c>
      <c r="S129" s="33">
        <f t="shared" si="68"/>
        <v>0</v>
      </c>
      <c r="T129" s="33">
        <f t="shared" si="48"/>
        <v>0</v>
      </c>
      <c r="U129" s="33">
        <f t="shared" si="62"/>
        <v>0</v>
      </c>
      <c r="V129" s="33">
        <f t="shared" si="49"/>
        <v>0</v>
      </c>
      <c r="W129" s="33">
        <v>0</v>
      </c>
      <c r="X129" s="33">
        <f t="shared" si="50"/>
        <v>0</v>
      </c>
      <c r="Y129" s="38">
        <f t="shared" si="51"/>
        <v>0</v>
      </c>
      <c r="AA129" s="71">
        <v>124</v>
      </c>
      <c r="AB129" s="33">
        <f t="shared" si="52"/>
        <v>0</v>
      </c>
      <c r="AC129" s="308">
        <f t="shared" si="77"/>
        <v>0</v>
      </c>
      <c r="AD129" s="101">
        <f t="shared" si="53"/>
        <v>0</v>
      </c>
      <c r="AE129" s="101">
        <f t="shared" si="54"/>
        <v>0</v>
      </c>
      <c r="AF129" s="197">
        <f t="shared" si="73"/>
        <v>0</v>
      </c>
      <c r="AG129" s="197">
        <f t="shared" si="74"/>
        <v>0</v>
      </c>
      <c r="AH129" s="197">
        <f t="shared" si="75"/>
        <v>0</v>
      </c>
      <c r="AI129" s="202">
        <f t="shared" si="76"/>
        <v>0</v>
      </c>
      <c r="AK129" s="71">
        <v>124</v>
      </c>
      <c r="AL129" s="33">
        <f t="shared" si="55"/>
        <v>0</v>
      </c>
      <c r="AM129" s="33">
        <f t="shared" si="56"/>
        <v>0</v>
      </c>
      <c r="AN129" s="33">
        <f t="shared" si="57"/>
        <v>0</v>
      </c>
      <c r="AO129" s="33">
        <f t="shared" si="58"/>
        <v>0</v>
      </c>
      <c r="AP129" s="33">
        <f t="shared" si="59"/>
        <v>0</v>
      </c>
      <c r="AQ129" s="197">
        <f t="shared" si="60"/>
        <v>0</v>
      </c>
      <c r="AR129" s="197">
        <f t="shared" si="60"/>
        <v>0</v>
      </c>
      <c r="AS129" s="197">
        <f t="shared" si="60"/>
        <v>0</v>
      </c>
      <c r="AT129" s="197">
        <f t="shared" si="60"/>
        <v>0</v>
      </c>
      <c r="AU129" s="33"/>
      <c r="AV129" s="33"/>
      <c r="AW129" s="33"/>
      <c r="AX129" s="33"/>
      <c r="AY129" s="76"/>
    </row>
    <row r="130" spans="3:51" ht="30">
      <c r="C130" s="3" t="s">
        <v>5</v>
      </c>
      <c r="D130" s="3" t="s">
        <v>6</v>
      </c>
      <c r="E130" s="191" t="s">
        <v>227</v>
      </c>
      <c r="I130" s="55">
        <v>125</v>
      </c>
      <c r="J130" s="33">
        <f t="shared" si="63"/>
        <v>0</v>
      </c>
      <c r="K130" s="33">
        <f t="shared" si="64"/>
        <v>0</v>
      </c>
      <c r="L130" s="33">
        <f t="shared" si="65"/>
        <v>0</v>
      </c>
      <c r="M130" s="33">
        <f t="shared" si="66"/>
        <v>0</v>
      </c>
      <c r="N130" s="33">
        <f t="shared" si="46"/>
        <v>0</v>
      </c>
      <c r="O130" s="34">
        <f t="shared" si="47"/>
        <v>0</v>
      </c>
      <c r="P130" s="55">
        <v>125</v>
      </c>
      <c r="Q130" s="33">
        <f t="shared" si="61"/>
        <v>0</v>
      </c>
      <c r="R130" s="33">
        <f t="shared" si="67"/>
        <v>0</v>
      </c>
      <c r="S130" s="33">
        <f t="shared" si="68"/>
        <v>0</v>
      </c>
      <c r="T130" s="33">
        <f t="shared" si="48"/>
        <v>0</v>
      </c>
      <c r="U130" s="33">
        <f t="shared" si="62"/>
        <v>0</v>
      </c>
      <c r="V130" s="33">
        <f t="shared" si="49"/>
        <v>0</v>
      </c>
      <c r="W130" s="33">
        <v>0</v>
      </c>
      <c r="X130" s="33">
        <f t="shared" si="50"/>
        <v>0</v>
      </c>
      <c r="Y130" s="38">
        <f t="shared" si="51"/>
        <v>0</v>
      </c>
      <c r="AA130" s="71">
        <v>125</v>
      </c>
      <c r="AB130" s="33">
        <f t="shared" si="52"/>
        <v>0</v>
      </c>
      <c r="AC130" s="308">
        <f t="shared" si="77"/>
        <v>0</v>
      </c>
      <c r="AD130" s="101">
        <f t="shared" si="53"/>
        <v>0</v>
      </c>
      <c r="AE130" s="101">
        <f t="shared" si="54"/>
        <v>0</v>
      </c>
      <c r="AF130" s="197">
        <f t="shared" si="73"/>
        <v>0</v>
      </c>
      <c r="AG130" s="197">
        <f t="shared" si="74"/>
        <v>0</v>
      </c>
      <c r="AH130" s="197">
        <f t="shared" si="75"/>
        <v>0</v>
      </c>
      <c r="AI130" s="202">
        <f t="shared" si="76"/>
        <v>0</v>
      </c>
      <c r="AK130" s="71">
        <v>125</v>
      </c>
      <c r="AL130" s="33">
        <f t="shared" si="55"/>
        <v>0</v>
      </c>
      <c r="AM130" s="33">
        <f t="shared" si="56"/>
        <v>0</v>
      </c>
      <c r="AN130" s="33">
        <f t="shared" si="57"/>
        <v>0</v>
      </c>
      <c r="AO130" s="33">
        <f t="shared" si="58"/>
        <v>0</v>
      </c>
      <c r="AP130" s="33">
        <f t="shared" si="59"/>
        <v>0</v>
      </c>
      <c r="AQ130" s="197">
        <f t="shared" si="60"/>
        <v>0</v>
      </c>
      <c r="AR130" s="197">
        <f t="shared" si="60"/>
        <v>0</v>
      </c>
      <c r="AS130" s="197">
        <f t="shared" si="60"/>
        <v>0</v>
      </c>
      <c r="AT130" s="197">
        <f t="shared" si="60"/>
        <v>0</v>
      </c>
      <c r="AU130" s="33"/>
      <c r="AV130" s="33"/>
      <c r="AW130" s="33"/>
      <c r="AX130" s="33"/>
      <c r="AY130" s="76"/>
    </row>
    <row r="131" spans="3:51">
      <c r="C131" s="169" t="s">
        <v>7</v>
      </c>
      <c r="D131" s="4">
        <v>0.62</v>
      </c>
      <c r="E131" s="191" t="s">
        <v>228</v>
      </c>
      <c r="I131" s="55">
        <v>126</v>
      </c>
      <c r="J131" s="33">
        <f t="shared" si="63"/>
        <v>0</v>
      </c>
      <c r="K131" s="33">
        <f t="shared" si="64"/>
        <v>0</v>
      </c>
      <c r="L131" s="33">
        <f t="shared" si="65"/>
        <v>0</v>
      </c>
      <c r="M131" s="33">
        <f t="shared" si="66"/>
        <v>0</v>
      </c>
      <c r="N131" s="33">
        <f t="shared" si="46"/>
        <v>0</v>
      </c>
      <c r="O131" s="34">
        <f t="shared" si="47"/>
        <v>0</v>
      </c>
      <c r="P131" s="55">
        <v>126</v>
      </c>
      <c r="Q131" s="33">
        <f t="shared" si="61"/>
        <v>0</v>
      </c>
      <c r="R131" s="33">
        <f t="shared" si="67"/>
        <v>0</v>
      </c>
      <c r="S131" s="33">
        <f t="shared" si="68"/>
        <v>0</v>
      </c>
      <c r="T131" s="33">
        <f t="shared" si="48"/>
        <v>0</v>
      </c>
      <c r="U131" s="33">
        <f t="shared" si="62"/>
        <v>0</v>
      </c>
      <c r="V131" s="33">
        <f t="shared" si="49"/>
        <v>0</v>
      </c>
      <c r="W131" s="33">
        <v>0</v>
      </c>
      <c r="X131" s="33">
        <f t="shared" si="50"/>
        <v>0</v>
      </c>
      <c r="Y131" s="38">
        <f t="shared" si="51"/>
        <v>0</v>
      </c>
      <c r="AA131" s="71">
        <v>126</v>
      </c>
      <c r="AB131" s="33">
        <f t="shared" si="52"/>
        <v>0</v>
      </c>
      <c r="AC131" s="308">
        <f t="shared" si="77"/>
        <v>0</v>
      </c>
      <c r="AD131" s="101">
        <f t="shared" si="53"/>
        <v>0</v>
      </c>
      <c r="AE131" s="101">
        <f t="shared" si="54"/>
        <v>0</v>
      </c>
      <c r="AF131" s="197">
        <f t="shared" si="73"/>
        <v>0</v>
      </c>
      <c r="AG131" s="197">
        <f t="shared" si="74"/>
        <v>0</v>
      </c>
      <c r="AH131" s="197">
        <f t="shared" si="75"/>
        <v>0</v>
      </c>
      <c r="AI131" s="202">
        <f t="shared" si="76"/>
        <v>0</v>
      </c>
      <c r="AK131" s="71">
        <v>126</v>
      </c>
      <c r="AL131" s="33">
        <f t="shared" si="55"/>
        <v>0</v>
      </c>
      <c r="AM131" s="33">
        <f t="shared" si="56"/>
        <v>0</v>
      </c>
      <c r="AN131" s="33">
        <f t="shared" si="57"/>
        <v>0</v>
      </c>
      <c r="AO131" s="33">
        <f t="shared" si="58"/>
        <v>0</v>
      </c>
      <c r="AP131" s="33">
        <f t="shared" si="59"/>
        <v>0</v>
      </c>
      <c r="AQ131" s="197">
        <f t="shared" si="60"/>
        <v>0</v>
      </c>
      <c r="AR131" s="197">
        <f t="shared" si="60"/>
        <v>0</v>
      </c>
      <c r="AS131" s="197">
        <f t="shared" si="60"/>
        <v>0</v>
      </c>
      <c r="AT131" s="197">
        <f t="shared" si="60"/>
        <v>0</v>
      </c>
      <c r="AU131" s="33"/>
      <c r="AV131" s="33"/>
      <c r="AW131" s="33"/>
      <c r="AX131" s="33"/>
      <c r="AY131" s="76"/>
    </row>
    <row r="132" spans="3:51">
      <c r="C132" s="169" t="s">
        <v>4</v>
      </c>
      <c r="D132" s="4">
        <v>0.64</v>
      </c>
      <c r="E132" s="191" t="s">
        <v>228</v>
      </c>
      <c r="I132" s="55">
        <v>127</v>
      </c>
      <c r="J132" s="33">
        <f t="shared" si="63"/>
        <v>0</v>
      </c>
      <c r="K132" s="33">
        <f t="shared" si="64"/>
        <v>0</v>
      </c>
      <c r="L132" s="33">
        <f t="shared" si="65"/>
        <v>0</v>
      </c>
      <c r="M132" s="33">
        <f t="shared" si="66"/>
        <v>0</v>
      </c>
      <c r="N132" s="33">
        <f t="shared" si="46"/>
        <v>0</v>
      </c>
      <c r="O132" s="34">
        <f t="shared" si="47"/>
        <v>0</v>
      </c>
      <c r="P132" s="55">
        <v>127</v>
      </c>
      <c r="Q132" s="33">
        <f t="shared" si="61"/>
        <v>0</v>
      </c>
      <c r="R132" s="33">
        <f t="shared" si="67"/>
        <v>0</v>
      </c>
      <c r="S132" s="33">
        <f t="shared" si="68"/>
        <v>0</v>
      </c>
      <c r="T132" s="33">
        <f t="shared" si="48"/>
        <v>0</v>
      </c>
      <c r="U132" s="33">
        <f t="shared" si="62"/>
        <v>0</v>
      </c>
      <c r="V132" s="33">
        <f t="shared" si="49"/>
        <v>0</v>
      </c>
      <c r="W132" s="33">
        <v>0</v>
      </c>
      <c r="X132" s="33">
        <f t="shared" si="50"/>
        <v>0</v>
      </c>
      <c r="Y132" s="38">
        <f t="shared" si="51"/>
        <v>0</v>
      </c>
      <c r="AA132" s="71">
        <v>127</v>
      </c>
      <c r="AB132" s="33">
        <f t="shared" si="52"/>
        <v>0</v>
      </c>
      <c r="AC132" s="308">
        <f t="shared" si="77"/>
        <v>0</v>
      </c>
      <c r="AD132" s="101">
        <f t="shared" si="53"/>
        <v>0</v>
      </c>
      <c r="AE132" s="101">
        <f t="shared" si="54"/>
        <v>0</v>
      </c>
      <c r="AF132" s="197">
        <f t="shared" si="73"/>
        <v>0</v>
      </c>
      <c r="AG132" s="197">
        <f t="shared" si="74"/>
        <v>0</v>
      </c>
      <c r="AH132" s="197">
        <f t="shared" si="75"/>
        <v>0</v>
      </c>
      <c r="AI132" s="202">
        <f t="shared" si="76"/>
        <v>0</v>
      </c>
      <c r="AK132" s="71">
        <v>127</v>
      </c>
      <c r="AL132" s="33">
        <f t="shared" si="55"/>
        <v>0</v>
      </c>
      <c r="AM132" s="33">
        <f t="shared" si="56"/>
        <v>0</v>
      </c>
      <c r="AN132" s="33">
        <f t="shared" si="57"/>
        <v>0</v>
      </c>
      <c r="AO132" s="33">
        <f t="shared" si="58"/>
        <v>0</v>
      </c>
      <c r="AP132" s="33">
        <f t="shared" si="59"/>
        <v>0</v>
      </c>
      <c r="AQ132" s="197">
        <f t="shared" si="60"/>
        <v>0</v>
      </c>
      <c r="AR132" s="197">
        <f t="shared" si="60"/>
        <v>0</v>
      </c>
      <c r="AS132" s="197">
        <f t="shared" si="60"/>
        <v>0</v>
      </c>
      <c r="AT132" s="197">
        <f t="shared" ref="AT132:AT195" si="78">IF($AK132&lt;=$F$18,$AL132*AP132,)</f>
        <v>0</v>
      </c>
      <c r="AU132" s="33"/>
      <c r="AV132" s="33"/>
      <c r="AW132" s="33"/>
      <c r="AX132" s="33"/>
      <c r="AY132" s="76"/>
    </row>
    <row r="133" spans="3:51">
      <c r="C133" s="169" t="s">
        <v>8</v>
      </c>
      <c r="D133" s="4">
        <v>0.42</v>
      </c>
      <c r="E133" s="191" t="s">
        <v>228</v>
      </c>
      <c r="I133" s="55">
        <v>128</v>
      </c>
      <c r="J133" s="33">
        <f t="shared" si="63"/>
        <v>0</v>
      </c>
      <c r="K133" s="33">
        <f t="shared" si="64"/>
        <v>0</v>
      </c>
      <c r="L133" s="33">
        <f t="shared" si="65"/>
        <v>0</v>
      </c>
      <c r="M133" s="33">
        <f t="shared" si="66"/>
        <v>0</v>
      </c>
      <c r="N133" s="33">
        <f t="shared" ref="N133:N196" si="79">IF(P134&lt;=$F$18,0,)</f>
        <v>0</v>
      </c>
      <c r="O133" s="34">
        <f t="shared" ref="O133:O196" si="80">((J133+K133)*0.475+L133+M133+N133)*44/12</f>
        <v>0</v>
      </c>
      <c r="P133" s="55">
        <v>128</v>
      </c>
      <c r="Q133" s="33">
        <f t="shared" si="61"/>
        <v>0</v>
      </c>
      <c r="R133" s="33">
        <f t="shared" si="67"/>
        <v>0</v>
      </c>
      <c r="S133" s="33">
        <f t="shared" si="68"/>
        <v>0</v>
      </c>
      <c r="T133" s="33">
        <f t="shared" ref="T133:T196" si="81">IF(S133=0,0,EXP(-1.0587+0.8836*LN(S133)+0.284))</f>
        <v>0</v>
      </c>
      <c r="U133" s="33">
        <f t="shared" si="62"/>
        <v>0</v>
      </c>
      <c r="V133" s="33">
        <f t="shared" ref="V133:V196" si="82">IF(P133&lt;=$F$18,IF(P133&lt;=30,P133*($F$16-$F$6)/30,$F$16-$F$6),)</f>
        <v>0</v>
      </c>
      <c r="W133" s="33">
        <v>0</v>
      </c>
      <c r="X133" s="33">
        <f t="shared" ref="X133:X196" si="83">((S133+T133)*0.475+U133+V133+W133)*44/12</f>
        <v>0</v>
      </c>
      <c r="Y133" s="38">
        <f t="shared" ref="Y133:Y196" si="84">IF(P133&lt;=$F$18,X133-O133,)</f>
        <v>0</v>
      </c>
      <c r="AA133" s="71">
        <v>128</v>
      </c>
      <c r="AB133" s="33">
        <f t="shared" ref="AB133:AB196" si="85">IF(AA133&lt;=$F$18,IFERROR(VLOOKUP($AA133,$B$82:$G$94,2,FALSE),0),)</f>
        <v>0</v>
      </c>
      <c r="AC133" s="308">
        <f t="shared" si="77"/>
        <v>0</v>
      </c>
      <c r="AD133" s="101">
        <f t="shared" ref="AD133:AD196" si="86">IF(AA133&lt;=$F$18,IFERROR(VLOOKUP($AA133,$B$82:$G$94,4,FALSE),0),)</f>
        <v>0</v>
      </c>
      <c r="AE133" s="101">
        <f t="shared" ref="AE133:AE196" si="87">IF(AA133&lt;=$F$18,IFERROR(VLOOKUP($AA133,$B$82:$G$94,5,FALSE),0),)</f>
        <v>0</v>
      </c>
      <c r="AF133" s="197">
        <f t="shared" si="73"/>
        <v>0</v>
      </c>
      <c r="AG133" s="197">
        <f t="shared" si="74"/>
        <v>0</v>
      </c>
      <c r="AH133" s="197">
        <f t="shared" si="75"/>
        <v>0</v>
      </c>
      <c r="AI133" s="202">
        <f t="shared" si="76"/>
        <v>0</v>
      </c>
      <c r="AK133" s="71">
        <v>128</v>
      </c>
      <c r="AL133" s="33">
        <f t="shared" ref="AL133:AL196" si="88">IF(AK133&lt;=$F$18,IFERROR(VLOOKUP($AA133,$B$82:$G$94,2,FALSE),0),)</f>
        <v>0</v>
      </c>
      <c r="AM133" s="33">
        <f t="shared" ref="AM133:AM196" si="89">IF(AK133&lt;=$F$18,IFERROR(VLOOKUP($AA133,$B$82:$G$94,3,FALSE),0),)</f>
        <v>0</v>
      </c>
      <c r="AN133" s="33">
        <f t="shared" ref="AN133:AN196" si="90">IF(AK133&lt;=$F$18,IFERROR(VLOOKUP($AA133,$B$82:$G$94,4,FALSE),0),)</f>
        <v>0</v>
      </c>
      <c r="AO133" s="33">
        <f t="shared" ref="AO133:AO196" si="91">IF(AK133&lt;=$F$18,IFERROR(VLOOKUP($AA133,$B$82:$G$94,5,FALSE),0),)</f>
        <v>0</v>
      </c>
      <c r="AP133" s="33">
        <f t="shared" ref="AP133:AP196" si="92">IF(AK133&lt;=$F$18,IFERROR(VLOOKUP($AA133,$B$82:$G$94,6,FALSE),0),)</f>
        <v>0</v>
      </c>
      <c r="AQ133" s="197">
        <f t="shared" ref="AQ133:AT196" si="93">IF($AK133&lt;=$F$18,$AL133*AM133,)</f>
        <v>0</v>
      </c>
      <c r="AR133" s="197">
        <f t="shared" si="93"/>
        <v>0</v>
      </c>
      <c r="AS133" s="197">
        <f t="shared" si="93"/>
        <v>0</v>
      </c>
      <c r="AT133" s="197">
        <f t="shared" si="78"/>
        <v>0</v>
      </c>
      <c r="AU133" s="33"/>
      <c r="AV133" s="33"/>
      <c r="AW133" s="33"/>
      <c r="AX133" s="33"/>
      <c r="AY133" s="76"/>
    </row>
    <row r="134" spans="3:51">
      <c r="C134" s="169" t="s">
        <v>9</v>
      </c>
      <c r="D134" s="4">
        <v>0.42</v>
      </c>
      <c r="E134" s="191" t="s">
        <v>228</v>
      </c>
      <c r="I134" s="55">
        <v>129</v>
      </c>
      <c r="J134" s="33">
        <f t="shared" si="63"/>
        <v>0</v>
      </c>
      <c r="K134" s="33">
        <f t="shared" si="64"/>
        <v>0</v>
      </c>
      <c r="L134" s="33">
        <f t="shared" si="65"/>
        <v>0</v>
      </c>
      <c r="M134" s="33">
        <f t="shared" si="66"/>
        <v>0</v>
      </c>
      <c r="N134" s="33">
        <f t="shared" si="79"/>
        <v>0</v>
      </c>
      <c r="O134" s="34">
        <f t="shared" si="80"/>
        <v>0</v>
      </c>
      <c r="P134" s="55">
        <v>129</v>
      </c>
      <c r="Q134" s="33">
        <f t="shared" ref="Q134:Q197" si="94">IF(P134&lt;=$F$18,LOOKUP(P134-1,$B$25:$B$78,$G$25:$G$78),)</f>
        <v>0</v>
      </c>
      <c r="R134" s="33">
        <f t="shared" si="67"/>
        <v>0</v>
      </c>
      <c r="S134" s="33">
        <f t="shared" si="68"/>
        <v>0</v>
      </c>
      <c r="T134" s="33">
        <f t="shared" si="81"/>
        <v>0</v>
      </c>
      <c r="U134" s="33">
        <f t="shared" ref="U134:U197" si="95">IF(P134&lt;=$F$18,$F$5+($F$15-$F$5)*(1-EXP(-0.0175*P134)),)</f>
        <v>0</v>
      </c>
      <c r="V134" s="33">
        <f t="shared" si="82"/>
        <v>0</v>
      </c>
      <c r="W134" s="33">
        <v>0</v>
      </c>
      <c r="X134" s="33">
        <f t="shared" si="83"/>
        <v>0</v>
      </c>
      <c r="Y134" s="38">
        <f t="shared" si="84"/>
        <v>0</v>
      </c>
      <c r="AA134" s="71">
        <v>129</v>
      </c>
      <c r="AB134" s="33">
        <f t="shared" si="85"/>
        <v>0</v>
      </c>
      <c r="AC134" s="308">
        <f t="shared" si="77"/>
        <v>0</v>
      </c>
      <c r="AD134" s="101">
        <f t="shared" si="86"/>
        <v>0</v>
      </c>
      <c r="AE134" s="101">
        <f t="shared" si="87"/>
        <v>0</v>
      </c>
      <c r="AF134" s="197">
        <f t="shared" si="73"/>
        <v>0</v>
      </c>
      <c r="AG134" s="197">
        <f t="shared" si="74"/>
        <v>0</v>
      </c>
      <c r="AH134" s="197">
        <f t="shared" si="75"/>
        <v>0</v>
      </c>
      <c r="AI134" s="202">
        <f t="shared" si="76"/>
        <v>0</v>
      </c>
      <c r="AK134" s="71">
        <v>129</v>
      </c>
      <c r="AL134" s="33">
        <f t="shared" si="88"/>
        <v>0</v>
      </c>
      <c r="AM134" s="33">
        <f t="shared" si="89"/>
        <v>0</v>
      </c>
      <c r="AN134" s="33">
        <f t="shared" si="90"/>
        <v>0</v>
      </c>
      <c r="AO134" s="33">
        <f t="shared" si="91"/>
        <v>0</v>
      </c>
      <c r="AP134" s="33">
        <f t="shared" si="92"/>
        <v>0</v>
      </c>
      <c r="AQ134" s="197">
        <f t="shared" si="93"/>
        <v>0</v>
      </c>
      <c r="AR134" s="197">
        <f t="shared" si="93"/>
        <v>0</v>
      </c>
      <c r="AS134" s="197">
        <f t="shared" si="93"/>
        <v>0</v>
      </c>
      <c r="AT134" s="197">
        <f t="shared" si="78"/>
        <v>0</v>
      </c>
      <c r="AU134" s="33"/>
      <c r="AV134" s="33"/>
      <c r="AW134" s="33"/>
      <c r="AX134" s="33"/>
      <c r="AY134" s="76"/>
    </row>
    <row r="135" spans="3:51">
      <c r="C135" s="169" t="s">
        <v>10</v>
      </c>
      <c r="D135" s="4">
        <v>0.52</v>
      </c>
      <c r="E135" s="191" t="s">
        <v>228</v>
      </c>
      <c r="I135" s="55">
        <v>130</v>
      </c>
      <c r="J135" s="33">
        <f t="shared" ref="J135:J198" si="96">IF($I135&lt;=$F$10,$F$11*$F$13+J134,)</f>
        <v>0</v>
      </c>
      <c r="K135" s="33">
        <f t="shared" ref="K135:K198" si="97">IF(J135=0,0,EXP(-1.0587+0.8836*LN(J135)+0.284))</f>
        <v>0</v>
      </c>
      <c r="L135" s="33">
        <f t="shared" ref="L135:L198" si="98">IF(I135&lt;=$F$10,$F$5+($F$8-$F$5)*(1-EXP(-0.0175*I135)),)</f>
        <v>0</v>
      </c>
      <c r="M135" s="33">
        <f t="shared" ref="M135:M198" si="99">IF(I135&lt;=$F$10,IF(I135&lt;=30,I135*($F$9-$F$6)/30,$F$9-$F$6),)</f>
        <v>0</v>
      </c>
      <c r="N135" s="33">
        <f t="shared" si="79"/>
        <v>0</v>
      </c>
      <c r="O135" s="34">
        <f t="shared" si="80"/>
        <v>0</v>
      </c>
      <c r="P135" s="55">
        <v>130</v>
      </c>
      <c r="Q135" s="33">
        <f t="shared" si="94"/>
        <v>0</v>
      </c>
      <c r="R135" s="33">
        <f t="shared" ref="R135:R198" si="100">IF(P135&lt;=$F$18,Q135+R134,)</f>
        <v>0</v>
      </c>
      <c r="S135" s="33">
        <f t="shared" ref="S135:S198" si="101">$F$19*R135</f>
        <v>0</v>
      </c>
      <c r="T135" s="33">
        <f t="shared" si="81"/>
        <v>0</v>
      </c>
      <c r="U135" s="33">
        <f t="shared" si="95"/>
        <v>0</v>
      </c>
      <c r="V135" s="33">
        <f t="shared" si="82"/>
        <v>0</v>
      </c>
      <c r="W135" s="33">
        <v>0</v>
      </c>
      <c r="X135" s="33">
        <f t="shared" si="83"/>
        <v>0</v>
      </c>
      <c r="Y135" s="38">
        <f t="shared" si="84"/>
        <v>0</v>
      </c>
      <c r="AA135" s="71">
        <v>130</v>
      </c>
      <c r="AB135" s="33">
        <f t="shared" si="85"/>
        <v>0</v>
      </c>
      <c r="AC135" s="308">
        <f t="shared" si="77"/>
        <v>0</v>
      </c>
      <c r="AD135" s="101">
        <f t="shared" si="86"/>
        <v>0</v>
      </c>
      <c r="AE135" s="101">
        <f t="shared" si="87"/>
        <v>0</v>
      </c>
      <c r="AF135" s="197">
        <f t="shared" si="73"/>
        <v>0</v>
      </c>
      <c r="AG135" s="197">
        <f t="shared" si="74"/>
        <v>0</v>
      </c>
      <c r="AH135" s="197">
        <f t="shared" si="75"/>
        <v>0</v>
      </c>
      <c r="AI135" s="202">
        <f t="shared" si="76"/>
        <v>0</v>
      </c>
      <c r="AK135" s="71">
        <v>130</v>
      </c>
      <c r="AL135" s="33">
        <f t="shared" si="88"/>
        <v>0</v>
      </c>
      <c r="AM135" s="33">
        <f t="shared" si="89"/>
        <v>0</v>
      </c>
      <c r="AN135" s="33">
        <f t="shared" si="90"/>
        <v>0</v>
      </c>
      <c r="AO135" s="33">
        <f t="shared" si="91"/>
        <v>0</v>
      </c>
      <c r="AP135" s="33">
        <f t="shared" si="92"/>
        <v>0</v>
      </c>
      <c r="AQ135" s="197">
        <f t="shared" si="93"/>
        <v>0</v>
      </c>
      <c r="AR135" s="197">
        <f t="shared" si="93"/>
        <v>0</v>
      </c>
      <c r="AS135" s="197">
        <f t="shared" si="93"/>
        <v>0</v>
      </c>
      <c r="AT135" s="197">
        <f t="shared" si="78"/>
        <v>0</v>
      </c>
      <c r="AU135" s="33"/>
      <c r="AV135" s="33"/>
      <c r="AW135" s="33"/>
      <c r="AX135" s="33"/>
      <c r="AY135" s="76"/>
    </row>
    <row r="136" spans="3:51">
      <c r="C136" s="169" t="s">
        <v>11</v>
      </c>
      <c r="D136" s="4">
        <v>0.36</v>
      </c>
      <c r="E136" s="191" t="s">
        <v>229</v>
      </c>
      <c r="I136" s="55">
        <v>131</v>
      </c>
      <c r="J136" s="33">
        <f t="shared" si="96"/>
        <v>0</v>
      </c>
      <c r="K136" s="33">
        <f t="shared" si="97"/>
        <v>0</v>
      </c>
      <c r="L136" s="33">
        <f t="shared" si="98"/>
        <v>0</v>
      </c>
      <c r="M136" s="33">
        <f t="shared" si="99"/>
        <v>0</v>
      </c>
      <c r="N136" s="33">
        <f t="shared" si="79"/>
        <v>0</v>
      </c>
      <c r="O136" s="34">
        <f t="shared" si="80"/>
        <v>0</v>
      </c>
      <c r="P136" s="55">
        <v>131</v>
      </c>
      <c r="Q136" s="33">
        <f t="shared" si="94"/>
        <v>0</v>
      </c>
      <c r="R136" s="33">
        <f t="shared" si="100"/>
        <v>0</v>
      </c>
      <c r="S136" s="33">
        <f t="shared" si="101"/>
        <v>0</v>
      </c>
      <c r="T136" s="33">
        <f t="shared" si="81"/>
        <v>0</v>
      </c>
      <c r="U136" s="33">
        <f t="shared" si="95"/>
        <v>0</v>
      </c>
      <c r="V136" s="33">
        <f t="shared" si="82"/>
        <v>0</v>
      </c>
      <c r="W136" s="33">
        <v>0</v>
      </c>
      <c r="X136" s="33">
        <f t="shared" si="83"/>
        <v>0</v>
      </c>
      <c r="Y136" s="38">
        <f t="shared" si="84"/>
        <v>0</v>
      </c>
      <c r="AA136" s="71">
        <v>131</v>
      </c>
      <c r="AB136" s="33">
        <f t="shared" si="85"/>
        <v>0</v>
      </c>
      <c r="AC136" s="308">
        <f t="shared" si="77"/>
        <v>0</v>
      </c>
      <c r="AD136" s="101">
        <f t="shared" si="86"/>
        <v>0</v>
      </c>
      <c r="AE136" s="101">
        <f t="shared" si="87"/>
        <v>0</v>
      </c>
      <c r="AF136" s="197">
        <f t="shared" si="73"/>
        <v>0</v>
      </c>
      <c r="AG136" s="197">
        <f t="shared" si="74"/>
        <v>0</v>
      </c>
      <c r="AH136" s="197">
        <f t="shared" si="75"/>
        <v>0</v>
      </c>
      <c r="AI136" s="202">
        <f t="shared" si="76"/>
        <v>0</v>
      </c>
      <c r="AK136" s="71">
        <v>131</v>
      </c>
      <c r="AL136" s="33">
        <f t="shared" si="88"/>
        <v>0</v>
      </c>
      <c r="AM136" s="33">
        <f t="shared" si="89"/>
        <v>0</v>
      </c>
      <c r="AN136" s="33">
        <f t="shared" si="90"/>
        <v>0</v>
      </c>
      <c r="AO136" s="33">
        <f t="shared" si="91"/>
        <v>0</v>
      </c>
      <c r="AP136" s="33">
        <f t="shared" si="92"/>
        <v>0</v>
      </c>
      <c r="AQ136" s="197">
        <f t="shared" si="93"/>
        <v>0</v>
      </c>
      <c r="AR136" s="197">
        <f t="shared" si="93"/>
        <v>0</v>
      </c>
      <c r="AS136" s="197">
        <f t="shared" si="93"/>
        <v>0</v>
      </c>
      <c r="AT136" s="197">
        <f t="shared" si="78"/>
        <v>0</v>
      </c>
      <c r="AU136" s="33"/>
      <c r="AV136" s="33"/>
      <c r="AW136" s="33"/>
      <c r="AX136" s="33"/>
      <c r="AY136" s="76"/>
    </row>
    <row r="137" spans="3:51">
      <c r="C137" s="169" t="s">
        <v>12</v>
      </c>
      <c r="D137" s="4">
        <v>0.61</v>
      </c>
      <c r="E137" s="191" t="s">
        <v>228</v>
      </c>
      <c r="I137" s="55">
        <v>132</v>
      </c>
      <c r="J137" s="33">
        <f t="shared" si="96"/>
        <v>0</v>
      </c>
      <c r="K137" s="33">
        <f t="shared" si="97"/>
        <v>0</v>
      </c>
      <c r="L137" s="33">
        <f t="shared" si="98"/>
        <v>0</v>
      </c>
      <c r="M137" s="33">
        <f t="shared" si="99"/>
        <v>0</v>
      </c>
      <c r="N137" s="33">
        <f t="shared" si="79"/>
        <v>0</v>
      </c>
      <c r="O137" s="34">
        <f t="shared" si="80"/>
        <v>0</v>
      </c>
      <c r="P137" s="55">
        <v>132</v>
      </c>
      <c r="Q137" s="33">
        <f t="shared" si="94"/>
        <v>0</v>
      </c>
      <c r="R137" s="33">
        <f t="shared" si="100"/>
        <v>0</v>
      </c>
      <c r="S137" s="33">
        <f t="shared" si="101"/>
        <v>0</v>
      </c>
      <c r="T137" s="33">
        <f t="shared" si="81"/>
        <v>0</v>
      </c>
      <c r="U137" s="33">
        <f t="shared" si="95"/>
        <v>0</v>
      </c>
      <c r="V137" s="33">
        <f t="shared" si="82"/>
        <v>0</v>
      </c>
      <c r="W137" s="33">
        <v>0</v>
      </c>
      <c r="X137" s="33">
        <f t="shared" si="83"/>
        <v>0</v>
      </c>
      <c r="Y137" s="38">
        <f t="shared" si="84"/>
        <v>0</v>
      </c>
      <c r="AA137" s="71">
        <v>132</v>
      </c>
      <c r="AB137" s="33">
        <f t="shared" si="85"/>
        <v>0</v>
      </c>
      <c r="AC137" s="308">
        <f t="shared" si="77"/>
        <v>0</v>
      </c>
      <c r="AD137" s="101">
        <f t="shared" si="86"/>
        <v>0</v>
      </c>
      <c r="AE137" s="101">
        <f t="shared" si="87"/>
        <v>0</v>
      </c>
      <c r="AF137" s="197">
        <f t="shared" si="73"/>
        <v>0</v>
      </c>
      <c r="AG137" s="197">
        <f t="shared" si="74"/>
        <v>0</v>
      </c>
      <c r="AH137" s="197">
        <f t="shared" si="75"/>
        <v>0</v>
      </c>
      <c r="AI137" s="202">
        <f t="shared" si="76"/>
        <v>0</v>
      </c>
      <c r="AK137" s="71">
        <v>132</v>
      </c>
      <c r="AL137" s="33">
        <f t="shared" si="88"/>
        <v>0</v>
      </c>
      <c r="AM137" s="33">
        <f t="shared" si="89"/>
        <v>0</v>
      </c>
      <c r="AN137" s="33">
        <f t="shared" si="90"/>
        <v>0</v>
      </c>
      <c r="AO137" s="33">
        <f t="shared" si="91"/>
        <v>0</v>
      </c>
      <c r="AP137" s="33">
        <f t="shared" si="92"/>
        <v>0</v>
      </c>
      <c r="AQ137" s="197">
        <f t="shared" si="93"/>
        <v>0</v>
      </c>
      <c r="AR137" s="197">
        <f t="shared" si="93"/>
        <v>0</v>
      </c>
      <c r="AS137" s="197">
        <f t="shared" si="93"/>
        <v>0</v>
      </c>
      <c r="AT137" s="197">
        <f t="shared" si="78"/>
        <v>0</v>
      </c>
      <c r="AU137" s="33"/>
      <c r="AV137" s="33"/>
      <c r="AW137" s="33"/>
      <c r="AX137" s="33"/>
      <c r="AY137" s="76"/>
    </row>
    <row r="138" spans="3:51">
      <c r="C138" s="169" t="s">
        <v>13</v>
      </c>
      <c r="D138" s="4">
        <v>0.66</v>
      </c>
      <c r="E138" s="191" t="s">
        <v>228</v>
      </c>
      <c r="I138" s="55">
        <v>133</v>
      </c>
      <c r="J138" s="33">
        <f t="shared" si="96"/>
        <v>0</v>
      </c>
      <c r="K138" s="33">
        <f t="shared" si="97"/>
        <v>0</v>
      </c>
      <c r="L138" s="33">
        <f t="shared" si="98"/>
        <v>0</v>
      </c>
      <c r="M138" s="33">
        <f t="shared" si="99"/>
        <v>0</v>
      </c>
      <c r="N138" s="33">
        <f t="shared" si="79"/>
        <v>0</v>
      </c>
      <c r="O138" s="34">
        <f t="shared" si="80"/>
        <v>0</v>
      </c>
      <c r="P138" s="55">
        <v>133</v>
      </c>
      <c r="Q138" s="33">
        <f t="shared" si="94"/>
        <v>0</v>
      </c>
      <c r="R138" s="33">
        <f t="shared" si="100"/>
        <v>0</v>
      </c>
      <c r="S138" s="33">
        <f t="shared" si="101"/>
        <v>0</v>
      </c>
      <c r="T138" s="33">
        <f t="shared" si="81"/>
        <v>0</v>
      </c>
      <c r="U138" s="33">
        <f t="shared" si="95"/>
        <v>0</v>
      </c>
      <c r="V138" s="33">
        <f t="shared" si="82"/>
        <v>0</v>
      </c>
      <c r="W138" s="33">
        <v>0</v>
      </c>
      <c r="X138" s="33">
        <f t="shared" si="83"/>
        <v>0</v>
      </c>
      <c r="Y138" s="38">
        <f t="shared" si="84"/>
        <v>0</v>
      </c>
      <c r="AA138" s="71">
        <v>133</v>
      </c>
      <c r="AB138" s="33">
        <f t="shared" si="85"/>
        <v>0</v>
      </c>
      <c r="AC138" s="308">
        <f t="shared" si="77"/>
        <v>0</v>
      </c>
      <c r="AD138" s="101">
        <f t="shared" si="86"/>
        <v>0</v>
      </c>
      <c r="AE138" s="101">
        <f t="shared" si="87"/>
        <v>0</v>
      </c>
      <c r="AF138" s="197">
        <f t="shared" si="73"/>
        <v>0</v>
      </c>
      <c r="AG138" s="197">
        <f t="shared" si="74"/>
        <v>0</v>
      </c>
      <c r="AH138" s="197">
        <f t="shared" si="75"/>
        <v>0</v>
      </c>
      <c r="AI138" s="202">
        <f t="shared" si="76"/>
        <v>0</v>
      </c>
      <c r="AK138" s="71">
        <v>133</v>
      </c>
      <c r="AL138" s="33">
        <f t="shared" si="88"/>
        <v>0</v>
      </c>
      <c r="AM138" s="33">
        <f t="shared" si="89"/>
        <v>0</v>
      </c>
      <c r="AN138" s="33">
        <f t="shared" si="90"/>
        <v>0</v>
      </c>
      <c r="AO138" s="33">
        <f t="shared" si="91"/>
        <v>0</v>
      </c>
      <c r="AP138" s="33">
        <f t="shared" si="92"/>
        <v>0</v>
      </c>
      <c r="AQ138" s="197">
        <f t="shared" si="93"/>
        <v>0</v>
      </c>
      <c r="AR138" s="197">
        <f t="shared" si="93"/>
        <v>0</v>
      </c>
      <c r="AS138" s="197">
        <f t="shared" si="93"/>
        <v>0</v>
      </c>
      <c r="AT138" s="197">
        <f t="shared" si="78"/>
        <v>0</v>
      </c>
      <c r="AU138" s="33"/>
      <c r="AV138" s="33"/>
      <c r="AW138" s="33"/>
      <c r="AX138" s="33"/>
      <c r="AY138" s="76"/>
    </row>
    <row r="139" spans="3:51">
      <c r="C139" s="170" t="s">
        <v>14</v>
      </c>
      <c r="D139" s="135">
        <v>0.47</v>
      </c>
      <c r="E139" s="191" t="s">
        <v>228</v>
      </c>
      <c r="I139" s="55">
        <v>134</v>
      </c>
      <c r="J139" s="33">
        <f t="shared" si="96"/>
        <v>0</v>
      </c>
      <c r="K139" s="33">
        <f t="shared" si="97"/>
        <v>0</v>
      </c>
      <c r="L139" s="33">
        <f t="shared" si="98"/>
        <v>0</v>
      </c>
      <c r="M139" s="33">
        <f t="shared" si="99"/>
        <v>0</v>
      </c>
      <c r="N139" s="33">
        <f t="shared" si="79"/>
        <v>0</v>
      </c>
      <c r="O139" s="34">
        <f t="shared" si="80"/>
        <v>0</v>
      </c>
      <c r="P139" s="55">
        <v>134</v>
      </c>
      <c r="Q139" s="33">
        <f t="shared" si="94"/>
        <v>0</v>
      </c>
      <c r="R139" s="33">
        <f t="shared" si="100"/>
        <v>0</v>
      </c>
      <c r="S139" s="33">
        <f t="shared" si="101"/>
        <v>0</v>
      </c>
      <c r="T139" s="33">
        <f t="shared" si="81"/>
        <v>0</v>
      </c>
      <c r="U139" s="33">
        <f t="shared" si="95"/>
        <v>0</v>
      </c>
      <c r="V139" s="33">
        <f t="shared" si="82"/>
        <v>0</v>
      </c>
      <c r="W139" s="33">
        <v>0</v>
      </c>
      <c r="X139" s="33">
        <f t="shared" si="83"/>
        <v>0</v>
      </c>
      <c r="Y139" s="38">
        <f t="shared" si="84"/>
        <v>0</v>
      </c>
      <c r="AA139" s="71">
        <v>134</v>
      </c>
      <c r="AB139" s="33">
        <f t="shared" si="85"/>
        <v>0</v>
      </c>
      <c r="AC139" s="308">
        <f t="shared" si="77"/>
        <v>0</v>
      </c>
      <c r="AD139" s="101">
        <f t="shared" si="86"/>
        <v>0</v>
      </c>
      <c r="AE139" s="101">
        <f t="shared" si="87"/>
        <v>0</v>
      </c>
      <c r="AF139" s="197">
        <f t="shared" si="73"/>
        <v>0</v>
      </c>
      <c r="AG139" s="197">
        <f t="shared" si="74"/>
        <v>0</v>
      </c>
      <c r="AH139" s="197">
        <f t="shared" si="75"/>
        <v>0</v>
      </c>
      <c r="AI139" s="202">
        <f t="shared" si="76"/>
        <v>0</v>
      </c>
      <c r="AK139" s="71">
        <v>134</v>
      </c>
      <c r="AL139" s="33">
        <f t="shared" si="88"/>
        <v>0</v>
      </c>
      <c r="AM139" s="33">
        <f t="shared" si="89"/>
        <v>0</v>
      </c>
      <c r="AN139" s="33">
        <f t="shared" si="90"/>
        <v>0</v>
      </c>
      <c r="AO139" s="33">
        <f t="shared" si="91"/>
        <v>0</v>
      </c>
      <c r="AP139" s="33">
        <f t="shared" si="92"/>
        <v>0</v>
      </c>
      <c r="AQ139" s="197">
        <f t="shared" si="93"/>
        <v>0</v>
      </c>
      <c r="AR139" s="197">
        <f t="shared" si="93"/>
        <v>0</v>
      </c>
      <c r="AS139" s="197">
        <f t="shared" si="93"/>
        <v>0</v>
      </c>
      <c r="AT139" s="197">
        <f t="shared" si="78"/>
        <v>0</v>
      </c>
      <c r="AU139" s="33"/>
      <c r="AV139" s="33"/>
      <c r="AW139" s="33"/>
      <c r="AX139" s="33"/>
      <c r="AY139" s="76"/>
    </row>
    <row r="140" spans="3:51">
      <c r="C140" s="169" t="s">
        <v>15</v>
      </c>
      <c r="D140" s="4">
        <v>0.67</v>
      </c>
      <c r="E140" s="191" t="s">
        <v>228</v>
      </c>
      <c r="I140" s="55">
        <v>135</v>
      </c>
      <c r="J140" s="33">
        <f t="shared" si="96"/>
        <v>0</v>
      </c>
      <c r="K140" s="33">
        <f t="shared" si="97"/>
        <v>0</v>
      </c>
      <c r="L140" s="33">
        <f t="shared" si="98"/>
        <v>0</v>
      </c>
      <c r="M140" s="33">
        <f t="shared" si="99"/>
        <v>0</v>
      </c>
      <c r="N140" s="33">
        <f t="shared" si="79"/>
        <v>0</v>
      </c>
      <c r="O140" s="34">
        <f t="shared" si="80"/>
        <v>0</v>
      </c>
      <c r="P140" s="55">
        <v>135</v>
      </c>
      <c r="Q140" s="33">
        <f t="shared" si="94"/>
        <v>0</v>
      </c>
      <c r="R140" s="33">
        <f t="shared" si="100"/>
        <v>0</v>
      </c>
      <c r="S140" s="33">
        <f t="shared" si="101"/>
        <v>0</v>
      </c>
      <c r="T140" s="33">
        <f t="shared" si="81"/>
        <v>0</v>
      </c>
      <c r="U140" s="33">
        <f t="shared" si="95"/>
        <v>0</v>
      </c>
      <c r="V140" s="33">
        <f t="shared" si="82"/>
        <v>0</v>
      </c>
      <c r="W140" s="33">
        <v>0</v>
      </c>
      <c r="X140" s="33">
        <f t="shared" si="83"/>
        <v>0</v>
      </c>
      <c r="Y140" s="38">
        <f t="shared" si="84"/>
        <v>0</v>
      </c>
      <c r="AA140" s="71">
        <v>135</v>
      </c>
      <c r="AB140" s="33">
        <f t="shared" si="85"/>
        <v>0</v>
      </c>
      <c r="AC140" s="308">
        <f t="shared" si="77"/>
        <v>0</v>
      </c>
      <c r="AD140" s="101">
        <f t="shared" si="86"/>
        <v>0</v>
      </c>
      <c r="AE140" s="101">
        <f t="shared" si="87"/>
        <v>0</v>
      </c>
      <c r="AF140" s="197">
        <f t="shared" si="73"/>
        <v>0</v>
      </c>
      <c r="AG140" s="197">
        <f t="shared" si="74"/>
        <v>0</v>
      </c>
      <c r="AH140" s="197">
        <f t="shared" si="75"/>
        <v>0</v>
      </c>
      <c r="AI140" s="202">
        <f t="shared" si="76"/>
        <v>0</v>
      </c>
      <c r="AK140" s="71">
        <v>135</v>
      </c>
      <c r="AL140" s="33">
        <f t="shared" si="88"/>
        <v>0</v>
      </c>
      <c r="AM140" s="33">
        <f t="shared" si="89"/>
        <v>0</v>
      </c>
      <c r="AN140" s="33">
        <f t="shared" si="90"/>
        <v>0</v>
      </c>
      <c r="AO140" s="33">
        <f t="shared" si="91"/>
        <v>0</v>
      </c>
      <c r="AP140" s="33">
        <f t="shared" si="92"/>
        <v>0</v>
      </c>
      <c r="AQ140" s="197">
        <f t="shared" si="93"/>
        <v>0</v>
      </c>
      <c r="AR140" s="197">
        <f t="shared" si="93"/>
        <v>0</v>
      </c>
      <c r="AS140" s="197">
        <f t="shared" si="93"/>
        <v>0</v>
      </c>
      <c r="AT140" s="197">
        <f t="shared" si="78"/>
        <v>0</v>
      </c>
      <c r="AU140" s="33"/>
      <c r="AV140" s="33"/>
      <c r="AW140" s="33"/>
      <c r="AX140" s="33"/>
      <c r="AY140" s="76"/>
    </row>
    <row r="141" spans="3:51">
      <c r="C141" s="169" t="s">
        <v>16</v>
      </c>
      <c r="D141" s="4">
        <v>0.7</v>
      </c>
      <c r="E141" s="191" t="s">
        <v>228</v>
      </c>
      <c r="I141" s="55">
        <v>136</v>
      </c>
      <c r="J141" s="33">
        <f t="shared" si="96"/>
        <v>0</v>
      </c>
      <c r="K141" s="33">
        <f t="shared" si="97"/>
        <v>0</v>
      </c>
      <c r="L141" s="33">
        <f t="shared" si="98"/>
        <v>0</v>
      </c>
      <c r="M141" s="33">
        <f t="shared" si="99"/>
        <v>0</v>
      </c>
      <c r="N141" s="33">
        <f t="shared" si="79"/>
        <v>0</v>
      </c>
      <c r="O141" s="34">
        <f t="shared" si="80"/>
        <v>0</v>
      </c>
      <c r="P141" s="55">
        <v>136</v>
      </c>
      <c r="Q141" s="33">
        <f t="shared" si="94"/>
        <v>0</v>
      </c>
      <c r="R141" s="33">
        <f t="shared" si="100"/>
        <v>0</v>
      </c>
      <c r="S141" s="33">
        <f t="shared" si="101"/>
        <v>0</v>
      </c>
      <c r="T141" s="33">
        <f t="shared" si="81"/>
        <v>0</v>
      </c>
      <c r="U141" s="33">
        <f t="shared" si="95"/>
        <v>0</v>
      </c>
      <c r="V141" s="33">
        <f t="shared" si="82"/>
        <v>0</v>
      </c>
      <c r="W141" s="33">
        <v>0</v>
      </c>
      <c r="X141" s="33">
        <f t="shared" si="83"/>
        <v>0</v>
      </c>
      <c r="Y141" s="38">
        <f t="shared" si="84"/>
        <v>0</v>
      </c>
      <c r="AA141" s="71">
        <v>136</v>
      </c>
      <c r="AB141" s="33">
        <f t="shared" si="85"/>
        <v>0</v>
      </c>
      <c r="AC141" s="308">
        <f t="shared" si="77"/>
        <v>0</v>
      </c>
      <c r="AD141" s="101">
        <f t="shared" si="86"/>
        <v>0</v>
      </c>
      <c r="AE141" s="101">
        <f t="shared" si="87"/>
        <v>0</v>
      </c>
      <c r="AF141" s="197">
        <f t="shared" si="73"/>
        <v>0</v>
      </c>
      <c r="AG141" s="197">
        <f t="shared" si="74"/>
        <v>0</v>
      </c>
      <c r="AH141" s="197">
        <f t="shared" si="75"/>
        <v>0</v>
      </c>
      <c r="AI141" s="202">
        <f t="shared" si="76"/>
        <v>0</v>
      </c>
      <c r="AK141" s="71">
        <v>136</v>
      </c>
      <c r="AL141" s="33">
        <f t="shared" si="88"/>
        <v>0</v>
      </c>
      <c r="AM141" s="33">
        <f t="shared" si="89"/>
        <v>0</v>
      </c>
      <c r="AN141" s="33">
        <f t="shared" si="90"/>
        <v>0</v>
      </c>
      <c r="AO141" s="33">
        <f t="shared" si="91"/>
        <v>0</v>
      </c>
      <c r="AP141" s="33">
        <f t="shared" si="92"/>
        <v>0</v>
      </c>
      <c r="AQ141" s="197">
        <f t="shared" si="93"/>
        <v>0</v>
      </c>
      <c r="AR141" s="197">
        <f t="shared" si="93"/>
        <v>0</v>
      </c>
      <c r="AS141" s="197">
        <f t="shared" si="93"/>
        <v>0</v>
      </c>
      <c r="AT141" s="197">
        <f t="shared" si="78"/>
        <v>0</v>
      </c>
      <c r="AU141" s="33"/>
      <c r="AV141" s="33"/>
      <c r="AW141" s="33"/>
      <c r="AX141" s="33"/>
      <c r="AY141" s="76"/>
    </row>
    <row r="142" spans="3:51">
      <c r="C142" s="169" t="s">
        <v>17</v>
      </c>
      <c r="D142" s="4">
        <v>0.54</v>
      </c>
      <c r="E142" s="191" t="s">
        <v>228</v>
      </c>
      <c r="I142" s="55">
        <v>137</v>
      </c>
      <c r="J142" s="33">
        <f t="shared" si="96"/>
        <v>0</v>
      </c>
      <c r="K142" s="33">
        <f t="shared" si="97"/>
        <v>0</v>
      </c>
      <c r="L142" s="33">
        <f t="shared" si="98"/>
        <v>0</v>
      </c>
      <c r="M142" s="33">
        <f t="shared" si="99"/>
        <v>0</v>
      </c>
      <c r="N142" s="33">
        <f t="shared" si="79"/>
        <v>0</v>
      </c>
      <c r="O142" s="34">
        <f t="shared" si="80"/>
        <v>0</v>
      </c>
      <c r="P142" s="55">
        <v>137</v>
      </c>
      <c r="Q142" s="33">
        <f t="shared" si="94"/>
        <v>0</v>
      </c>
      <c r="R142" s="33">
        <f t="shared" si="100"/>
        <v>0</v>
      </c>
      <c r="S142" s="33">
        <f t="shared" si="101"/>
        <v>0</v>
      </c>
      <c r="T142" s="33">
        <f t="shared" si="81"/>
        <v>0</v>
      </c>
      <c r="U142" s="33">
        <f t="shared" si="95"/>
        <v>0</v>
      </c>
      <c r="V142" s="33">
        <f t="shared" si="82"/>
        <v>0</v>
      </c>
      <c r="W142" s="33">
        <v>0</v>
      </c>
      <c r="X142" s="33">
        <f t="shared" si="83"/>
        <v>0</v>
      </c>
      <c r="Y142" s="38">
        <f t="shared" si="84"/>
        <v>0</v>
      </c>
      <c r="AA142" s="71">
        <v>137</v>
      </c>
      <c r="AB142" s="33">
        <f t="shared" si="85"/>
        <v>0</v>
      </c>
      <c r="AC142" s="308">
        <f t="shared" si="77"/>
        <v>0</v>
      </c>
      <c r="AD142" s="101">
        <f t="shared" si="86"/>
        <v>0</v>
      </c>
      <c r="AE142" s="101">
        <f t="shared" si="87"/>
        <v>0</v>
      </c>
      <c r="AF142" s="197">
        <f t="shared" si="73"/>
        <v>0</v>
      </c>
      <c r="AG142" s="197">
        <f t="shared" si="74"/>
        <v>0</v>
      </c>
      <c r="AH142" s="197">
        <f t="shared" si="75"/>
        <v>0</v>
      </c>
      <c r="AI142" s="202">
        <f t="shared" si="76"/>
        <v>0</v>
      </c>
      <c r="AK142" s="71">
        <v>137</v>
      </c>
      <c r="AL142" s="33">
        <f t="shared" si="88"/>
        <v>0</v>
      </c>
      <c r="AM142" s="33">
        <f t="shared" si="89"/>
        <v>0</v>
      </c>
      <c r="AN142" s="33">
        <f t="shared" si="90"/>
        <v>0</v>
      </c>
      <c r="AO142" s="33">
        <f t="shared" si="91"/>
        <v>0</v>
      </c>
      <c r="AP142" s="33">
        <f t="shared" si="92"/>
        <v>0</v>
      </c>
      <c r="AQ142" s="197">
        <f t="shared" si="93"/>
        <v>0</v>
      </c>
      <c r="AR142" s="197">
        <f t="shared" si="93"/>
        <v>0</v>
      </c>
      <c r="AS142" s="197">
        <f t="shared" si="93"/>
        <v>0</v>
      </c>
      <c r="AT142" s="197">
        <f t="shared" si="78"/>
        <v>0</v>
      </c>
      <c r="AU142" s="33"/>
      <c r="AV142" s="33"/>
      <c r="AW142" s="33"/>
      <c r="AX142" s="33"/>
      <c r="AY142" s="76"/>
    </row>
    <row r="143" spans="3:51">
      <c r="C143" s="169" t="s">
        <v>18</v>
      </c>
      <c r="D143" s="4">
        <v>0.65</v>
      </c>
      <c r="E143" s="191" t="s">
        <v>228</v>
      </c>
      <c r="I143" s="55">
        <v>138</v>
      </c>
      <c r="J143" s="33">
        <f t="shared" si="96"/>
        <v>0</v>
      </c>
      <c r="K143" s="33">
        <f t="shared" si="97"/>
        <v>0</v>
      </c>
      <c r="L143" s="33">
        <f t="shared" si="98"/>
        <v>0</v>
      </c>
      <c r="M143" s="33">
        <f t="shared" si="99"/>
        <v>0</v>
      </c>
      <c r="N143" s="33">
        <f t="shared" si="79"/>
        <v>0</v>
      </c>
      <c r="O143" s="34">
        <f t="shared" si="80"/>
        <v>0</v>
      </c>
      <c r="P143" s="55">
        <v>138</v>
      </c>
      <c r="Q143" s="33">
        <f t="shared" si="94"/>
        <v>0</v>
      </c>
      <c r="R143" s="33">
        <f t="shared" si="100"/>
        <v>0</v>
      </c>
      <c r="S143" s="33">
        <f t="shared" si="101"/>
        <v>0</v>
      </c>
      <c r="T143" s="33">
        <f t="shared" si="81"/>
        <v>0</v>
      </c>
      <c r="U143" s="33">
        <f t="shared" si="95"/>
        <v>0</v>
      </c>
      <c r="V143" s="33">
        <f t="shared" si="82"/>
        <v>0</v>
      </c>
      <c r="W143" s="33">
        <v>0</v>
      </c>
      <c r="X143" s="33">
        <f t="shared" si="83"/>
        <v>0</v>
      </c>
      <c r="Y143" s="38">
        <f t="shared" si="84"/>
        <v>0</v>
      </c>
      <c r="AA143" s="71">
        <v>138</v>
      </c>
      <c r="AB143" s="33">
        <f t="shared" si="85"/>
        <v>0</v>
      </c>
      <c r="AC143" s="308">
        <f t="shared" si="77"/>
        <v>0</v>
      </c>
      <c r="AD143" s="101">
        <f t="shared" si="86"/>
        <v>0</v>
      </c>
      <c r="AE143" s="101">
        <f t="shared" si="87"/>
        <v>0</v>
      </c>
      <c r="AF143" s="197">
        <f t="shared" si="73"/>
        <v>0</v>
      </c>
      <c r="AG143" s="197">
        <f t="shared" si="74"/>
        <v>0</v>
      </c>
      <c r="AH143" s="197">
        <f t="shared" si="75"/>
        <v>0</v>
      </c>
      <c r="AI143" s="202">
        <f t="shared" si="76"/>
        <v>0</v>
      </c>
      <c r="AK143" s="71">
        <v>138</v>
      </c>
      <c r="AL143" s="33">
        <f t="shared" si="88"/>
        <v>0</v>
      </c>
      <c r="AM143" s="33">
        <f t="shared" si="89"/>
        <v>0</v>
      </c>
      <c r="AN143" s="33">
        <f t="shared" si="90"/>
        <v>0</v>
      </c>
      <c r="AO143" s="33">
        <f t="shared" si="91"/>
        <v>0</v>
      </c>
      <c r="AP143" s="33">
        <f t="shared" si="92"/>
        <v>0</v>
      </c>
      <c r="AQ143" s="197">
        <f t="shared" si="93"/>
        <v>0</v>
      </c>
      <c r="AR143" s="197">
        <f t="shared" si="93"/>
        <v>0</v>
      </c>
      <c r="AS143" s="197">
        <f t="shared" si="93"/>
        <v>0</v>
      </c>
      <c r="AT143" s="197">
        <f t="shared" si="78"/>
        <v>0</v>
      </c>
      <c r="AU143" s="33"/>
      <c r="AV143" s="33"/>
      <c r="AW143" s="33"/>
      <c r="AX143" s="33"/>
      <c r="AY143" s="76"/>
    </row>
    <row r="144" spans="3:51">
      <c r="C144" s="169" t="s">
        <v>19</v>
      </c>
      <c r="D144" s="4">
        <v>0.56000000000000005</v>
      </c>
      <c r="E144" s="191" t="s">
        <v>228</v>
      </c>
      <c r="I144" s="55">
        <v>139</v>
      </c>
      <c r="J144" s="33">
        <f t="shared" si="96"/>
        <v>0</v>
      </c>
      <c r="K144" s="33">
        <f t="shared" si="97"/>
        <v>0</v>
      </c>
      <c r="L144" s="33">
        <f t="shared" si="98"/>
        <v>0</v>
      </c>
      <c r="M144" s="33">
        <f t="shared" si="99"/>
        <v>0</v>
      </c>
      <c r="N144" s="33">
        <f t="shared" si="79"/>
        <v>0</v>
      </c>
      <c r="O144" s="34">
        <f t="shared" si="80"/>
        <v>0</v>
      </c>
      <c r="P144" s="55">
        <v>139</v>
      </c>
      <c r="Q144" s="33">
        <f t="shared" si="94"/>
        <v>0</v>
      </c>
      <c r="R144" s="33">
        <f t="shared" si="100"/>
        <v>0</v>
      </c>
      <c r="S144" s="33">
        <f t="shared" si="101"/>
        <v>0</v>
      </c>
      <c r="T144" s="33">
        <f t="shared" si="81"/>
        <v>0</v>
      </c>
      <c r="U144" s="33">
        <f t="shared" si="95"/>
        <v>0</v>
      </c>
      <c r="V144" s="33">
        <f t="shared" si="82"/>
        <v>0</v>
      </c>
      <c r="W144" s="33">
        <v>0</v>
      </c>
      <c r="X144" s="33">
        <f t="shared" si="83"/>
        <v>0</v>
      </c>
      <c r="Y144" s="38">
        <f t="shared" si="84"/>
        <v>0</v>
      </c>
      <c r="AA144" s="71">
        <v>139</v>
      </c>
      <c r="AB144" s="33">
        <f t="shared" si="85"/>
        <v>0</v>
      </c>
      <c r="AC144" s="308">
        <f t="shared" si="77"/>
        <v>0</v>
      </c>
      <c r="AD144" s="101">
        <f t="shared" si="86"/>
        <v>0</v>
      </c>
      <c r="AE144" s="101">
        <f t="shared" si="87"/>
        <v>0</v>
      </c>
      <c r="AF144" s="197">
        <f t="shared" si="73"/>
        <v>0</v>
      </c>
      <c r="AG144" s="197">
        <f t="shared" si="74"/>
        <v>0</v>
      </c>
      <c r="AH144" s="197">
        <f t="shared" si="75"/>
        <v>0</v>
      </c>
      <c r="AI144" s="202">
        <f t="shared" si="76"/>
        <v>0</v>
      </c>
      <c r="AK144" s="71">
        <v>139</v>
      </c>
      <c r="AL144" s="33">
        <f t="shared" si="88"/>
        <v>0</v>
      </c>
      <c r="AM144" s="33">
        <f t="shared" si="89"/>
        <v>0</v>
      </c>
      <c r="AN144" s="33">
        <f t="shared" si="90"/>
        <v>0</v>
      </c>
      <c r="AO144" s="33">
        <f t="shared" si="91"/>
        <v>0</v>
      </c>
      <c r="AP144" s="33">
        <f t="shared" si="92"/>
        <v>0</v>
      </c>
      <c r="AQ144" s="197">
        <f t="shared" si="93"/>
        <v>0</v>
      </c>
      <c r="AR144" s="197">
        <f t="shared" si="93"/>
        <v>0</v>
      </c>
      <c r="AS144" s="197">
        <f t="shared" si="93"/>
        <v>0</v>
      </c>
      <c r="AT144" s="197">
        <f t="shared" si="78"/>
        <v>0</v>
      </c>
      <c r="AU144" s="33"/>
      <c r="AV144" s="33"/>
      <c r="AW144" s="33"/>
      <c r="AX144" s="33"/>
      <c r="AY144" s="76"/>
    </row>
    <row r="145" spans="3:51">
      <c r="C145" s="169" t="s">
        <v>20</v>
      </c>
      <c r="D145" s="4">
        <v>0.57999999999999996</v>
      </c>
      <c r="E145" s="191" t="s">
        <v>228</v>
      </c>
      <c r="I145" s="55">
        <v>140</v>
      </c>
      <c r="J145" s="33">
        <f t="shared" si="96"/>
        <v>0</v>
      </c>
      <c r="K145" s="33">
        <f t="shared" si="97"/>
        <v>0</v>
      </c>
      <c r="L145" s="33">
        <f t="shared" si="98"/>
        <v>0</v>
      </c>
      <c r="M145" s="33">
        <f t="shared" si="99"/>
        <v>0</v>
      </c>
      <c r="N145" s="33">
        <f t="shared" si="79"/>
        <v>0</v>
      </c>
      <c r="O145" s="34">
        <f t="shared" si="80"/>
        <v>0</v>
      </c>
      <c r="P145" s="55">
        <v>140</v>
      </c>
      <c r="Q145" s="33">
        <f t="shared" si="94"/>
        <v>0</v>
      </c>
      <c r="R145" s="33">
        <f t="shared" si="100"/>
        <v>0</v>
      </c>
      <c r="S145" s="33">
        <f t="shared" si="101"/>
        <v>0</v>
      </c>
      <c r="T145" s="33">
        <f t="shared" si="81"/>
        <v>0</v>
      </c>
      <c r="U145" s="33">
        <f t="shared" si="95"/>
        <v>0</v>
      </c>
      <c r="V145" s="33">
        <f t="shared" si="82"/>
        <v>0</v>
      </c>
      <c r="W145" s="33">
        <v>0</v>
      </c>
      <c r="X145" s="33">
        <f t="shared" si="83"/>
        <v>0</v>
      </c>
      <c r="Y145" s="38">
        <f t="shared" si="84"/>
        <v>0</v>
      </c>
      <c r="AA145" s="71">
        <v>140</v>
      </c>
      <c r="AB145" s="33">
        <f t="shared" si="85"/>
        <v>0</v>
      </c>
      <c r="AC145" s="308">
        <f t="shared" si="77"/>
        <v>0</v>
      </c>
      <c r="AD145" s="101">
        <f t="shared" si="86"/>
        <v>0</v>
      </c>
      <c r="AE145" s="101">
        <f t="shared" si="87"/>
        <v>0</v>
      </c>
      <c r="AF145" s="197">
        <f t="shared" si="73"/>
        <v>0</v>
      </c>
      <c r="AG145" s="197">
        <f t="shared" si="74"/>
        <v>0</v>
      </c>
      <c r="AH145" s="197">
        <f t="shared" si="75"/>
        <v>0</v>
      </c>
      <c r="AI145" s="202">
        <f t="shared" si="76"/>
        <v>0</v>
      </c>
      <c r="AK145" s="71">
        <v>140</v>
      </c>
      <c r="AL145" s="33">
        <f t="shared" si="88"/>
        <v>0</v>
      </c>
      <c r="AM145" s="33">
        <f t="shared" si="89"/>
        <v>0</v>
      </c>
      <c r="AN145" s="33">
        <f t="shared" si="90"/>
        <v>0</v>
      </c>
      <c r="AO145" s="33">
        <f t="shared" si="91"/>
        <v>0</v>
      </c>
      <c r="AP145" s="33">
        <f t="shared" si="92"/>
        <v>0</v>
      </c>
      <c r="AQ145" s="197">
        <f t="shared" si="93"/>
        <v>0</v>
      </c>
      <c r="AR145" s="197">
        <f t="shared" si="93"/>
        <v>0</v>
      </c>
      <c r="AS145" s="197">
        <f t="shared" si="93"/>
        <v>0</v>
      </c>
      <c r="AT145" s="197">
        <f t="shared" si="78"/>
        <v>0</v>
      </c>
      <c r="AU145" s="33"/>
      <c r="AV145" s="33"/>
      <c r="AW145" s="33"/>
      <c r="AX145" s="33"/>
      <c r="AY145" s="76"/>
    </row>
    <row r="146" spans="3:51">
      <c r="C146" s="169" t="s">
        <v>21</v>
      </c>
      <c r="D146" s="4">
        <v>0.64</v>
      </c>
      <c r="E146" s="191" t="s">
        <v>228</v>
      </c>
      <c r="I146" s="55">
        <v>141</v>
      </c>
      <c r="J146" s="33">
        <f t="shared" si="96"/>
        <v>0</v>
      </c>
      <c r="K146" s="33">
        <f t="shared" si="97"/>
        <v>0</v>
      </c>
      <c r="L146" s="33">
        <f t="shared" si="98"/>
        <v>0</v>
      </c>
      <c r="M146" s="33">
        <f t="shared" si="99"/>
        <v>0</v>
      </c>
      <c r="N146" s="33">
        <f t="shared" si="79"/>
        <v>0</v>
      </c>
      <c r="O146" s="34">
        <f t="shared" si="80"/>
        <v>0</v>
      </c>
      <c r="P146" s="55">
        <v>141</v>
      </c>
      <c r="Q146" s="33">
        <f t="shared" si="94"/>
        <v>0</v>
      </c>
      <c r="R146" s="33">
        <f t="shared" si="100"/>
        <v>0</v>
      </c>
      <c r="S146" s="33">
        <f t="shared" si="101"/>
        <v>0</v>
      </c>
      <c r="T146" s="33">
        <f t="shared" si="81"/>
        <v>0</v>
      </c>
      <c r="U146" s="33">
        <f t="shared" si="95"/>
        <v>0</v>
      </c>
      <c r="V146" s="33">
        <f t="shared" si="82"/>
        <v>0</v>
      </c>
      <c r="W146" s="33">
        <v>0</v>
      </c>
      <c r="X146" s="33">
        <f t="shared" si="83"/>
        <v>0</v>
      </c>
      <c r="Y146" s="38">
        <f t="shared" si="84"/>
        <v>0</v>
      </c>
      <c r="AA146" s="71">
        <v>141</v>
      </c>
      <c r="AB146" s="33">
        <f t="shared" si="85"/>
        <v>0</v>
      </c>
      <c r="AC146" s="308">
        <f t="shared" si="77"/>
        <v>0</v>
      </c>
      <c r="AD146" s="101">
        <f t="shared" si="86"/>
        <v>0</v>
      </c>
      <c r="AE146" s="101">
        <f t="shared" si="87"/>
        <v>0</v>
      </c>
      <c r="AF146" s="197">
        <f t="shared" si="73"/>
        <v>0</v>
      </c>
      <c r="AG146" s="197">
        <f t="shared" si="74"/>
        <v>0</v>
      </c>
      <c r="AH146" s="197">
        <f t="shared" si="75"/>
        <v>0</v>
      </c>
      <c r="AI146" s="202">
        <f t="shared" si="76"/>
        <v>0</v>
      </c>
      <c r="AK146" s="71">
        <v>141</v>
      </c>
      <c r="AL146" s="33">
        <f t="shared" si="88"/>
        <v>0</v>
      </c>
      <c r="AM146" s="33">
        <f t="shared" si="89"/>
        <v>0</v>
      </c>
      <c r="AN146" s="33">
        <f t="shared" si="90"/>
        <v>0</v>
      </c>
      <c r="AO146" s="33">
        <f t="shared" si="91"/>
        <v>0</v>
      </c>
      <c r="AP146" s="33">
        <f t="shared" si="92"/>
        <v>0</v>
      </c>
      <c r="AQ146" s="197">
        <f t="shared" si="93"/>
        <v>0</v>
      </c>
      <c r="AR146" s="197">
        <f t="shared" si="93"/>
        <v>0</v>
      </c>
      <c r="AS146" s="197">
        <f t="shared" si="93"/>
        <v>0</v>
      </c>
      <c r="AT146" s="197">
        <f t="shared" si="78"/>
        <v>0</v>
      </c>
      <c r="AU146" s="33"/>
      <c r="AV146" s="33"/>
      <c r="AW146" s="33"/>
      <c r="AX146" s="33"/>
      <c r="AY146" s="76"/>
    </row>
    <row r="147" spans="3:51">
      <c r="C147" s="169" t="s">
        <v>22</v>
      </c>
      <c r="D147" s="4">
        <v>0.73</v>
      </c>
      <c r="E147" s="191" t="s">
        <v>228</v>
      </c>
      <c r="I147" s="55">
        <v>142</v>
      </c>
      <c r="J147" s="33">
        <f t="shared" si="96"/>
        <v>0</v>
      </c>
      <c r="K147" s="33">
        <f t="shared" si="97"/>
        <v>0</v>
      </c>
      <c r="L147" s="33">
        <f t="shared" si="98"/>
        <v>0</v>
      </c>
      <c r="M147" s="33">
        <f t="shared" si="99"/>
        <v>0</v>
      </c>
      <c r="N147" s="33">
        <f t="shared" si="79"/>
        <v>0</v>
      </c>
      <c r="O147" s="34">
        <f t="shared" si="80"/>
        <v>0</v>
      </c>
      <c r="P147" s="55">
        <v>142</v>
      </c>
      <c r="Q147" s="33">
        <f t="shared" si="94"/>
        <v>0</v>
      </c>
      <c r="R147" s="33">
        <f t="shared" si="100"/>
        <v>0</v>
      </c>
      <c r="S147" s="33">
        <f t="shared" si="101"/>
        <v>0</v>
      </c>
      <c r="T147" s="33">
        <f t="shared" si="81"/>
        <v>0</v>
      </c>
      <c r="U147" s="33">
        <f t="shared" si="95"/>
        <v>0</v>
      </c>
      <c r="V147" s="33">
        <f t="shared" si="82"/>
        <v>0</v>
      </c>
      <c r="W147" s="33">
        <v>0</v>
      </c>
      <c r="X147" s="33">
        <f t="shared" si="83"/>
        <v>0</v>
      </c>
      <c r="Y147" s="38">
        <f t="shared" si="84"/>
        <v>0</v>
      </c>
      <c r="AA147" s="71">
        <v>142</v>
      </c>
      <c r="AB147" s="33">
        <f t="shared" si="85"/>
        <v>0</v>
      </c>
      <c r="AC147" s="308">
        <f t="shared" si="77"/>
        <v>0</v>
      </c>
      <c r="AD147" s="101">
        <f t="shared" si="86"/>
        <v>0</v>
      </c>
      <c r="AE147" s="101">
        <f t="shared" si="87"/>
        <v>0</v>
      </c>
      <c r="AF147" s="197">
        <f t="shared" si="73"/>
        <v>0</v>
      </c>
      <c r="AG147" s="197">
        <f t="shared" si="74"/>
        <v>0</v>
      </c>
      <c r="AH147" s="197">
        <f t="shared" si="75"/>
        <v>0</v>
      </c>
      <c r="AI147" s="202">
        <f t="shared" si="76"/>
        <v>0</v>
      </c>
      <c r="AK147" s="71">
        <v>142</v>
      </c>
      <c r="AL147" s="33">
        <f t="shared" si="88"/>
        <v>0</v>
      </c>
      <c r="AM147" s="33">
        <f t="shared" si="89"/>
        <v>0</v>
      </c>
      <c r="AN147" s="33">
        <f t="shared" si="90"/>
        <v>0</v>
      </c>
      <c r="AO147" s="33">
        <f t="shared" si="91"/>
        <v>0</v>
      </c>
      <c r="AP147" s="33">
        <f t="shared" si="92"/>
        <v>0</v>
      </c>
      <c r="AQ147" s="197">
        <f t="shared" si="93"/>
        <v>0</v>
      </c>
      <c r="AR147" s="197">
        <f t="shared" si="93"/>
        <v>0</v>
      </c>
      <c r="AS147" s="197">
        <f t="shared" si="93"/>
        <v>0</v>
      </c>
      <c r="AT147" s="197">
        <f t="shared" si="78"/>
        <v>0</v>
      </c>
      <c r="AU147" s="33"/>
      <c r="AV147" s="33"/>
      <c r="AW147" s="33"/>
      <c r="AX147" s="33"/>
      <c r="AY147" s="76"/>
    </row>
    <row r="148" spans="3:51">
      <c r="C148" s="169" t="s">
        <v>23</v>
      </c>
      <c r="D148" s="4">
        <v>0.56000000000000005</v>
      </c>
      <c r="E148" s="191" t="s">
        <v>228</v>
      </c>
      <c r="I148" s="55">
        <v>143</v>
      </c>
      <c r="J148" s="33">
        <f t="shared" si="96"/>
        <v>0</v>
      </c>
      <c r="K148" s="33">
        <f t="shared" si="97"/>
        <v>0</v>
      </c>
      <c r="L148" s="33">
        <f t="shared" si="98"/>
        <v>0</v>
      </c>
      <c r="M148" s="33">
        <f t="shared" si="99"/>
        <v>0</v>
      </c>
      <c r="N148" s="33">
        <f t="shared" si="79"/>
        <v>0</v>
      </c>
      <c r="O148" s="34">
        <f t="shared" si="80"/>
        <v>0</v>
      </c>
      <c r="P148" s="55">
        <v>143</v>
      </c>
      <c r="Q148" s="33">
        <f t="shared" si="94"/>
        <v>0</v>
      </c>
      <c r="R148" s="33">
        <f t="shared" si="100"/>
        <v>0</v>
      </c>
      <c r="S148" s="33">
        <f t="shared" si="101"/>
        <v>0</v>
      </c>
      <c r="T148" s="33">
        <f t="shared" si="81"/>
        <v>0</v>
      </c>
      <c r="U148" s="33">
        <f t="shared" si="95"/>
        <v>0</v>
      </c>
      <c r="V148" s="33">
        <f t="shared" si="82"/>
        <v>0</v>
      </c>
      <c r="W148" s="33">
        <v>0</v>
      </c>
      <c r="X148" s="33">
        <f t="shared" si="83"/>
        <v>0</v>
      </c>
      <c r="Y148" s="38">
        <f t="shared" si="84"/>
        <v>0</v>
      </c>
      <c r="AA148" s="71">
        <v>143</v>
      </c>
      <c r="AB148" s="33">
        <f t="shared" si="85"/>
        <v>0</v>
      </c>
      <c r="AC148" s="308">
        <f t="shared" si="77"/>
        <v>0</v>
      </c>
      <c r="AD148" s="101">
        <f t="shared" si="86"/>
        <v>0</v>
      </c>
      <c r="AE148" s="101">
        <f t="shared" si="87"/>
        <v>0</v>
      </c>
      <c r="AF148" s="197">
        <f t="shared" si="73"/>
        <v>0</v>
      </c>
      <c r="AG148" s="197">
        <f t="shared" si="74"/>
        <v>0</v>
      </c>
      <c r="AH148" s="197">
        <f t="shared" si="75"/>
        <v>0</v>
      </c>
      <c r="AI148" s="202">
        <f t="shared" si="76"/>
        <v>0</v>
      </c>
      <c r="AK148" s="71">
        <v>143</v>
      </c>
      <c r="AL148" s="33">
        <f t="shared" si="88"/>
        <v>0</v>
      </c>
      <c r="AM148" s="33">
        <f t="shared" si="89"/>
        <v>0</v>
      </c>
      <c r="AN148" s="33">
        <f t="shared" si="90"/>
        <v>0</v>
      </c>
      <c r="AO148" s="33">
        <f t="shared" si="91"/>
        <v>0</v>
      </c>
      <c r="AP148" s="33">
        <f t="shared" si="92"/>
        <v>0</v>
      </c>
      <c r="AQ148" s="197">
        <f t="shared" si="93"/>
        <v>0</v>
      </c>
      <c r="AR148" s="197">
        <f t="shared" si="93"/>
        <v>0</v>
      </c>
      <c r="AS148" s="197">
        <f t="shared" si="93"/>
        <v>0</v>
      </c>
      <c r="AT148" s="197">
        <f t="shared" si="78"/>
        <v>0</v>
      </c>
      <c r="AU148" s="33"/>
      <c r="AV148" s="33"/>
      <c r="AW148" s="33"/>
      <c r="AX148" s="33"/>
      <c r="AY148" s="76"/>
    </row>
    <row r="149" spans="3:51">
      <c r="C149" s="169" t="s">
        <v>24</v>
      </c>
      <c r="D149" s="4">
        <v>0.74</v>
      </c>
      <c r="E149" s="191" t="s">
        <v>228</v>
      </c>
      <c r="I149" s="55">
        <v>144</v>
      </c>
      <c r="J149" s="33">
        <f t="shared" si="96"/>
        <v>0</v>
      </c>
      <c r="K149" s="33">
        <f t="shared" si="97"/>
        <v>0</v>
      </c>
      <c r="L149" s="33">
        <f t="shared" si="98"/>
        <v>0</v>
      </c>
      <c r="M149" s="33">
        <f t="shared" si="99"/>
        <v>0</v>
      </c>
      <c r="N149" s="33">
        <f t="shared" si="79"/>
        <v>0</v>
      </c>
      <c r="O149" s="34">
        <f t="shared" si="80"/>
        <v>0</v>
      </c>
      <c r="P149" s="55">
        <v>144</v>
      </c>
      <c r="Q149" s="33">
        <f t="shared" si="94"/>
        <v>0</v>
      </c>
      <c r="R149" s="33">
        <f t="shared" si="100"/>
        <v>0</v>
      </c>
      <c r="S149" s="33">
        <f t="shared" si="101"/>
        <v>0</v>
      </c>
      <c r="T149" s="33">
        <f t="shared" si="81"/>
        <v>0</v>
      </c>
      <c r="U149" s="33">
        <f t="shared" si="95"/>
        <v>0</v>
      </c>
      <c r="V149" s="33">
        <f t="shared" si="82"/>
        <v>0</v>
      </c>
      <c r="W149" s="33">
        <v>0</v>
      </c>
      <c r="X149" s="33">
        <f t="shared" si="83"/>
        <v>0</v>
      </c>
      <c r="Y149" s="38">
        <f t="shared" si="84"/>
        <v>0</v>
      </c>
      <c r="AA149" s="71">
        <v>144</v>
      </c>
      <c r="AB149" s="33">
        <f t="shared" si="85"/>
        <v>0</v>
      </c>
      <c r="AC149" s="308">
        <f t="shared" si="77"/>
        <v>0</v>
      </c>
      <c r="AD149" s="101">
        <f t="shared" si="86"/>
        <v>0</v>
      </c>
      <c r="AE149" s="101">
        <f t="shared" si="87"/>
        <v>0</v>
      </c>
      <c r="AF149" s="197">
        <f t="shared" si="73"/>
        <v>0</v>
      </c>
      <c r="AG149" s="197">
        <f t="shared" si="74"/>
        <v>0</v>
      </c>
      <c r="AH149" s="197">
        <f t="shared" si="75"/>
        <v>0</v>
      </c>
      <c r="AI149" s="202">
        <f t="shared" si="76"/>
        <v>0</v>
      </c>
      <c r="AK149" s="71">
        <v>144</v>
      </c>
      <c r="AL149" s="33">
        <f t="shared" si="88"/>
        <v>0</v>
      </c>
      <c r="AM149" s="33">
        <f t="shared" si="89"/>
        <v>0</v>
      </c>
      <c r="AN149" s="33">
        <f t="shared" si="90"/>
        <v>0</v>
      </c>
      <c r="AO149" s="33">
        <f t="shared" si="91"/>
        <v>0</v>
      </c>
      <c r="AP149" s="33">
        <f t="shared" si="92"/>
        <v>0</v>
      </c>
      <c r="AQ149" s="197">
        <f t="shared" si="93"/>
        <v>0</v>
      </c>
      <c r="AR149" s="197">
        <f t="shared" si="93"/>
        <v>0</v>
      </c>
      <c r="AS149" s="197">
        <f t="shared" si="93"/>
        <v>0</v>
      </c>
      <c r="AT149" s="197">
        <f t="shared" si="78"/>
        <v>0</v>
      </c>
      <c r="AU149" s="33"/>
      <c r="AV149" s="33"/>
      <c r="AW149" s="33"/>
      <c r="AX149" s="33"/>
      <c r="AY149" s="76"/>
    </row>
    <row r="150" spans="3:51">
      <c r="C150" s="169" t="s">
        <v>25</v>
      </c>
      <c r="D150" s="4">
        <v>0.4</v>
      </c>
      <c r="E150" s="191" t="s">
        <v>229</v>
      </c>
      <c r="I150" s="55">
        <v>145</v>
      </c>
      <c r="J150" s="33">
        <f t="shared" si="96"/>
        <v>0</v>
      </c>
      <c r="K150" s="33">
        <f t="shared" si="97"/>
        <v>0</v>
      </c>
      <c r="L150" s="33">
        <f t="shared" si="98"/>
        <v>0</v>
      </c>
      <c r="M150" s="33">
        <f t="shared" si="99"/>
        <v>0</v>
      </c>
      <c r="N150" s="33">
        <f t="shared" si="79"/>
        <v>0</v>
      </c>
      <c r="O150" s="34">
        <f t="shared" si="80"/>
        <v>0</v>
      </c>
      <c r="P150" s="55">
        <v>145</v>
      </c>
      <c r="Q150" s="33">
        <f t="shared" si="94"/>
        <v>0</v>
      </c>
      <c r="R150" s="33">
        <f t="shared" si="100"/>
        <v>0</v>
      </c>
      <c r="S150" s="33">
        <f t="shared" si="101"/>
        <v>0</v>
      </c>
      <c r="T150" s="33">
        <f t="shared" si="81"/>
        <v>0</v>
      </c>
      <c r="U150" s="33">
        <f t="shared" si="95"/>
        <v>0</v>
      </c>
      <c r="V150" s="33">
        <f t="shared" si="82"/>
        <v>0</v>
      </c>
      <c r="W150" s="33">
        <v>0</v>
      </c>
      <c r="X150" s="33">
        <f t="shared" si="83"/>
        <v>0</v>
      </c>
      <c r="Y150" s="38">
        <f t="shared" si="84"/>
        <v>0</v>
      </c>
      <c r="AA150" s="71">
        <v>145</v>
      </c>
      <c r="AB150" s="33">
        <f t="shared" si="85"/>
        <v>0</v>
      </c>
      <c r="AC150" s="308">
        <f t="shared" si="77"/>
        <v>0</v>
      </c>
      <c r="AD150" s="101">
        <f t="shared" si="86"/>
        <v>0</v>
      </c>
      <c r="AE150" s="101">
        <f t="shared" si="87"/>
        <v>0</v>
      </c>
      <c r="AF150" s="197">
        <f t="shared" si="73"/>
        <v>0</v>
      </c>
      <c r="AG150" s="197">
        <f t="shared" si="74"/>
        <v>0</v>
      </c>
      <c r="AH150" s="197">
        <f t="shared" si="75"/>
        <v>0</v>
      </c>
      <c r="AI150" s="202">
        <f t="shared" si="76"/>
        <v>0</v>
      </c>
      <c r="AK150" s="71">
        <v>145</v>
      </c>
      <c r="AL150" s="33">
        <f t="shared" si="88"/>
        <v>0</v>
      </c>
      <c r="AM150" s="33">
        <f t="shared" si="89"/>
        <v>0</v>
      </c>
      <c r="AN150" s="33">
        <f t="shared" si="90"/>
        <v>0</v>
      </c>
      <c r="AO150" s="33">
        <f t="shared" si="91"/>
        <v>0</v>
      </c>
      <c r="AP150" s="33">
        <f t="shared" si="92"/>
        <v>0</v>
      </c>
      <c r="AQ150" s="197">
        <f t="shared" si="93"/>
        <v>0</v>
      </c>
      <c r="AR150" s="197">
        <f t="shared" si="93"/>
        <v>0</v>
      </c>
      <c r="AS150" s="197">
        <f t="shared" si="93"/>
        <v>0</v>
      </c>
      <c r="AT150" s="197">
        <f t="shared" si="78"/>
        <v>0</v>
      </c>
      <c r="AU150" s="33"/>
      <c r="AV150" s="33"/>
      <c r="AW150" s="33"/>
      <c r="AX150" s="33"/>
      <c r="AY150" s="76"/>
    </row>
    <row r="151" spans="3:51">
      <c r="C151" s="169" t="s">
        <v>26</v>
      </c>
      <c r="D151" s="4">
        <v>0.6</v>
      </c>
      <c r="E151" s="191" t="s">
        <v>228</v>
      </c>
      <c r="I151" s="55">
        <v>146</v>
      </c>
      <c r="J151" s="33">
        <f t="shared" si="96"/>
        <v>0</v>
      </c>
      <c r="K151" s="33">
        <f t="shared" si="97"/>
        <v>0</v>
      </c>
      <c r="L151" s="33">
        <f t="shared" si="98"/>
        <v>0</v>
      </c>
      <c r="M151" s="33">
        <f t="shared" si="99"/>
        <v>0</v>
      </c>
      <c r="N151" s="33">
        <f t="shared" si="79"/>
        <v>0</v>
      </c>
      <c r="O151" s="34">
        <f t="shared" si="80"/>
        <v>0</v>
      </c>
      <c r="P151" s="55">
        <v>146</v>
      </c>
      <c r="Q151" s="33">
        <f t="shared" si="94"/>
        <v>0</v>
      </c>
      <c r="R151" s="33">
        <f t="shared" si="100"/>
        <v>0</v>
      </c>
      <c r="S151" s="33">
        <f t="shared" si="101"/>
        <v>0</v>
      </c>
      <c r="T151" s="33">
        <f t="shared" si="81"/>
        <v>0</v>
      </c>
      <c r="U151" s="33">
        <f t="shared" si="95"/>
        <v>0</v>
      </c>
      <c r="V151" s="33">
        <f t="shared" si="82"/>
        <v>0</v>
      </c>
      <c r="W151" s="33">
        <v>0</v>
      </c>
      <c r="X151" s="33">
        <f t="shared" si="83"/>
        <v>0</v>
      </c>
      <c r="Y151" s="38">
        <f t="shared" si="84"/>
        <v>0</v>
      </c>
      <c r="AA151" s="71">
        <v>146</v>
      </c>
      <c r="AB151" s="33">
        <f t="shared" si="85"/>
        <v>0</v>
      </c>
      <c r="AC151" s="308">
        <f t="shared" si="77"/>
        <v>0</v>
      </c>
      <c r="AD151" s="101">
        <f t="shared" si="86"/>
        <v>0</v>
      </c>
      <c r="AE151" s="101">
        <f t="shared" si="87"/>
        <v>0</v>
      </c>
      <c r="AF151" s="197">
        <f t="shared" si="73"/>
        <v>0</v>
      </c>
      <c r="AG151" s="197">
        <f t="shared" si="74"/>
        <v>0</v>
      </c>
      <c r="AH151" s="197">
        <f t="shared" si="75"/>
        <v>0</v>
      </c>
      <c r="AI151" s="202">
        <f t="shared" si="76"/>
        <v>0</v>
      </c>
      <c r="AK151" s="71">
        <v>146</v>
      </c>
      <c r="AL151" s="33">
        <f t="shared" si="88"/>
        <v>0</v>
      </c>
      <c r="AM151" s="33">
        <f t="shared" si="89"/>
        <v>0</v>
      </c>
      <c r="AN151" s="33">
        <f t="shared" si="90"/>
        <v>0</v>
      </c>
      <c r="AO151" s="33">
        <f t="shared" si="91"/>
        <v>0</v>
      </c>
      <c r="AP151" s="33">
        <f t="shared" si="92"/>
        <v>0</v>
      </c>
      <c r="AQ151" s="197">
        <f t="shared" si="93"/>
        <v>0</v>
      </c>
      <c r="AR151" s="197">
        <f t="shared" si="93"/>
        <v>0</v>
      </c>
      <c r="AS151" s="197">
        <f t="shared" si="93"/>
        <v>0</v>
      </c>
      <c r="AT151" s="197">
        <f t="shared" si="78"/>
        <v>0</v>
      </c>
      <c r="AU151" s="33"/>
      <c r="AV151" s="33"/>
      <c r="AW151" s="33"/>
      <c r="AX151" s="33"/>
      <c r="AY151" s="76"/>
    </row>
    <row r="152" spans="3:51">
      <c r="C152" s="169" t="s">
        <v>27</v>
      </c>
      <c r="D152" s="4">
        <v>0.43</v>
      </c>
      <c r="E152" s="191" t="s">
        <v>229</v>
      </c>
      <c r="I152" s="55">
        <v>147</v>
      </c>
      <c r="J152" s="33">
        <f t="shared" si="96"/>
        <v>0</v>
      </c>
      <c r="K152" s="33">
        <f t="shared" si="97"/>
        <v>0</v>
      </c>
      <c r="L152" s="33">
        <f t="shared" si="98"/>
        <v>0</v>
      </c>
      <c r="M152" s="33">
        <f t="shared" si="99"/>
        <v>0</v>
      </c>
      <c r="N152" s="33">
        <f t="shared" si="79"/>
        <v>0</v>
      </c>
      <c r="O152" s="34">
        <f t="shared" si="80"/>
        <v>0</v>
      </c>
      <c r="P152" s="55">
        <v>147</v>
      </c>
      <c r="Q152" s="33">
        <f t="shared" si="94"/>
        <v>0</v>
      </c>
      <c r="R152" s="33">
        <f t="shared" si="100"/>
        <v>0</v>
      </c>
      <c r="S152" s="33">
        <f t="shared" si="101"/>
        <v>0</v>
      </c>
      <c r="T152" s="33">
        <f t="shared" si="81"/>
        <v>0</v>
      </c>
      <c r="U152" s="33">
        <f t="shared" si="95"/>
        <v>0</v>
      </c>
      <c r="V152" s="33">
        <f t="shared" si="82"/>
        <v>0</v>
      </c>
      <c r="W152" s="33">
        <v>0</v>
      </c>
      <c r="X152" s="33">
        <f t="shared" si="83"/>
        <v>0</v>
      </c>
      <c r="Y152" s="38">
        <f t="shared" si="84"/>
        <v>0</v>
      </c>
      <c r="AA152" s="71">
        <v>147</v>
      </c>
      <c r="AB152" s="33">
        <f t="shared" si="85"/>
        <v>0</v>
      </c>
      <c r="AC152" s="308">
        <f t="shared" si="77"/>
        <v>0</v>
      </c>
      <c r="AD152" s="101">
        <f t="shared" si="86"/>
        <v>0</v>
      </c>
      <c r="AE152" s="101">
        <f t="shared" si="87"/>
        <v>0</v>
      </c>
      <c r="AF152" s="197">
        <f t="shared" si="73"/>
        <v>0</v>
      </c>
      <c r="AG152" s="197">
        <f t="shared" si="74"/>
        <v>0</v>
      </c>
      <c r="AH152" s="197">
        <f t="shared" si="75"/>
        <v>0</v>
      </c>
      <c r="AI152" s="202">
        <f t="shared" si="76"/>
        <v>0</v>
      </c>
      <c r="AK152" s="71">
        <v>147</v>
      </c>
      <c r="AL152" s="33">
        <f t="shared" si="88"/>
        <v>0</v>
      </c>
      <c r="AM152" s="33">
        <f t="shared" si="89"/>
        <v>0</v>
      </c>
      <c r="AN152" s="33">
        <f t="shared" si="90"/>
        <v>0</v>
      </c>
      <c r="AO152" s="33">
        <f t="shared" si="91"/>
        <v>0</v>
      </c>
      <c r="AP152" s="33">
        <f t="shared" si="92"/>
        <v>0</v>
      </c>
      <c r="AQ152" s="197">
        <f t="shared" si="93"/>
        <v>0</v>
      </c>
      <c r="AR152" s="197">
        <f t="shared" si="93"/>
        <v>0</v>
      </c>
      <c r="AS152" s="197">
        <f t="shared" si="93"/>
        <v>0</v>
      </c>
      <c r="AT152" s="197">
        <f t="shared" si="78"/>
        <v>0</v>
      </c>
      <c r="AU152" s="33"/>
      <c r="AV152" s="33"/>
      <c r="AW152" s="33"/>
      <c r="AX152" s="33"/>
      <c r="AY152" s="76"/>
    </row>
    <row r="153" spans="3:51">
      <c r="C153" s="169" t="s">
        <v>28</v>
      </c>
      <c r="D153" s="4">
        <v>0.37</v>
      </c>
      <c r="E153" s="191" t="s">
        <v>229</v>
      </c>
      <c r="I153" s="55">
        <v>148</v>
      </c>
      <c r="J153" s="33">
        <f t="shared" si="96"/>
        <v>0</v>
      </c>
      <c r="K153" s="33">
        <f t="shared" si="97"/>
        <v>0</v>
      </c>
      <c r="L153" s="33">
        <f t="shared" si="98"/>
        <v>0</v>
      </c>
      <c r="M153" s="33">
        <f t="shared" si="99"/>
        <v>0</v>
      </c>
      <c r="N153" s="33">
        <f t="shared" si="79"/>
        <v>0</v>
      </c>
      <c r="O153" s="34">
        <f t="shared" si="80"/>
        <v>0</v>
      </c>
      <c r="P153" s="55">
        <v>148</v>
      </c>
      <c r="Q153" s="33">
        <f t="shared" si="94"/>
        <v>0</v>
      </c>
      <c r="R153" s="33">
        <f t="shared" si="100"/>
        <v>0</v>
      </c>
      <c r="S153" s="33">
        <f t="shared" si="101"/>
        <v>0</v>
      </c>
      <c r="T153" s="33">
        <f t="shared" si="81"/>
        <v>0</v>
      </c>
      <c r="U153" s="33">
        <f t="shared" si="95"/>
        <v>0</v>
      </c>
      <c r="V153" s="33">
        <f t="shared" si="82"/>
        <v>0</v>
      </c>
      <c r="W153" s="33">
        <v>0</v>
      </c>
      <c r="X153" s="33">
        <f t="shared" si="83"/>
        <v>0</v>
      </c>
      <c r="Y153" s="38">
        <f t="shared" si="84"/>
        <v>0</v>
      </c>
      <c r="AA153" s="71">
        <v>148</v>
      </c>
      <c r="AB153" s="33">
        <f t="shared" si="85"/>
        <v>0</v>
      </c>
      <c r="AC153" s="308">
        <f t="shared" si="77"/>
        <v>0</v>
      </c>
      <c r="AD153" s="101">
        <f t="shared" si="86"/>
        <v>0</v>
      </c>
      <c r="AE153" s="101">
        <f t="shared" si="87"/>
        <v>0</v>
      </c>
      <c r="AF153" s="197">
        <f t="shared" si="73"/>
        <v>0</v>
      </c>
      <c r="AG153" s="197">
        <f t="shared" si="74"/>
        <v>0</v>
      </c>
      <c r="AH153" s="197">
        <f t="shared" si="75"/>
        <v>0</v>
      </c>
      <c r="AI153" s="202">
        <f t="shared" si="76"/>
        <v>0</v>
      </c>
      <c r="AK153" s="71">
        <v>148</v>
      </c>
      <c r="AL153" s="33">
        <f t="shared" si="88"/>
        <v>0</v>
      </c>
      <c r="AM153" s="33">
        <f t="shared" si="89"/>
        <v>0</v>
      </c>
      <c r="AN153" s="33">
        <f t="shared" si="90"/>
        <v>0</v>
      </c>
      <c r="AO153" s="33">
        <f t="shared" si="91"/>
        <v>0</v>
      </c>
      <c r="AP153" s="33">
        <f t="shared" si="92"/>
        <v>0</v>
      </c>
      <c r="AQ153" s="197">
        <f t="shared" si="93"/>
        <v>0</v>
      </c>
      <c r="AR153" s="197">
        <f t="shared" si="93"/>
        <v>0</v>
      </c>
      <c r="AS153" s="197">
        <f t="shared" si="93"/>
        <v>0</v>
      </c>
      <c r="AT153" s="197">
        <f t="shared" si="78"/>
        <v>0</v>
      </c>
      <c r="AU153" s="33"/>
      <c r="AV153" s="33"/>
      <c r="AW153" s="33"/>
      <c r="AX153" s="33"/>
      <c r="AY153" s="76"/>
    </row>
    <row r="154" spans="3:51">
      <c r="C154" s="169" t="s">
        <v>29</v>
      </c>
      <c r="D154" s="4">
        <v>0.36</v>
      </c>
      <c r="E154" s="191" t="s">
        <v>229</v>
      </c>
      <c r="I154" s="55">
        <v>149</v>
      </c>
      <c r="J154" s="33">
        <f t="shared" si="96"/>
        <v>0</v>
      </c>
      <c r="K154" s="33">
        <f t="shared" si="97"/>
        <v>0</v>
      </c>
      <c r="L154" s="33">
        <f t="shared" si="98"/>
        <v>0</v>
      </c>
      <c r="M154" s="33">
        <f t="shared" si="99"/>
        <v>0</v>
      </c>
      <c r="N154" s="33">
        <f t="shared" si="79"/>
        <v>0</v>
      </c>
      <c r="O154" s="34">
        <f t="shared" si="80"/>
        <v>0</v>
      </c>
      <c r="P154" s="55">
        <v>149</v>
      </c>
      <c r="Q154" s="33">
        <f t="shared" si="94"/>
        <v>0</v>
      </c>
      <c r="R154" s="33">
        <f t="shared" si="100"/>
        <v>0</v>
      </c>
      <c r="S154" s="33">
        <f t="shared" si="101"/>
        <v>0</v>
      </c>
      <c r="T154" s="33">
        <f t="shared" si="81"/>
        <v>0</v>
      </c>
      <c r="U154" s="33">
        <f t="shared" si="95"/>
        <v>0</v>
      </c>
      <c r="V154" s="33">
        <f t="shared" si="82"/>
        <v>0</v>
      </c>
      <c r="W154" s="33">
        <v>0</v>
      </c>
      <c r="X154" s="33">
        <f t="shared" si="83"/>
        <v>0</v>
      </c>
      <c r="Y154" s="38">
        <f t="shared" si="84"/>
        <v>0</v>
      </c>
      <c r="AA154" s="71">
        <v>149</v>
      </c>
      <c r="AB154" s="33">
        <f t="shared" si="85"/>
        <v>0</v>
      </c>
      <c r="AC154" s="308">
        <f t="shared" si="77"/>
        <v>0</v>
      </c>
      <c r="AD154" s="101">
        <f t="shared" si="86"/>
        <v>0</v>
      </c>
      <c r="AE154" s="101">
        <f t="shared" si="87"/>
        <v>0</v>
      </c>
      <c r="AF154" s="197">
        <f t="shared" si="73"/>
        <v>0</v>
      </c>
      <c r="AG154" s="197">
        <f t="shared" si="74"/>
        <v>0</v>
      </c>
      <c r="AH154" s="197">
        <f t="shared" si="75"/>
        <v>0</v>
      </c>
      <c r="AI154" s="202">
        <f t="shared" si="76"/>
        <v>0</v>
      </c>
      <c r="AK154" s="71">
        <v>149</v>
      </c>
      <c r="AL154" s="33">
        <f t="shared" si="88"/>
        <v>0</v>
      </c>
      <c r="AM154" s="33">
        <f t="shared" si="89"/>
        <v>0</v>
      </c>
      <c r="AN154" s="33">
        <f t="shared" si="90"/>
        <v>0</v>
      </c>
      <c r="AO154" s="33">
        <f t="shared" si="91"/>
        <v>0</v>
      </c>
      <c r="AP154" s="33">
        <f t="shared" si="92"/>
        <v>0</v>
      </c>
      <c r="AQ154" s="197">
        <f t="shared" si="93"/>
        <v>0</v>
      </c>
      <c r="AR154" s="197">
        <f t="shared" si="93"/>
        <v>0</v>
      </c>
      <c r="AS154" s="197">
        <f t="shared" si="93"/>
        <v>0</v>
      </c>
      <c r="AT154" s="197">
        <f t="shared" si="78"/>
        <v>0</v>
      </c>
      <c r="AU154" s="33"/>
      <c r="AV154" s="33"/>
      <c r="AW154" s="33"/>
      <c r="AX154" s="33"/>
      <c r="AY154" s="76"/>
    </row>
    <row r="155" spans="3:51">
      <c r="C155" s="169" t="s">
        <v>30</v>
      </c>
      <c r="D155" s="4">
        <v>0.51</v>
      </c>
      <c r="E155" s="191" t="s">
        <v>228</v>
      </c>
      <c r="I155" s="55">
        <v>150</v>
      </c>
      <c r="J155" s="33">
        <f t="shared" si="96"/>
        <v>0</v>
      </c>
      <c r="K155" s="33">
        <f t="shared" si="97"/>
        <v>0</v>
      </c>
      <c r="L155" s="33">
        <f t="shared" si="98"/>
        <v>0</v>
      </c>
      <c r="M155" s="33">
        <f t="shared" si="99"/>
        <v>0</v>
      </c>
      <c r="N155" s="33">
        <f t="shared" si="79"/>
        <v>0</v>
      </c>
      <c r="O155" s="34">
        <f t="shared" si="80"/>
        <v>0</v>
      </c>
      <c r="P155" s="55">
        <v>150</v>
      </c>
      <c r="Q155" s="33">
        <f t="shared" si="94"/>
        <v>0</v>
      </c>
      <c r="R155" s="33">
        <f t="shared" si="100"/>
        <v>0</v>
      </c>
      <c r="S155" s="33">
        <f t="shared" si="101"/>
        <v>0</v>
      </c>
      <c r="T155" s="33">
        <f t="shared" si="81"/>
        <v>0</v>
      </c>
      <c r="U155" s="33">
        <f t="shared" si="95"/>
        <v>0</v>
      </c>
      <c r="V155" s="33">
        <f t="shared" si="82"/>
        <v>0</v>
      </c>
      <c r="W155" s="33">
        <v>0</v>
      </c>
      <c r="X155" s="33">
        <f t="shared" si="83"/>
        <v>0</v>
      </c>
      <c r="Y155" s="38">
        <f t="shared" si="84"/>
        <v>0</v>
      </c>
      <c r="AA155" s="71">
        <v>150</v>
      </c>
      <c r="AB155" s="33">
        <f t="shared" si="85"/>
        <v>0</v>
      </c>
      <c r="AC155" s="308">
        <f t="shared" si="77"/>
        <v>0</v>
      </c>
      <c r="AD155" s="101">
        <f t="shared" si="86"/>
        <v>0</v>
      </c>
      <c r="AE155" s="101">
        <f t="shared" si="87"/>
        <v>0</v>
      </c>
      <c r="AF155" s="197">
        <f t="shared" ref="AF155:AF205" si="102">IF(OR(AA155&lt;=$F$18,AA155&lt;=30),EXP(-LN(2)/$D$104)*AF154+((1-EXP(-LN(2)/$D$104))/(LN(2)/$D$104))*$AB155*AC155*0.475*$F$19*44/12,)</f>
        <v>0</v>
      </c>
      <c r="AG155" s="197">
        <f t="shared" ref="AG155:AG205" si="103">IF(OR(AA155&lt;=$F$18,AA155&lt;=30),EXP(-LN(2)/$D$106)*AG154+((1-EXP(-LN(2)/$D$106))/(LN(2)/$D$106))*$AB155*AD155*0.475*$F$19*44/12,)</f>
        <v>0</v>
      </c>
      <c r="AH155" s="197">
        <f t="shared" ref="AH155:AH205" si="104">IF(OR(AA155&lt;=$F$18,AA155&lt;=30),EXP(-LN(2)/$D$105)*AH154+((1-EXP(-LN(2)/$D$105))/(LN(2)/$D$105))*$AB155*AE155*0.475*$F$19*44/12,)</f>
        <v>0</v>
      </c>
      <c r="AI155" s="202">
        <f t="shared" ref="AI155:AI205" si="105">IF(OR(AA155&lt;=$F$18,AA155&lt;=30),SUM(AF155:AH155),)</f>
        <v>0</v>
      </c>
      <c r="AK155" s="71">
        <v>150</v>
      </c>
      <c r="AL155" s="33">
        <f t="shared" si="88"/>
        <v>0</v>
      </c>
      <c r="AM155" s="33">
        <f t="shared" si="89"/>
        <v>0</v>
      </c>
      <c r="AN155" s="33">
        <f t="shared" si="90"/>
        <v>0</v>
      </c>
      <c r="AO155" s="33">
        <f t="shared" si="91"/>
        <v>0</v>
      </c>
      <c r="AP155" s="33">
        <f t="shared" si="92"/>
        <v>0</v>
      </c>
      <c r="AQ155" s="197">
        <f t="shared" si="93"/>
        <v>0</v>
      </c>
      <c r="AR155" s="197">
        <f t="shared" si="93"/>
        <v>0</v>
      </c>
      <c r="AS155" s="197">
        <f t="shared" si="93"/>
        <v>0</v>
      </c>
      <c r="AT155" s="197">
        <f t="shared" si="78"/>
        <v>0</v>
      </c>
      <c r="AU155" s="33"/>
      <c r="AV155" s="33"/>
      <c r="AW155" s="33"/>
      <c r="AX155" s="33"/>
      <c r="AY155" s="76"/>
    </row>
    <row r="156" spans="3:51">
      <c r="C156" s="169" t="s">
        <v>31</v>
      </c>
      <c r="D156" s="4">
        <v>0.56000000000000005</v>
      </c>
      <c r="E156" s="191" t="s">
        <v>228</v>
      </c>
      <c r="I156" s="55">
        <v>151</v>
      </c>
      <c r="J156" s="33">
        <f t="shared" si="96"/>
        <v>0</v>
      </c>
      <c r="K156" s="33">
        <f t="shared" si="97"/>
        <v>0</v>
      </c>
      <c r="L156" s="33">
        <f t="shared" si="98"/>
        <v>0</v>
      </c>
      <c r="M156" s="33">
        <f t="shared" si="99"/>
        <v>0</v>
      </c>
      <c r="N156" s="33">
        <f t="shared" si="79"/>
        <v>0</v>
      </c>
      <c r="O156" s="34">
        <f t="shared" si="80"/>
        <v>0</v>
      </c>
      <c r="P156" s="55">
        <v>151</v>
      </c>
      <c r="Q156" s="33">
        <f t="shared" si="94"/>
        <v>0</v>
      </c>
      <c r="R156" s="33">
        <f t="shared" si="100"/>
        <v>0</v>
      </c>
      <c r="S156" s="33">
        <f t="shared" si="101"/>
        <v>0</v>
      </c>
      <c r="T156" s="33">
        <f t="shared" si="81"/>
        <v>0</v>
      </c>
      <c r="U156" s="33">
        <f t="shared" si="95"/>
        <v>0</v>
      </c>
      <c r="V156" s="33">
        <f t="shared" si="82"/>
        <v>0</v>
      </c>
      <c r="W156" s="33">
        <v>0</v>
      </c>
      <c r="X156" s="33">
        <f t="shared" si="83"/>
        <v>0</v>
      </c>
      <c r="Y156" s="38">
        <f t="shared" si="84"/>
        <v>0</v>
      </c>
      <c r="AA156" s="71">
        <v>151</v>
      </c>
      <c r="AB156" s="33">
        <f t="shared" si="85"/>
        <v>0</v>
      </c>
      <c r="AC156" s="308">
        <f t="shared" si="77"/>
        <v>0</v>
      </c>
      <c r="AD156" s="101">
        <f t="shared" si="86"/>
        <v>0</v>
      </c>
      <c r="AE156" s="101">
        <f t="shared" si="87"/>
        <v>0</v>
      </c>
      <c r="AF156" s="197">
        <f t="shared" si="102"/>
        <v>0</v>
      </c>
      <c r="AG156" s="197">
        <f t="shared" si="103"/>
        <v>0</v>
      </c>
      <c r="AH156" s="197">
        <f t="shared" si="104"/>
        <v>0</v>
      </c>
      <c r="AI156" s="202">
        <f t="shared" si="105"/>
        <v>0</v>
      </c>
      <c r="AK156" s="71">
        <v>151</v>
      </c>
      <c r="AL156" s="33">
        <f t="shared" si="88"/>
        <v>0</v>
      </c>
      <c r="AM156" s="33">
        <f t="shared" si="89"/>
        <v>0</v>
      </c>
      <c r="AN156" s="33">
        <f t="shared" si="90"/>
        <v>0</v>
      </c>
      <c r="AO156" s="33">
        <f t="shared" si="91"/>
        <v>0</v>
      </c>
      <c r="AP156" s="33">
        <f t="shared" si="92"/>
        <v>0</v>
      </c>
      <c r="AQ156" s="197">
        <f t="shared" si="93"/>
        <v>0</v>
      </c>
      <c r="AR156" s="197">
        <f t="shared" si="93"/>
        <v>0</v>
      </c>
      <c r="AS156" s="197">
        <f t="shared" si="93"/>
        <v>0</v>
      </c>
      <c r="AT156" s="197">
        <f t="shared" si="78"/>
        <v>0</v>
      </c>
      <c r="AU156" s="33"/>
      <c r="AV156" s="33"/>
      <c r="AW156" s="33"/>
      <c r="AX156" s="33"/>
      <c r="AY156" s="76"/>
    </row>
    <row r="157" spans="3:51">
      <c r="C157" s="169" t="s">
        <v>32</v>
      </c>
      <c r="D157" s="4">
        <v>0.56000000000000005</v>
      </c>
      <c r="E157" s="191" t="s">
        <v>228</v>
      </c>
      <c r="I157" s="55">
        <v>152</v>
      </c>
      <c r="J157" s="33">
        <f t="shared" si="96"/>
        <v>0</v>
      </c>
      <c r="K157" s="33">
        <f t="shared" si="97"/>
        <v>0</v>
      </c>
      <c r="L157" s="33">
        <f t="shared" si="98"/>
        <v>0</v>
      </c>
      <c r="M157" s="33">
        <f t="shared" si="99"/>
        <v>0</v>
      </c>
      <c r="N157" s="33">
        <f t="shared" si="79"/>
        <v>0</v>
      </c>
      <c r="O157" s="34">
        <f t="shared" si="80"/>
        <v>0</v>
      </c>
      <c r="P157" s="55">
        <v>152</v>
      </c>
      <c r="Q157" s="33">
        <f t="shared" si="94"/>
        <v>0</v>
      </c>
      <c r="R157" s="33">
        <f t="shared" si="100"/>
        <v>0</v>
      </c>
      <c r="S157" s="33">
        <f t="shared" si="101"/>
        <v>0</v>
      </c>
      <c r="T157" s="33">
        <f t="shared" si="81"/>
        <v>0</v>
      </c>
      <c r="U157" s="33">
        <f t="shared" si="95"/>
        <v>0</v>
      </c>
      <c r="V157" s="33">
        <f t="shared" si="82"/>
        <v>0</v>
      </c>
      <c r="W157" s="33">
        <v>0</v>
      </c>
      <c r="X157" s="33">
        <f t="shared" si="83"/>
        <v>0</v>
      </c>
      <c r="Y157" s="38">
        <f t="shared" si="84"/>
        <v>0</v>
      </c>
      <c r="AA157" s="71">
        <v>152</v>
      </c>
      <c r="AB157" s="33">
        <f t="shared" si="85"/>
        <v>0</v>
      </c>
      <c r="AC157" s="308">
        <f t="shared" si="77"/>
        <v>0</v>
      </c>
      <c r="AD157" s="101">
        <f t="shared" si="86"/>
        <v>0</v>
      </c>
      <c r="AE157" s="101">
        <f t="shared" si="87"/>
        <v>0</v>
      </c>
      <c r="AF157" s="197">
        <f t="shared" si="102"/>
        <v>0</v>
      </c>
      <c r="AG157" s="197">
        <f t="shared" si="103"/>
        <v>0</v>
      </c>
      <c r="AH157" s="197">
        <f t="shared" si="104"/>
        <v>0</v>
      </c>
      <c r="AI157" s="202">
        <f t="shared" si="105"/>
        <v>0</v>
      </c>
      <c r="AK157" s="71">
        <v>152</v>
      </c>
      <c r="AL157" s="33">
        <f t="shared" si="88"/>
        <v>0</v>
      </c>
      <c r="AM157" s="33">
        <f t="shared" si="89"/>
        <v>0</v>
      </c>
      <c r="AN157" s="33">
        <f t="shared" si="90"/>
        <v>0</v>
      </c>
      <c r="AO157" s="33">
        <f t="shared" si="91"/>
        <v>0</v>
      </c>
      <c r="AP157" s="33">
        <f t="shared" si="92"/>
        <v>0</v>
      </c>
      <c r="AQ157" s="197">
        <f t="shared" si="93"/>
        <v>0</v>
      </c>
      <c r="AR157" s="197">
        <f t="shared" si="93"/>
        <v>0</v>
      </c>
      <c r="AS157" s="197">
        <f t="shared" si="93"/>
        <v>0</v>
      </c>
      <c r="AT157" s="197">
        <f t="shared" si="78"/>
        <v>0</v>
      </c>
      <c r="AU157" s="33"/>
      <c r="AV157" s="33"/>
      <c r="AW157" s="33"/>
      <c r="AX157" s="33"/>
      <c r="AY157" s="76"/>
    </row>
    <row r="158" spans="3:51">
      <c r="C158" s="169" t="s">
        <v>33</v>
      </c>
      <c r="D158" s="4">
        <v>0.48</v>
      </c>
      <c r="E158" s="191" t="s">
        <v>228</v>
      </c>
      <c r="I158" s="55">
        <v>153</v>
      </c>
      <c r="J158" s="33">
        <f t="shared" si="96"/>
        <v>0</v>
      </c>
      <c r="K158" s="33">
        <f t="shared" si="97"/>
        <v>0</v>
      </c>
      <c r="L158" s="33">
        <f t="shared" si="98"/>
        <v>0</v>
      </c>
      <c r="M158" s="33">
        <f t="shared" si="99"/>
        <v>0</v>
      </c>
      <c r="N158" s="33">
        <f t="shared" si="79"/>
        <v>0</v>
      </c>
      <c r="O158" s="34">
        <f t="shared" si="80"/>
        <v>0</v>
      </c>
      <c r="P158" s="55">
        <v>153</v>
      </c>
      <c r="Q158" s="33">
        <f t="shared" si="94"/>
        <v>0</v>
      </c>
      <c r="R158" s="33">
        <f t="shared" si="100"/>
        <v>0</v>
      </c>
      <c r="S158" s="33">
        <f t="shared" si="101"/>
        <v>0</v>
      </c>
      <c r="T158" s="33">
        <f t="shared" si="81"/>
        <v>0</v>
      </c>
      <c r="U158" s="33">
        <f t="shared" si="95"/>
        <v>0</v>
      </c>
      <c r="V158" s="33">
        <f t="shared" si="82"/>
        <v>0</v>
      </c>
      <c r="W158" s="33">
        <v>0</v>
      </c>
      <c r="X158" s="33">
        <f t="shared" si="83"/>
        <v>0</v>
      </c>
      <c r="Y158" s="38">
        <f t="shared" si="84"/>
        <v>0</v>
      </c>
      <c r="AA158" s="71">
        <v>153</v>
      </c>
      <c r="AB158" s="33">
        <f t="shared" si="85"/>
        <v>0</v>
      </c>
      <c r="AC158" s="308">
        <f t="shared" si="77"/>
        <v>0</v>
      </c>
      <c r="AD158" s="101">
        <f t="shared" si="86"/>
        <v>0</v>
      </c>
      <c r="AE158" s="101">
        <f t="shared" si="87"/>
        <v>0</v>
      </c>
      <c r="AF158" s="197">
        <f t="shared" si="102"/>
        <v>0</v>
      </c>
      <c r="AG158" s="197">
        <f t="shared" si="103"/>
        <v>0</v>
      </c>
      <c r="AH158" s="197">
        <f t="shared" si="104"/>
        <v>0</v>
      </c>
      <c r="AI158" s="202">
        <f t="shared" si="105"/>
        <v>0</v>
      </c>
      <c r="AK158" s="71">
        <v>153</v>
      </c>
      <c r="AL158" s="33">
        <f t="shared" si="88"/>
        <v>0</v>
      </c>
      <c r="AM158" s="33">
        <f t="shared" si="89"/>
        <v>0</v>
      </c>
      <c r="AN158" s="33">
        <f t="shared" si="90"/>
        <v>0</v>
      </c>
      <c r="AO158" s="33">
        <f t="shared" si="91"/>
        <v>0</v>
      </c>
      <c r="AP158" s="33">
        <f t="shared" si="92"/>
        <v>0</v>
      </c>
      <c r="AQ158" s="197">
        <f t="shared" si="93"/>
        <v>0</v>
      </c>
      <c r="AR158" s="197">
        <f t="shared" si="93"/>
        <v>0</v>
      </c>
      <c r="AS158" s="197">
        <f t="shared" si="93"/>
        <v>0</v>
      </c>
      <c r="AT158" s="197">
        <f t="shared" si="78"/>
        <v>0</v>
      </c>
      <c r="AU158" s="33"/>
      <c r="AV158" s="33"/>
      <c r="AW158" s="33"/>
      <c r="AX158" s="33"/>
      <c r="AY158" s="76"/>
    </row>
    <row r="159" spans="3:51">
      <c r="C159" s="169" t="s">
        <v>34</v>
      </c>
      <c r="D159" s="4">
        <v>0.55000000000000004</v>
      </c>
      <c r="E159" s="191" t="s">
        <v>228</v>
      </c>
      <c r="I159" s="55">
        <v>154</v>
      </c>
      <c r="J159" s="33">
        <f t="shared" si="96"/>
        <v>0</v>
      </c>
      <c r="K159" s="33">
        <f t="shared" si="97"/>
        <v>0</v>
      </c>
      <c r="L159" s="33">
        <f t="shared" si="98"/>
        <v>0</v>
      </c>
      <c r="M159" s="33">
        <f t="shared" si="99"/>
        <v>0</v>
      </c>
      <c r="N159" s="33">
        <f t="shared" si="79"/>
        <v>0</v>
      </c>
      <c r="O159" s="34">
        <f t="shared" si="80"/>
        <v>0</v>
      </c>
      <c r="P159" s="55">
        <v>154</v>
      </c>
      <c r="Q159" s="33">
        <f t="shared" si="94"/>
        <v>0</v>
      </c>
      <c r="R159" s="33">
        <f t="shared" si="100"/>
        <v>0</v>
      </c>
      <c r="S159" s="33">
        <f t="shared" si="101"/>
        <v>0</v>
      </c>
      <c r="T159" s="33">
        <f t="shared" si="81"/>
        <v>0</v>
      </c>
      <c r="U159" s="33">
        <f t="shared" si="95"/>
        <v>0</v>
      </c>
      <c r="V159" s="33">
        <f t="shared" si="82"/>
        <v>0</v>
      </c>
      <c r="W159" s="33">
        <v>0</v>
      </c>
      <c r="X159" s="33">
        <f t="shared" si="83"/>
        <v>0</v>
      </c>
      <c r="Y159" s="38">
        <f t="shared" si="84"/>
        <v>0</v>
      </c>
      <c r="AA159" s="71">
        <v>154</v>
      </c>
      <c r="AB159" s="33">
        <f t="shared" si="85"/>
        <v>0</v>
      </c>
      <c r="AC159" s="308">
        <f t="shared" ref="AC159:AC205" si="106">IF(AA159&lt;=$F$18,IFERROR(VLOOKUP($AA159,$B$82:$G$94,3,FALSE),0),)*50%</f>
        <v>0</v>
      </c>
      <c r="AD159" s="101">
        <f t="shared" si="86"/>
        <v>0</v>
      </c>
      <c r="AE159" s="101">
        <f t="shared" si="87"/>
        <v>0</v>
      </c>
      <c r="AF159" s="197">
        <f t="shared" si="102"/>
        <v>0</v>
      </c>
      <c r="AG159" s="197">
        <f t="shared" si="103"/>
        <v>0</v>
      </c>
      <c r="AH159" s="197">
        <f t="shared" si="104"/>
        <v>0</v>
      </c>
      <c r="AI159" s="202">
        <f t="shared" si="105"/>
        <v>0</v>
      </c>
      <c r="AK159" s="71">
        <v>154</v>
      </c>
      <c r="AL159" s="33">
        <f t="shared" si="88"/>
        <v>0</v>
      </c>
      <c r="AM159" s="33">
        <f t="shared" si="89"/>
        <v>0</v>
      </c>
      <c r="AN159" s="33">
        <f t="shared" si="90"/>
        <v>0</v>
      </c>
      <c r="AO159" s="33">
        <f t="shared" si="91"/>
        <v>0</v>
      </c>
      <c r="AP159" s="33">
        <f t="shared" si="92"/>
        <v>0</v>
      </c>
      <c r="AQ159" s="197">
        <f t="shared" si="93"/>
        <v>0</v>
      </c>
      <c r="AR159" s="197">
        <f t="shared" si="93"/>
        <v>0</v>
      </c>
      <c r="AS159" s="197">
        <f t="shared" si="93"/>
        <v>0</v>
      </c>
      <c r="AT159" s="197">
        <f t="shared" si="78"/>
        <v>0</v>
      </c>
      <c r="AU159" s="33"/>
      <c r="AV159" s="33"/>
      <c r="AW159" s="33"/>
      <c r="AX159" s="33"/>
      <c r="AY159" s="76"/>
    </row>
    <row r="160" spans="3:51">
      <c r="C160" s="169" t="s">
        <v>35</v>
      </c>
      <c r="D160" s="4">
        <v>0.56000000000000005</v>
      </c>
      <c r="E160" s="191" t="s">
        <v>228</v>
      </c>
      <c r="I160" s="55">
        <v>155</v>
      </c>
      <c r="J160" s="33">
        <f t="shared" si="96"/>
        <v>0</v>
      </c>
      <c r="K160" s="33">
        <f t="shared" si="97"/>
        <v>0</v>
      </c>
      <c r="L160" s="33">
        <f t="shared" si="98"/>
        <v>0</v>
      </c>
      <c r="M160" s="33">
        <f t="shared" si="99"/>
        <v>0</v>
      </c>
      <c r="N160" s="33">
        <f t="shared" si="79"/>
        <v>0</v>
      </c>
      <c r="O160" s="34">
        <f t="shared" si="80"/>
        <v>0</v>
      </c>
      <c r="P160" s="55">
        <v>155</v>
      </c>
      <c r="Q160" s="33">
        <f t="shared" si="94"/>
        <v>0</v>
      </c>
      <c r="R160" s="33">
        <f t="shared" si="100"/>
        <v>0</v>
      </c>
      <c r="S160" s="33">
        <f t="shared" si="101"/>
        <v>0</v>
      </c>
      <c r="T160" s="33">
        <f t="shared" si="81"/>
        <v>0</v>
      </c>
      <c r="U160" s="33">
        <f t="shared" si="95"/>
        <v>0</v>
      </c>
      <c r="V160" s="33">
        <f t="shared" si="82"/>
        <v>0</v>
      </c>
      <c r="W160" s="33">
        <v>0</v>
      </c>
      <c r="X160" s="33">
        <f t="shared" si="83"/>
        <v>0</v>
      </c>
      <c r="Y160" s="38">
        <f t="shared" si="84"/>
        <v>0</v>
      </c>
      <c r="AA160" s="71">
        <v>155</v>
      </c>
      <c r="AB160" s="33">
        <f t="shared" si="85"/>
        <v>0</v>
      </c>
      <c r="AC160" s="308">
        <f t="shared" si="106"/>
        <v>0</v>
      </c>
      <c r="AD160" s="101">
        <f t="shared" si="86"/>
        <v>0</v>
      </c>
      <c r="AE160" s="101">
        <f t="shared" si="87"/>
        <v>0</v>
      </c>
      <c r="AF160" s="197">
        <f t="shared" si="102"/>
        <v>0</v>
      </c>
      <c r="AG160" s="197">
        <f t="shared" si="103"/>
        <v>0</v>
      </c>
      <c r="AH160" s="197">
        <f t="shared" si="104"/>
        <v>0</v>
      </c>
      <c r="AI160" s="202">
        <f t="shared" si="105"/>
        <v>0</v>
      </c>
      <c r="AK160" s="71">
        <v>155</v>
      </c>
      <c r="AL160" s="33">
        <f t="shared" si="88"/>
        <v>0</v>
      </c>
      <c r="AM160" s="33">
        <f t="shared" si="89"/>
        <v>0</v>
      </c>
      <c r="AN160" s="33">
        <f t="shared" si="90"/>
        <v>0</v>
      </c>
      <c r="AO160" s="33">
        <f t="shared" si="91"/>
        <v>0</v>
      </c>
      <c r="AP160" s="33">
        <f t="shared" si="92"/>
        <v>0</v>
      </c>
      <c r="AQ160" s="197">
        <f t="shared" si="93"/>
        <v>0</v>
      </c>
      <c r="AR160" s="197">
        <f t="shared" si="93"/>
        <v>0</v>
      </c>
      <c r="AS160" s="197">
        <f t="shared" si="93"/>
        <v>0</v>
      </c>
      <c r="AT160" s="197">
        <f t="shared" si="78"/>
        <v>0</v>
      </c>
      <c r="AU160" s="33"/>
      <c r="AV160" s="33"/>
      <c r="AW160" s="33"/>
      <c r="AX160" s="33"/>
      <c r="AY160" s="76"/>
    </row>
    <row r="161" spans="3:51">
      <c r="C161" s="169" t="s">
        <v>36</v>
      </c>
      <c r="D161" s="4">
        <v>0.57999999999999996</v>
      </c>
      <c r="E161" s="191" t="s">
        <v>228</v>
      </c>
      <c r="I161" s="55">
        <v>156</v>
      </c>
      <c r="J161" s="33">
        <f t="shared" si="96"/>
        <v>0</v>
      </c>
      <c r="K161" s="33">
        <f t="shared" si="97"/>
        <v>0</v>
      </c>
      <c r="L161" s="33">
        <f t="shared" si="98"/>
        <v>0</v>
      </c>
      <c r="M161" s="33">
        <f t="shared" si="99"/>
        <v>0</v>
      </c>
      <c r="N161" s="33">
        <f t="shared" si="79"/>
        <v>0</v>
      </c>
      <c r="O161" s="34">
        <f t="shared" si="80"/>
        <v>0</v>
      </c>
      <c r="P161" s="55">
        <v>156</v>
      </c>
      <c r="Q161" s="33">
        <f t="shared" si="94"/>
        <v>0</v>
      </c>
      <c r="R161" s="33">
        <f t="shared" si="100"/>
        <v>0</v>
      </c>
      <c r="S161" s="33">
        <f t="shared" si="101"/>
        <v>0</v>
      </c>
      <c r="T161" s="33">
        <f t="shared" si="81"/>
        <v>0</v>
      </c>
      <c r="U161" s="33">
        <f t="shared" si="95"/>
        <v>0</v>
      </c>
      <c r="V161" s="33">
        <f t="shared" si="82"/>
        <v>0</v>
      </c>
      <c r="W161" s="33">
        <v>0</v>
      </c>
      <c r="X161" s="33">
        <f t="shared" si="83"/>
        <v>0</v>
      </c>
      <c r="Y161" s="38">
        <f t="shared" si="84"/>
        <v>0</v>
      </c>
      <c r="AA161" s="71">
        <v>156</v>
      </c>
      <c r="AB161" s="33">
        <f t="shared" si="85"/>
        <v>0</v>
      </c>
      <c r="AC161" s="308">
        <f t="shared" si="106"/>
        <v>0</v>
      </c>
      <c r="AD161" s="101">
        <f t="shared" si="86"/>
        <v>0</v>
      </c>
      <c r="AE161" s="101">
        <f t="shared" si="87"/>
        <v>0</v>
      </c>
      <c r="AF161" s="197">
        <f t="shared" si="102"/>
        <v>0</v>
      </c>
      <c r="AG161" s="197">
        <f t="shared" si="103"/>
        <v>0</v>
      </c>
      <c r="AH161" s="197">
        <f t="shared" si="104"/>
        <v>0</v>
      </c>
      <c r="AI161" s="202">
        <f t="shared" si="105"/>
        <v>0</v>
      </c>
      <c r="AK161" s="71">
        <v>156</v>
      </c>
      <c r="AL161" s="33">
        <f t="shared" si="88"/>
        <v>0</v>
      </c>
      <c r="AM161" s="33">
        <f t="shared" si="89"/>
        <v>0</v>
      </c>
      <c r="AN161" s="33">
        <f t="shared" si="90"/>
        <v>0</v>
      </c>
      <c r="AO161" s="33">
        <f t="shared" si="91"/>
        <v>0</v>
      </c>
      <c r="AP161" s="33">
        <f t="shared" si="92"/>
        <v>0</v>
      </c>
      <c r="AQ161" s="197">
        <f t="shared" si="93"/>
        <v>0</v>
      </c>
      <c r="AR161" s="197">
        <f t="shared" si="93"/>
        <v>0</v>
      </c>
      <c r="AS161" s="197">
        <f t="shared" si="93"/>
        <v>0</v>
      </c>
      <c r="AT161" s="197">
        <f t="shared" si="78"/>
        <v>0</v>
      </c>
      <c r="AU161" s="33"/>
      <c r="AV161" s="33"/>
      <c r="AW161" s="33"/>
      <c r="AX161" s="33"/>
      <c r="AY161" s="76"/>
    </row>
    <row r="162" spans="3:51">
      <c r="C162" s="169" t="s">
        <v>37</v>
      </c>
      <c r="D162" s="4">
        <v>0.57999999999999996</v>
      </c>
      <c r="E162" s="191" t="s">
        <v>229</v>
      </c>
      <c r="I162" s="55">
        <v>157</v>
      </c>
      <c r="J162" s="33">
        <f t="shared" si="96"/>
        <v>0</v>
      </c>
      <c r="K162" s="33">
        <f t="shared" si="97"/>
        <v>0</v>
      </c>
      <c r="L162" s="33">
        <f t="shared" si="98"/>
        <v>0</v>
      </c>
      <c r="M162" s="33">
        <f t="shared" si="99"/>
        <v>0</v>
      </c>
      <c r="N162" s="33">
        <f t="shared" si="79"/>
        <v>0</v>
      </c>
      <c r="O162" s="34">
        <f t="shared" si="80"/>
        <v>0</v>
      </c>
      <c r="P162" s="55">
        <v>157</v>
      </c>
      <c r="Q162" s="33">
        <f t="shared" si="94"/>
        <v>0</v>
      </c>
      <c r="R162" s="33">
        <f t="shared" si="100"/>
        <v>0</v>
      </c>
      <c r="S162" s="33">
        <f t="shared" si="101"/>
        <v>0</v>
      </c>
      <c r="T162" s="33">
        <f t="shared" si="81"/>
        <v>0</v>
      </c>
      <c r="U162" s="33">
        <f t="shared" si="95"/>
        <v>0</v>
      </c>
      <c r="V162" s="33">
        <f t="shared" si="82"/>
        <v>0</v>
      </c>
      <c r="W162" s="33">
        <v>0</v>
      </c>
      <c r="X162" s="33">
        <f t="shared" si="83"/>
        <v>0</v>
      </c>
      <c r="Y162" s="38">
        <f t="shared" si="84"/>
        <v>0</v>
      </c>
      <c r="AA162" s="71">
        <v>157</v>
      </c>
      <c r="AB162" s="33">
        <f t="shared" si="85"/>
        <v>0</v>
      </c>
      <c r="AC162" s="308">
        <f t="shared" si="106"/>
        <v>0</v>
      </c>
      <c r="AD162" s="101">
        <f t="shared" si="86"/>
        <v>0</v>
      </c>
      <c r="AE162" s="101">
        <f t="shared" si="87"/>
        <v>0</v>
      </c>
      <c r="AF162" s="197">
        <f t="shared" si="102"/>
        <v>0</v>
      </c>
      <c r="AG162" s="197">
        <f t="shared" si="103"/>
        <v>0</v>
      </c>
      <c r="AH162" s="197">
        <f t="shared" si="104"/>
        <v>0</v>
      </c>
      <c r="AI162" s="202">
        <f t="shared" si="105"/>
        <v>0</v>
      </c>
      <c r="AK162" s="71">
        <v>157</v>
      </c>
      <c r="AL162" s="33">
        <f t="shared" si="88"/>
        <v>0</v>
      </c>
      <c r="AM162" s="33">
        <f t="shared" si="89"/>
        <v>0</v>
      </c>
      <c r="AN162" s="33">
        <f t="shared" si="90"/>
        <v>0</v>
      </c>
      <c r="AO162" s="33">
        <f t="shared" si="91"/>
        <v>0</v>
      </c>
      <c r="AP162" s="33">
        <f t="shared" si="92"/>
        <v>0</v>
      </c>
      <c r="AQ162" s="197">
        <f t="shared" si="93"/>
        <v>0</v>
      </c>
      <c r="AR162" s="197">
        <f t="shared" si="93"/>
        <v>0</v>
      </c>
      <c r="AS162" s="197">
        <f t="shared" si="93"/>
        <v>0</v>
      </c>
      <c r="AT162" s="197">
        <f t="shared" si="78"/>
        <v>0</v>
      </c>
      <c r="AU162" s="33"/>
      <c r="AV162" s="33"/>
      <c r="AW162" s="33"/>
      <c r="AX162" s="33"/>
      <c r="AY162" s="76"/>
    </row>
    <row r="163" spans="3:51">
      <c r="C163" s="169" t="s">
        <v>38</v>
      </c>
      <c r="D163" s="4">
        <v>0.48</v>
      </c>
      <c r="E163" s="191" t="s">
        <v>229</v>
      </c>
      <c r="I163" s="55">
        <v>158</v>
      </c>
      <c r="J163" s="33">
        <f t="shared" si="96"/>
        <v>0</v>
      </c>
      <c r="K163" s="33">
        <f t="shared" si="97"/>
        <v>0</v>
      </c>
      <c r="L163" s="33">
        <f t="shared" si="98"/>
        <v>0</v>
      </c>
      <c r="M163" s="33">
        <f t="shared" si="99"/>
        <v>0</v>
      </c>
      <c r="N163" s="33">
        <f t="shared" si="79"/>
        <v>0</v>
      </c>
      <c r="O163" s="34">
        <f t="shared" si="80"/>
        <v>0</v>
      </c>
      <c r="P163" s="55">
        <v>158</v>
      </c>
      <c r="Q163" s="33">
        <f t="shared" si="94"/>
        <v>0</v>
      </c>
      <c r="R163" s="33">
        <f t="shared" si="100"/>
        <v>0</v>
      </c>
      <c r="S163" s="33">
        <f t="shared" si="101"/>
        <v>0</v>
      </c>
      <c r="T163" s="33">
        <f t="shared" si="81"/>
        <v>0</v>
      </c>
      <c r="U163" s="33">
        <f t="shared" si="95"/>
        <v>0</v>
      </c>
      <c r="V163" s="33">
        <f t="shared" si="82"/>
        <v>0</v>
      </c>
      <c r="W163" s="33">
        <v>0</v>
      </c>
      <c r="X163" s="33">
        <f t="shared" si="83"/>
        <v>0</v>
      </c>
      <c r="Y163" s="38">
        <f t="shared" si="84"/>
        <v>0</v>
      </c>
      <c r="AA163" s="71">
        <v>158</v>
      </c>
      <c r="AB163" s="33">
        <f t="shared" si="85"/>
        <v>0</v>
      </c>
      <c r="AC163" s="308">
        <f t="shared" si="106"/>
        <v>0</v>
      </c>
      <c r="AD163" s="101">
        <f t="shared" si="86"/>
        <v>0</v>
      </c>
      <c r="AE163" s="101">
        <f t="shared" si="87"/>
        <v>0</v>
      </c>
      <c r="AF163" s="197">
        <f t="shared" si="102"/>
        <v>0</v>
      </c>
      <c r="AG163" s="197">
        <f t="shared" si="103"/>
        <v>0</v>
      </c>
      <c r="AH163" s="197">
        <f t="shared" si="104"/>
        <v>0</v>
      </c>
      <c r="AI163" s="202">
        <f t="shared" si="105"/>
        <v>0</v>
      </c>
      <c r="AK163" s="71">
        <v>158</v>
      </c>
      <c r="AL163" s="33">
        <f t="shared" si="88"/>
        <v>0</v>
      </c>
      <c r="AM163" s="33">
        <f t="shared" si="89"/>
        <v>0</v>
      </c>
      <c r="AN163" s="33">
        <f t="shared" si="90"/>
        <v>0</v>
      </c>
      <c r="AO163" s="33">
        <f t="shared" si="91"/>
        <v>0</v>
      </c>
      <c r="AP163" s="33">
        <f t="shared" si="92"/>
        <v>0</v>
      </c>
      <c r="AQ163" s="197">
        <f t="shared" si="93"/>
        <v>0</v>
      </c>
      <c r="AR163" s="197">
        <f t="shared" si="93"/>
        <v>0</v>
      </c>
      <c r="AS163" s="197">
        <f t="shared" si="93"/>
        <v>0</v>
      </c>
      <c r="AT163" s="197">
        <f t="shared" si="78"/>
        <v>0</v>
      </c>
      <c r="AU163" s="33"/>
      <c r="AV163" s="33"/>
      <c r="AW163" s="33"/>
      <c r="AX163" s="33"/>
      <c r="AY163" s="76"/>
    </row>
    <row r="164" spans="3:51">
      <c r="C164" s="169" t="s">
        <v>39</v>
      </c>
      <c r="D164" s="4">
        <v>0.42</v>
      </c>
      <c r="E164" s="191" t="s">
        <v>229</v>
      </c>
      <c r="I164" s="55">
        <v>159</v>
      </c>
      <c r="J164" s="33">
        <f t="shared" si="96"/>
        <v>0</v>
      </c>
      <c r="K164" s="33">
        <f t="shared" si="97"/>
        <v>0</v>
      </c>
      <c r="L164" s="33">
        <f t="shared" si="98"/>
        <v>0</v>
      </c>
      <c r="M164" s="33">
        <f t="shared" si="99"/>
        <v>0</v>
      </c>
      <c r="N164" s="33">
        <f t="shared" si="79"/>
        <v>0</v>
      </c>
      <c r="O164" s="34">
        <f t="shared" si="80"/>
        <v>0</v>
      </c>
      <c r="P164" s="55">
        <v>159</v>
      </c>
      <c r="Q164" s="33">
        <f t="shared" si="94"/>
        <v>0</v>
      </c>
      <c r="R164" s="33">
        <f t="shared" si="100"/>
        <v>0</v>
      </c>
      <c r="S164" s="33">
        <f t="shared" si="101"/>
        <v>0</v>
      </c>
      <c r="T164" s="33">
        <f t="shared" si="81"/>
        <v>0</v>
      </c>
      <c r="U164" s="33">
        <f t="shared" si="95"/>
        <v>0</v>
      </c>
      <c r="V164" s="33">
        <f t="shared" si="82"/>
        <v>0</v>
      </c>
      <c r="W164" s="33">
        <v>0</v>
      </c>
      <c r="X164" s="33">
        <f t="shared" si="83"/>
        <v>0</v>
      </c>
      <c r="Y164" s="38">
        <f t="shared" si="84"/>
        <v>0</v>
      </c>
      <c r="AA164" s="71">
        <v>159</v>
      </c>
      <c r="AB164" s="33">
        <f t="shared" si="85"/>
        <v>0</v>
      </c>
      <c r="AC164" s="308">
        <f t="shared" si="106"/>
        <v>0</v>
      </c>
      <c r="AD164" s="101">
        <f t="shared" si="86"/>
        <v>0</v>
      </c>
      <c r="AE164" s="101">
        <f t="shared" si="87"/>
        <v>0</v>
      </c>
      <c r="AF164" s="197">
        <f t="shared" si="102"/>
        <v>0</v>
      </c>
      <c r="AG164" s="197">
        <f t="shared" si="103"/>
        <v>0</v>
      </c>
      <c r="AH164" s="197">
        <f t="shared" si="104"/>
        <v>0</v>
      </c>
      <c r="AI164" s="202">
        <f t="shared" si="105"/>
        <v>0</v>
      </c>
      <c r="AK164" s="71">
        <v>159</v>
      </c>
      <c r="AL164" s="33">
        <f t="shared" si="88"/>
        <v>0</v>
      </c>
      <c r="AM164" s="33">
        <f t="shared" si="89"/>
        <v>0</v>
      </c>
      <c r="AN164" s="33">
        <f t="shared" si="90"/>
        <v>0</v>
      </c>
      <c r="AO164" s="33">
        <f t="shared" si="91"/>
        <v>0</v>
      </c>
      <c r="AP164" s="33">
        <f t="shared" si="92"/>
        <v>0</v>
      </c>
      <c r="AQ164" s="197">
        <f t="shared" si="93"/>
        <v>0</v>
      </c>
      <c r="AR164" s="197">
        <f t="shared" si="93"/>
        <v>0</v>
      </c>
      <c r="AS164" s="197">
        <f t="shared" si="93"/>
        <v>0</v>
      </c>
      <c r="AT164" s="197">
        <f t="shared" si="78"/>
        <v>0</v>
      </c>
      <c r="AU164" s="33"/>
      <c r="AV164" s="33"/>
      <c r="AW164" s="33"/>
      <c r="AX164" s="33"/>
      <c r="AY164" s="76"/>
    </row>
    <row r="165" spans="3:51">
      <c r="C165" s="169" t="s">
        <v>40</v>
      </c>
      <c r="D165" s="4">
        <v>0.5</v>
      </c>
      <c r="E165" s="191" t="s">
        <v>228</v>
      </c>
      <c r="I165" s="55">
        <v>160</v>
      </c>
      <c r="J165" s="33">
        <f t="shared" si="96"/>
        <v>0</v>
      </c>
      <c r="K165" s="33">
        <f t="shared" si="97"/>
        <v>0</v>
      </c>
      <c r="L165" s="33">
        <f t="shared" si="98"/>
        <v>0</v>
      </c>
      <c r="M165" s="33">
        <f t="shared" si="99"/>
        <v>0</v>
      </c>
      <c r="N165" s="33">
        <f t="shared" si="79"/>
        <v>0</v>
      </c>
      <c r="O165" s="34">
        <f t="shared" si="80"/>
        <v>0</v>
      </c>
      <c r="P165" s="55">
        <v>160</v>
      </c>
      <c r="Q165" s="33">
        <f t="shared" si="94"/>
        <v>0</v>
      </c>
      <c r="R165" s="33">
        <f t="shared" si="100"/>
        <v>0</v>
      </c>
      <c r="S165" s="33">
        <f t="shared" si="101"/>
        <v>0</v>
      </c>
      <c r="T165" s="33">
        <f t="shared" si="81"/>
        <v>0</v>
      </c>
      <c r="U165" s="33">
        <f t="shared" si="95"/>
        <v>0</v>
      </c>
      <c r="V165" s="33">
        <f t="shared" si="82"/>
        <v>0</v>
      </c>
      <c r="W165" s="33">
        <v>0</v>
      </c>
      <c r="X165" s="33">
        <f t="shared" si="83"/>
        <v>0</v>
      </c>
      <c r="Y165" s="38">
        <f t="shared" si="84"/>
        <v>0</v>
      </c>
      <c r="AA165" s="71">
        <v>160</v>
      </c>
      <c r="AB165" s="33">
        <f t="shared" si="85"/>
        <v>0</v>
      </c>
      <c r="AC165" s="308">
        <f t="shared" si="106"/>
        <v>0</v>
      </c>
      <c r="AD165" s="101">
        <f t="shared" si="86"/>
        <v>0</v>
      </c>
      <c r="AE165" s="101">
        <f t="shared" si="87"/>
        <v>0</v>
      </c>
      <c r="AF165" s="197">
        <f t="shared" si="102"/>
        <v>0</v>
      </c>
      <c r="AG165" s="197">
        <f t="shared" si="103"/>
        <v>0</v>
      </c>
      <c r="AH165" s="197">
        <f t="shared" si="104"/>
        <v>0</v>
      </c>
      <c r="AI165" s="202">
        <f t="shared" si="105"/>
        <v>0</v>
      </c>
      <c r="AK165" s="71">
        <v>160</v>
      </c>
      <c r="AL165" s="33">
        <f t="shared" si="88"/>
        <v>0</v>
      </c>
      <c r="AM165" s="33">
        <f t="shared" si="89"/>
        <v>0</v>
      </c>
      <c r="AN165" s="33">
        <f t="shared" si="90"/>
        <v>0</v>
      </c>
      <c r="AO165" s="33">
        <f t="shared" si="91"/>
        <v>0</v>
      </c>
      <c r="AP165" s="33">
        <f t="shared" si="92"/>
        <v>0</v>
      </c>
      <c r="AQ165" s="197">
        <f t="shared" si="93"/>
        <v>0</v>
      </c>
      <c r="AR165" s="197">
        <f t="shared" si="93"/>
        <v>0</v>
      </c>
      <c r="AS165" s="197">
        <f t="shared" si="93"/>
        <v>0</v>
      </c>
      <c r="AT165" s="197">
        <f t="shared" si="78"/>
        <v>0</v>
      </c>
      <c r="AU165" s="33"/>
      <c r="AV165" s="33"/>
      <c r="AW165" s="33"/>
      <c r="AX165" s="33"/>
      <c r="AY165" s="76"/>
    </row>
    <row r="166" spans="3:51">
      <c r="C166" s="169" t="s">
        <v>41</v>
      </c>
      <c r="D166" s="4">
        <v>0.55000000000000004</v>
      </c>
      <c r="E166" s="191" t="s">
        <v>228</v>
      </c>
      <c r="I166" s="55">
        <v>161</v>
      </c>
      <c r="J166" s="33">
        <f t="shared" si="96"/>
        <v>0</v>
      </c>
      <c r="K166" s="33">
        <f t="shared" si="97"/>
        <v>0</v>
      </c>
      <c r="L166" s="33">
        <f t="shared" si="98"/>
        <v>0</v>
      </c>
      <c r="M166" s="33">
        <f t="shared" si="99"/>
        <v>0</v>
      </c>
      <c r="N166" s="33">
        <f t="shared" si="79"/>
        <v>0</v>
      </c>
      <c r="O166" s="34">
        <f t="shared" si="80"/>
        <v>0</v>
      </c>
      <c r="P166" s="55">
        <v>161</v>
      </c>
      <c r="Q166" s="33">
        <f t="shared" si="94"/>
        <v>0</v>
      </c>
      <c r="R166" s="33">
        <f t="shared" si="100"/>
        <v>0</v>
      </c>
      <c r="S166" s="33">
        <f t="shared" si="101"/>
        <v>0</v>
      </c>
      <c r="T166" s="33">
        <f t="shared" si="81"/>
        <v>0</v>
      </c>
      <c r="U166" s="33">
        <f t="shared" si="95"/>
        <v>0</v>
      </c>
      <c r="V166" s="33">
        <f t="shared" si="82"/>
        <v>0</v>
      </c>
      <c r="W166" s="33">
        <v>0</v>
      </c>
      <c r="X166" s="33">
        <f t="shared" si="83"/>
        <v>0</v>
      </c>
      <c r="Y166" s="38">
        <f t="shared" si="84"/>
        <v>0</v>
      </c>
      <c r="AA166" s="71">
        <v>161</v>
      </c>
      <c r="AB166" s="33">
        <f t="shared" si="85"/>
        <v>0</v>
      </c>
      <c r="AC166" s="308">
        <f t="shared" si="106"/>
        <v>0</v>
      </c>
      <c r="AD166" s="101">
        <f t="shared" si="86"/>
        <v>0</v>
      </c>
      <c r="AE166" s="101">
        <f t="shared" si="87"/>
        <v>0</v>
      </c>
      <c r="AF166" s="197">
        <f t="shared" si="102"/>
        <v>0</v>
      </c>
      <c r="AG166" s="197">
        <f t="shared" si="103"/>
        <v>0</v>
      </c>
      <c r="AH166" s="197">
        <f t="shared" si="104"/>
        <v>0</v>
      </c>
      <c r="AI166" s="202">
        <f t="shared" si="105"/>
        <v>0</v>
      </c>
      <c r="AK166" s="71">
        <v>161</v>
      </c>
      <c r="AL166" s="33">
        <f t="shared" si="88"/>
        <v>0</v>
      </c>
      <c r="AM166" s="33">
        <f t="shared" si="89"/>
        <v>0</v>
      </c>
      <c r="AN166" s="33">
        <f t="shared" si="90"/>
        <v>0</v>
      </c>
      <c r="AO166" s="33">
        <f t="shared" si="91"/>
        <v>0</v>
      </c>
      <c r="AP166" s="33">
        <f t="shared" si="92"/>
        <v>0</v>
      </c>
      <c r="AQ166" s="197">
        <f t="shared" si="93"/>
        <v>0</v>
      </c>
      <c r="AR166" s="197">
        <f t="shared" si="93"/>
        <v>0</v>
      </c>
      <c r="AS166" s="197">
        <f t="shared" si="93"/>
        <v>0</v>
      </c>
      <c r="AT166" s="197">
        <f t="shared" si="78"/>
        <v>0</v>
      </c>
      <c r="AU166" s="33"/>
      <c r="AV166" s="33"/>
      <c r="AW166" s="33"/>
      <c r="AX166" s="33"/>
      <c r="AY166" s="76"/>
    </row>
    <row r="167" spans="3:51">
      <c r="C167" s="169" t="s">
        <v>42</v>
      </c>
      <c r="D167" s="4">
        <v>0.53</v>
      </c>
      <c r="E167" s="191" t="s">
        <v>228</v>
      </c>
      <c r="I167" s="55">
        <v>162</v>
      </c>
      <c r="J167" s="33">
        <f t="shared" si="96"/>
        <v>0</v>
      </c>
      <c r="K167" s="33">
        <f t="shared" si="97"/>
        <v>0</v>
      </c>
      <c r="L167" s="33">
        <f t="shared" si="98"/>
        <v>0</v>
      </c>
      <c r="M167" s="33">
        <f t="shared" si="99"/>
        <v>0</v>
      </c>
      <c r="N167" s="33">
        <f t="shared" si="79"/>
        <v>0</v>
      </c>
      <c r="O167" s="34">
        <f t="shared" si="80"/>
        <v>0</v>
      </c>
      <c r="P167" s="55">
        <v>162</v>
      </c>
      <c r="Q167" s="33">
        <f t="shared" si="94"/>
        <v>0</v>
      </c>
      <c r="R167" s="33">
        <f t="shared" si="100"/>
        <v>0</v>
      </c>
      <c r="S167" s="33">
        <f t="shared" si="101"/>
        <v>0</v>
      </c>
      <c r="T167" s="33">
        <f t="shared" si="81"/>
        <v>0</v>
      </c>
      <c r="U167" s="33">
        <f t="shared" si="95"/>
        <v>0</v>
      </c>
      <c r="V167" s="33">
        <f t="shared" si="82"/>
        <v>0</v>
      </c>
      <c r="W167" s="33">
        <v>0</v>
      </c>
      <c r="X167" s="33">
        <f t="shared" si="83"/>
        <v>0</v>
      </c>
      <c r="Y167" s="38">
        <f t="shared" si="84"/>
        <v>0</v>
      </c>
      <c r="AA167" s="71">
        <v>162</v>
      </c>
      <c r="AB167" s="33">
        <f t="shared" si="85"/>
        <v>0</v>
      </c>
      <c r="AC167" s="308">
        <f t="shared" si="106"/>
        <v>0</v>
      </c>
      <c r="AD167" s="101">
        <f t="shared" si="86"/>
        <v>0</v>
      </c>
      <c r="AE167" s="101">
        <f t="shared" si="87"/>
        <v>0</v>
      </c>
      <c r="AF167" s="197">
        <f t="shared" si="102"/>
        <v>0</v>
      </c>
      <c r="AG167" s="197">
        <f t="shared" si="103"/>
        <v>0</v>
      </c>
      <c r="AH167" s="197">
        <f t="shared" si="104"/>
        <v>0</v>
      </c>
      <c r="AI167" s="202">
        <f t="shared" si="105"/>
        <v>0</v>
      </c>
      <c r="AK167" s="71">
        <v>162</v>
      </c>
      <c r="AL167" s="33">
        <f t="shared" si="88"/>
        <v>0</v>
      </c>
      <c r="AM167" s="33">
        <f t="shared" si="89"/>
        <v>0</v>
      </c>
      <c r="AN167" s="33">
        <f t="shared" si="90"/>
        <v>0</v>
      </c>
      <c r="AO167" s="33">
        <f t="shared" si="91"/>
        <v>0</v>
      </c>
      <c r="AP167" s="33">
        <f t="shared" si="92"/>
        <v>0</v>
      </c>
      <c r="AQ167" s="197">
        <f t="shared" si="93"/>
        <v>0</v>
      </c>
      <c r="AR167" s="197">
        <f t="shared" si="93"/>
        <v>0</v>
      </c>
      <c r="AS167" s="197">
        <f t="shared" si="93"/>
        <v>0</v>
      </c>
      <c r="AT167" s="197">
        <f t="shared" si="78"/>
        <v>0</v>
      </c>
      <c r="AU167" s="33"/>
      <c r="AV167" s="33"/>
      <c r="AW167" s="33"/>
      <c r="AX167" s="33"/>
      <c r="AY167" s="76"/>
    </row>
    <row r="168" spans="3:51">
      <c r="C168" s="169" t="s">
        <v>43</v>
      </c>
      <c r="D168" s="4">
        <v>0.52</v>
      </c>
      <c r="E168" s="191" t="s">
        <v>228</v>
      </c>
      <c r="I168" s="55">
        <v>163</v>
      </c>
      <c r="J168" s="33">
        <f t="shared" si="96"/>
        <v>0</v>
      </c>
      <c r="K168" s="33">
        <f t="shared" si="97"/>
        <v>0</v>
      </c>
      <c r="L168" s="33">
        <f t="shared" si="98"/>
        <v>0</v>
      </c>
      <c r="M168" s="33">
        <f t="shared" si="99"/>
        <v>0</v>
      </c>
      <c r="N168" s="33">
        <f t="shared" si="79"/>
        <v>0</v>
      </c>
      <c r="O168" s="34">
        <f t="shared" si="80"/>
        <v>0</v>
      </c>
      <c r="P168" s="55">
        <v>163</v>
      </c>
      <c r="Q168" s="33">
        <f t="shared" si="94"/>
        <v>0</v>
      </c>
      <c r="R168" s="33">
        <f t="shared" si="100"/>
        <v>0</v>
      </c>
      <c r="S168" s="33">
        <f t="shared" si="101"/>
        <v>0</v>
      </c>
      <c r="T168" s="33">
        <f t="shared" si="81"/>
        <v>0</v>
      </c>
      <c r="U168" s="33">
        <f t="shared" si="95"/>
        <v>0</v>
      </c>
      <c r="V168" s="33">
        <f t="shared" si="82"/>
        <v>0</v>
      </c>
      <c r="W168" s="33">
        <v>0</v>
      </c>
      <c r="X168" s="33">
        <f t="shared" si="83"/>
        <v>0</v>
      </c>
      <c r="Y168" s="38">
        <f t="shared" si="84"/>
        <v>0</v>
      </c>
      <c r="AA168" s="71">
        <v>163</v>
      </c>
      <c r="AB168" s="33">
        <f t="shared" si="85"/>
        <v>0</v>
      </c>
      <c r="AC168" s="308">
        <f t="shared" si="106"/>
        <v>0</v>
      </c>
      <c r="AD168" s="101">
        <f t="shared" si="86"/>
        <v>0</v>
      </c>
      <c r="AE168" s="101">
        <f t="shared" si="87"/>
        <v>0</v>
      </c>
      <c r="AF168" s="197">
        <f t="shared" si="102"/>
        <v>0</v>
      </c>
      <c r="AG168" s="197">
        <f t="shared" si="103"/>
        <v>0</v>
      </c>
      <c r="AH168" s="197">
        <f t="shared" si="104"/>
        <v>0</v>
      </c>
      <c r="AI168" s="202">
        <f t="shared" si="105"/>
        <v>0</v>
      </c>
      <c r="AK168" s="71">
        <v>163</v>
      </c>
      <c r="AL168" s="33">
        <f t="shared" si="88"/>
        <v>0</v>
      </c>
      <c r="AM168" s="33">
        <f t="shared" si="89"/>
        <v>0</v>
      </c>
      <c r="AN168" s="33">
        <f t="shared" si="90"/>
        <v>0</v>
      </c>
      <c r="AO168" s="33">
        <f t="shared" si="91"/>
        <v>0</v>
      </c>
      <c r="AP168" s="33">
        <f t="shared" si="92"/>
        <v>0</v>
      </c>
      <c r="AQ168" s="197">
        <f t="shared" si="93"/>
        <v>0</v>
      </c>
      <c r="AR168" s="197">
        <f t="shared" si="93"/>
        <v>0</v>
      </c>
      <c r="AS168" s="197">
        <f t="shared" si="93"/>
        <v>0</v>
      </c>
      <c r="AT168" s="197">
        <f t="shared" si="78"/>
        <v>0</v>
      </c>
      <c r="AU168" s="33"/>
      <c r="AV168" s="33"/>
      <c r="AW168" s="33"/>
      <c r="AX168" s="33"/>
      <c r="AY168" s="76"/>
    </row>
    <row r="169" spans="3:51">
      <c r="C169" s="169" t="s">
        <v>44</v>
      </c>
      <c r="D169" s="4">
        <v>0.52</v>
      </c>
      <c r="E169" s="191" t="s">
        <v>228</v>
      </c>
      <c r="I169" s="55">
        <v>164</v>
      </c>
      <c r="J169" s="33">
        <f t="shared" si="96"/>
        <v>0</v>
      </c>
      <c r="K169" s="33">
        <f t="shared" si="97"/>
        <v>0</v>
      </c>
      <c r="L169" s="33">
        <f t="shared" si="98"/>
        <v>0</v>
      </c>
      <c r="M169" s="33">
        <f t="shared" si="99"/>
        <v>0</v>
      </c>
      <c r="N169" s="33">
        <f t="shared" si="79"/>
        <v>0</v>
      </c>
      <c r="O169" s="34">
        <f t="shared" si="80"/>
        <v>0</v>
      </c>
      <c r="P169" s="55">
        <v>164</v>
      </c>
      <c r="Q169" s="33">
        <f t="shared" si="94"/>
        <v>0</v>
      </c>
      <c r="R169" s="33">
        <f t="shared" si="100"/>
        <v>0</v>
      </c>
      <c r="S169" s="33">
        <f t="shared" si="101"/>
        <v>0</v>
      </c>
      <c r="T169" s="33">
        <f t="shared" si="81"/>
        <v>0</v>
      </c>
      <c r="U169" s="33">
        <f t="shared" si="95"/>
        <v>0</v>
      </c>
      <c r="V169" s="33">
        <f t="shared" si="82"/>
        <v>0</v>
      </c>
      <c r="W169" s="33">
        <v>0</v>
      </c>
      <c r="X169" s="33">
        <f t="shared" si="83"/>
        <v>0</v>
      </c>
      <c r="Y169" s="38">
        <f t="shared" si="84"/>
        <v>0</v>
      </c>
      <c r="AA169" s="71">
        <v>164</v>
      </c>
      <c r="AB169" s="33">
        <f t="shared" si="85"/>
        <v>0</v>
      </c>
      <c r="AC169" s="308">
        <f t="shared" si="106"/>
        <v>0</v>
      </c>
      <c r="AD169" s="101">
        <f t="shared" si="86"/>
        <v>0</v>
      </c>
      <c r="AE169" s="101">
        <f t="shared" si="87"/>
        <v>0</v>
      </c>
      <c r="AF169" s="197">
        <f t="shared" si="102"/>
        <v>0</v>
      </c>
      <c r="AG169" s="197">
        <f t="shared" si="103"/>
        <v>0</v>
      </c>
      <c r="AH169" s="197">
        <f t="shared" si="104"/>
        <v>0</v>
      </c>
      <c r="AI169" s="202">
        <f t="shared" si="105"/>
        <v>0</v>
      </c>
      <c r="AK169" s="71">
        <v>164</v>
      </c>
      <c r="AL169" s="33">
        <f t="shared" si="88"/>
        <v>0</v>
      </c>
      <c r="AM169" s="33">
        <f t="shared" si="89"/>
        <v>0</v>
      </c>
      <c r="AN169" s="33">
        <f t="shared" si="90"/>
        <v>0</v>
      </c>
      <c r="AO169" s="33">
        <f t="shared" si="91"/>
        <v>0</v>
      </c>
      <c r="AP169" s="33">
        <f t="shared" si="92"/>
        <v>0</v>
      </c>
      <c r="AQ169" s="197">
        <f t="shared" si="93"/>
        <v>0</v>
      </c>
      <c r="AR169" s="197">
        <f t="shared" si="93"/>
        <v>0</v>
      </c>
      <c r="AS169" s="197">
        <f t="shared" si="93"/>
        <v>0</v>
      </c>
      <c r="AT169" s="197">
        <f t="shared" si="78"/>
        <v>0</v>
      </c>
      <c r="AU169" s="33"/>
      <c r="AV169" s="33"/>
      <c r="AW169" s="33"/>
      <c r="AX169" s="33"/>
      <c r="AY169" s="76"/>
    </row>
    <row r="170" spans="3:51">
      <c r="C170" s="169" t="s">
        <v>45</v>
      </c>
      <c r="D170" s="4">
        <v>0.75</v>
      </c>
      <c r="E170" s="191" t="s">
        <v>228</v>
      </c>
      <c r="I170" s="55">
        <v>165</v>
      </c>
      <c r="J170" s="33">
        <f t="shared" si="96"/>
        <v>0</v>
      </c>
      <c r="K170" s="33">
        <f t="shared" si="97"/>
        <v>0</v>
      </c>
      <c r="L170" s="33">
        <f t="shared" si="98"/>
        <v>0</v>
      </c>
      <c r="M170" s="33">
        <f t="shared" si="99"/>
        <v>0</v>
      </c>
      <c r="N170" s="33">
        <f t="shared" si="79"/>
        <v>0</v>
      </c>
      <c r="O170" s="34">
        <f t="shared" si="80"/>
        <v>0</v>
      </c>
      <c r="P170" s="55">
        <v>165</v>
      </c>
      <c r="Q170" s="33">
        <f t="shared" si="94"/>
        <v>0</v>
      </c>
      <c r="R170" s="33">
        <f t="shared" si="100"/>
        <v>0</v>
      </c>
      <c r="S170" s="33">
        <f t="shared" si="101"/>
        <v>0</v>
      </c>
      <c r="T170" s="33">
        <f t="shared" si="81"/>
        <v>0</v>
      </c>
      <c r="U170" s="33">
        <f t="shared" si="95"/>
        <v>0</v>
      </c>
      <c r="V170" s="33">
        <f t="shared" si="82"/>
        <v>0</v>
      </c>
      <c r="W170" s="33">
        <v>0</v>
      </c>
      <c r="X170" s="33">
        <f t="shared" si="83"/>
        <v>0</v>
      </c>
      <c r="Y170" s="38">
        <f t="shared" si="84"/>
        <v>0</v>
      </c>
      <c r="AA170" s="71">
        <v>165</v>
      </c>
      <c r="AB170" s="33">
        <f t="shared" si="85"/>
        <v>0</v>
      </c>
      <c r="AC170" s="308">
        <f t="shared" si="106"/>
        <v>0</v>
      </c>
      <c r="AD170" s="101">
        <f t="shared" si="86"/>
        <v>0</v>
      </c>
      <c r="AE170" s="101">
        <f t="shared" si="87"/>
        <v>0</v>
      </c>
      <c r="AF170" s="197">
        <f t="shared" si="102"/>
        <v>0</v>
      </c>
      <c r="AG170" s="197">
        <f t="shared" si="103"/>
        <v>0</v>
      </c>
      <c r="AH170" s="197">
        <f t="shared" si="104"/>
        <v>0</v>
      </c>
      <c r="AI170" s="202">
        <f t="shared" si="105"/>
        <v>0</v>
      </c>
      <c r="AK170" s="71">
        <v>165</v>
      </c>
      <c r="AL170" s="33">
        <f t="shared" si="88"/>
        <v>0</v>
      </c>
      <c r="AM170" s="33">
        <f t="shared" si="89"/>
        <v>0</v>
      </c>
      <c r="AN170" s="33">
        <f t="shared" si="90"/>
        <v>0</v>
      </c>
      <c r="AO170" s="33">
        <f t="shared" si="91"/>
        <v>0</v>
      </c>
      <c r="AP170" s="33">
        <f t="shared" si="92"/>
        <v>0</v>
      </c>
      <c r="AQ170" s="197">
        <f t="shared" si="93"/>
        <v>0</v>
      </c>
      <c r="AR170" s="197">
        <f t="shared" si="93"/>
        <v>0</v>
      </c>
      <c r="AS170" s="197">
        <f t="shared" si="93"/>
        <v>0</v>
      </c>
      <c r="AT170" s="197">
        <f t="shared" si="78"/>
        <v>0</v>
      </c>
      <c r="AU170" s="33"/>
      <c r="AV170" s="33"/>
      <c r="AW170" s="33"/>
      <c r="AX170" s="33"/>
      <c r="AY170" s="76"/>
    </row>
    <row r="171" spans="3:51">
      <c r="C171" s="169" t="s">
        <v>46</v>
      </c>
      <c r="D171" s="4">
        <v>0.52</v>
      </c>
      <c r="E171" s="191" t="s">
        <v>228</v>
      </c>
      <c r="I171" s="55">
        <v>166</v>
      </c>
      <c r="J171" s="33">
        <f t="shared" si="96"/>
        <v>0</v>
      </c>
      <c r="K171" s="33">
        <f t="shared" si="97"/>
        <v>0</v>
      </c>
      <c r="L171" s="33">
        <f t="shared" si="98"/>
        <v>0</v>
      </c>
      <c r="M171" s="33">
        <f t="shared" si="99"/>
        <v>0</v>
      </c>
      <c r="N171" s="33">
        <f t="shared" si="79"/>
        <v>0</v>
      </c>
      <c r="O171" s="34">
        <f t="shared" si="80"/>
        <v>0</v>
      </c>
      <c r="P171" s="55">
        <v>166</v>
      </c>
      <c r="Q171" s="33">
        <f t="shared" si="94"/>
        <v>0</v>
      </c>
      <c r="R171" s="33">
        <f t="shared" si="100"/>
        <v>0</v>
      </c>
      <c r="S171" s="33">
        <f t="shared" si="101"/>
        <v>0</v>
      </c>
      <c r="T171" s="33">
        <f t="shared" si="81"/>
        <v>0</v>
      </c>
      <c r="U171" s="33">
        <f t="shared" si="95"/>
        <v>0</v>
      </c>
      <c r="V171" s="33">
        <f t="shared" si="82"/>
        <v>0</v>
      </c>
      <c r="W171" s="33">
        <v>0</v>
      </c>
      <c r="X171" s="33">
        <f t="shared" si="83"/>
        <v>0</v>
      </c>
      <c r="Y171" s="38">
        <f t="shared" si="84"/>
        <v>0</v>
      </c>
      <c r="AA171" s="71">
        <v>166</v>
      </c>
      <c r="AB171" s="33">
        <f t="shared" si="85"/>
        <v>0</v>
      </c>
      <c r="AC171" s="308">
        <f t="shared" si="106"/>
        <v>0</v>
      </c>
      <c r="AD171" s="101">
        <f t="shared" si="86"/>
        <v>0</v>
      </c>
      <c r="AE171" s="101">
        <f t="shared" si="87"/>
        <v>0</v>
      </c>
      <c r="AF171" s="197">
        <f t="shared" si="102"/>
        <v>0</v>
      </c>
      <c r="AG171" s="197">
        <f t="shared" si="103"/>
        <v>0</v>
      </c>
      <c r="AH171" s="197">
        <f t="shared" si="104"/>
        <v>0</v>
      </c>
      <c r="AI171" s="202">
        <f t="shared" si="105"/>
        <v>0</v>
      </c>
      <c r="AK171" s="71">
        <v>166</v>
      </c>
      <c r="AL171" s="33">
        <f t="shared" si="88"/>
        <v>0</v>
      </c>
      <c r="AM171" s="33">
        <f t="shared" si="89"/>
        <v>0</v>
      </c>
      <c r="AN171" s="33">
        <f t="shared" si="90"/>
        <v>0</v>
      </c>
      <c r="AO171" s="33">
        <f t="shared" si="91"/>
        <v>0</v>
      </c>
      <c r="AP171" s="33">
        <f t="shared" si="92"/>
        <v>0</v>
      </c>
      <c r="AQ171" s="197">
        <f t="shared" si="93"/>
        <v>0</v>
      </c>
      <c r="AR171" s="197">
        <f t="shared" si="93"/>
        <v>0</v>
      </c>
      <c r="AS171" s="197">
        <f t="shared" si="93"/>
        <v>0</v>
      </c>
      <c r="AT171" s="197">
        <f t="shared" si="78"/>
        <v>0</v>
      </c>
      <c r="AU171" s="33"/>
      <c r="AV171" s="33"/>
      <c r="AW171" s="33"/>
      <c r="AX171" s="33"/>
      <c r="AY171" s="76"/>
    </row>
    <row r="172" spans="3:51">
      <c r="C172" s="169" t="s">
        <v>47</v>
      </c>
      <c r="D172" s="4">
        <v>0.35</v>
      </c>
      <c r="E172" s="191" t="s">
        <v>230</v>
      </c>
      <c r="I172" s="55">
        <v>167</v>
      </c>
      <c r="J172" s="33">
        <f t="shared" si="96"/>
        <v>0</v>
      </c>
      <c r="K172" s="33">
        <f t="shared" si="97"/>
        <v>0</v>
      </c>
      <c r="L172" s="33">
        <f t="shared" si="98"/>
        <v>0</v>
      </c>
      <c r="M172" s="33">
        <f t="shared" si="99"/>
        <v>0</v>
      </c>
      <c r="N172" s="33">
        <f t="shared" si="79"/>
        <v>0</v>
      </c>
      <c r="O172" s="34">
        <f t="shared" si="80"/>
        <v>0</v>
      </c>
      <c r="P172" s="55">
        <v>167</v>
      </c>
      <c r="Q172" s="33">
        <f t="shared" si="94"/>
        <v>0</v>
      </c>
      <c r="R172" s="33">
        <f t="shared" si="100"/>
        <v>0</v>
      </c>
      <c r="S172" s="33">
        <f t="shared" si="101"/>
        <v>0</v>
      </c>
      <c r="T172" s="33">
        <f t="shared" si="81"/>
        <v>0</v>
      </c>
      <c r="U172" s="33">
        <f t="shared" si="95"/>
        <v>0</v>
      </c>
      <c r="V172" s="33">
        <f t="shared" si="82"/>
        <v>0</v>
      </c>
      <c r="W172" s="33">
        <v>0</v>
      </c>
      <c r="X172" s="33">
        <f t="shared" si="83"/>
        <v>0</v>
      </c>
      <c r="Y172" s="38">
        <f t="shared" si="84"/>
        <v>0</v>
      </c>
      <c r="AA172" s="71">
        <v>167</v>
      </c>
      <c r="AB172" s="33">
        <f t="shared" si="85"/>
        <v>0</v>
      </c>
      <c r="AC172" s="308">
        <f t="shared" si="106"/>
        <v>0</v>
      </c>
      <c r="AD172" s="101">
        <f t="shared" si="86"/>
        <v>0</v>
      </c>
      <c r="AE172" s="101">
        <f t="shared" si="87"/>
        <v>0</v>
      </c>
      <c r="AF172" s="197">
        <f t="shared" si="102"/>
        <v>0</v>
      </c>
      <c r="AG172" s="197">
        <f t="shared" si="103"/>
        <v>0</v>
      </c>
      <c r="AH172" s="197">
        <f t="shared" si="104"/>
        <v>0</v>
      </c>
      <c r="AI172" s="202">
        <f t="shared" si="105"/>
        <v>0</v>
      </c>
      <c r="AK172" s="71">
        <v>167</v>
      </c>
      <c r="AL172" s="33">
        <f t="shared" si="88"/>
        <v>0</v>
      </c>
      <c r="AM172" s="33">
        <f t="shared" si="89"/>
        <v>0</v>
      </c>
      <c r="AN172" s="33">
        <f t="shared" si="90"/>
        <v>0</v>
      </c>
      <c r="AO172" s="33">
        <f t="shared" si="91"/>
        <v>0</v>
      </c>
      <c r="AP172" s="33">
        <f t="shared" si="92"/>
        <v>0</v>
      </c>
      <c r="AQ172" s="197">
        <f t="shared" si="93"/>
        <v>0</v>
      </c>
      <c r="AR172" s="197">
        <f t="shared" si="93"/>
        <v>0</v>
      </c>
      <c r="AS172" s="197">
        <f t="shared" si="93"/>
        <v>0</v>
      </c>
      <c r="AT172" s="197">
        <f t="shared" si="78"/>
        <v>0</v>
      </c>
      <c r="AU172" s="33"/>
      <c r="AV172" s="33"/>
      <c r="AW172" s="33"/>
      <c r="AX172" s="33"/>
      <c r="AY172" s="76"/>
    </row>
    <row r="173" spans="3:51">
      <c r="C173" s="169" t="s">
        <v>48</v>
      </c>
      <c r="D173" s="4">
        <v>0.37</v>
      </c>
      <c r="E173" s="191" t="s">
        <v>228</v>
      </c>
      <c r="I173" s="55">
        <v>168</v>
      </c>
      <c r="J173" s="33">
        <f t="shared" si="96"/>
        <v>0</v>
      </c>
      <c r="K173" s="33">
        <f t="shared" si="97"/>
        <v>0</v>
      </c>
      <c r="L173" s="33">
        <f t="shared" si="98"/>
        <v>0</v>
      </c>
      <c r="M173" s="33">
        <f t="shared" si="99"/>
        <v>0</v>
      </c>
      <c r="N173" s="33">
        <f t="shared" si="79"/>
        <v>0</v>
      </c>
      <c r="O173" s="34">
        <f t="shared" si="80"/>
        <v>0</v>
      </c>
      <c r="P173" s="55">
        <v>168</v>
      </c>
      <c r="Q173" s="33">
        <f t="shared" si="94"/>
        <v>0</v>
      </c>
      <c r="R173" s="33">
        <f t="shared" si="100"/>
        <v>0</v>
      </c>
      <c r="S173" s="33">
        <f t="shared" si="101"/>
        <v>0</v>
      </c>
      <c r="T173" s="33">
        <f t="shared" si="81"/>
        <v>0</v>
      </c>
      <c r="U173" s="33">
        <f t="shared" si="95"/>
        <v>0</v>
      </c>
      <c r="V173" s="33">
        <f t="shared" si="82"/>
        <v>0</v>
      </c>
      <c r="W173" s="33">
        <v>0</v>
      </c>
      <c r="X173" s="33">
        <f t="shared" si="83"/>
        <v>0</v>
      </c>
      <c r="Y173" s="38">
        <f t="shared" si="84"/>
        <v>0</v>
      </c>
      <c r="AA173" s="71">
        <v>168</v>
      </c>
      <c r="AB173" s="33">
        <f t="shared" si="85"/>
        <v>0</v>
      </c>
      <c r="AC173" s="308">
        <f t="shared" si="106"/>
        <v>0</v>
      </c>
      <c r="AD173" s="101">
        <f t="shared" si="86"/>
        <v>0</v>
      </c>
      <c r="AE173" s="101">
        <f t="shared" si="87"/>
        <v>0</v>
      </c>
      <c r="AF173" s="197">
        <f t="shared" si="102"/>
        <v>0</v>
      </c>
      <c r="AG173" s="197">
        <f t="shared" si="103"/>
        <v>0</v>
      </c>
      <c r="AH173" s="197">
        <f t="shared" si="104"/>
        <v>0</v>
      </c>
      <c r="AI173" s="202">
        <f t="shared" si="105"/>
        <v>0</v>
      </c>
      <c r="AK173" s="71">
        <v>168</v>
      </c>
      <c r="AL173" s="33">
        <f t="shared" si="88"/>
        <v>0</v>
      </c>
      <c r="AM173" s="33">
        <f t="shared" si="89"/>
        <v>0</v>
      </c>
      <c r="AN173" s="33">
        <f t="shared" si="90"/>
        <v>0</v>
      </c>
      <c r="AO173" s="33">
        <f t="shared" si="91"/>
        <v>0</v>
      </c>
      <c r="AP173" s="33">
        <f t="shared" si="92"/>
        <v>0</v>
      </c>
      <c r="AQ173" s="197">
        <f t="shared" si="93"/>
        <v>0</v>
      </c>
      <c r="AR173" s="197">
        <f t="shared" si="93"/>
        <v>0</v>
      </c>
      <c r="AS173" s="197">
        <f t="shared" si="93"/>
        <v>0</v>
      </c>
      <c r="AT173" s="197">
        <f t="shared" si="78"/>
        <v>0</v>
      </c>
      <c r="AU173" s="33"/>
      <c r="AV173" s="33"/>
      <c r="AW173" s="33"/>
      <c r="AX173" s="33"/>
      <c r="AY173" s="76"/>
    </row>
    <row r="174" spans="3:51">
      <c r="C174" s="169" t="s">
        <v>49</v>
      </c>
      <c r="D174" s="4">
        <v>0.45</v>
      </c>
      <c r="E174" s="191" t="s">
        <v>229</v>
      </c>
      <c r="I174" s="55">
        <v>169</v>
      </c>
      <c r="J174" s="33">
        <f t="shared" si="96"/>
        <v>0</v>
      </c>
      <c r="K174" s="33">
        <f t="shared" si="97"/>
        <v>0</v>
      </c>
      <c r="L174" s="33">
        <f t="shared" si="98"/>
        <v>0</v>
      </c>
      <c r="M174" s="33">
        <f t="shared" si="99"/>
        <v>0</v>
      </c>
      <c r="N174" s="33">
        <f t="shared" si="79"/>
        <v>0</v>
      </c>
      <c r="O174" s="34">
        <f t="shared" si="80"/>
        <v>0</v>
      </c>
      <c r="P174" s="55">
        <v>169</v>
      </c>
      <c r="Q174" s="33">
        <f t="shared" si="94"/>
        <v>0</v>
      </c>
      <c r="R174" s="33">
        <f t="shared" si="100"/>
        <v>0</v>
      </c>
      <c r="S174" s="33">
        <f t="shared" si="101"/>
        <v>0</v>
      </c>
      <c r="T174" s="33">
        <f t="shared" si="81"/>
        <v>0</v>
      </c>
      <c r="U174" s="33">
        <f t="shared" si="95"/>
        <v>0</v>
      </c>
      <c r="V174" s="33">
        <f t="shared" si="82"/>
        <v>0</v>
      </c>
      <c r="W174" s="33">
        <v>0</v>
      </c>
      <c r="X174" s="33">
        <f t="shared" si="83"/>
        <v>0</v>
      </c>
      <c r="Y174" s="38">
        <f t="shared" si="84"/>
        <v>0</v>
      </c>
      <c r="AA174" s="71">
        <v>169</v>
      </c>
      <c r="AB174" s="33">
        <f t="shared" si="85"/>
        <v>0</v>
      </c>
      <c r="AC174" s="308">
        <f t="shared" si="106"/>
        <v>0</v>
      </c>
      <c r="AD174" s="101">
        <f t="shared" si="86"/>
        <v>0</v>
      </c>
      <c r="AE174" s="101">
        <f t="shared" si="87"/>
        <v>0</v>
      </c>
      <c r="AF174" s="197">
        <f t="shared" si="102"/>
        <v>0</v>
      </c>
      <c r="AG174" s="197">
        <f t="shared" si="103"/>
        <v>0</v>
      </c>
      <c r="AH174" s="197">
        <f t="shared" si="104"/>
        <v>0</v>
      </c>
      <c r="AI174" s="202">
        <f t="shared" si="105"/>
        <v>0</v>
      </c>
      <c r="AK174" s="71">
        <v>169</v>
      </c>
      <c r="AL174" s="33">
        <f t="shared" si="88"/>
        <v>0</v>
      </c>
      <c r="AM174" s="33">
        <f t="shared" si="89"/>
        <v>0</v>
      </c>
      <c r="AN174" s="33">
        <f t="shared" si="90"/>
        <v>0</v>
      </c>
      <c r="AO174" s="33">
        <f t="shared" si="91"/>
        <v>0</v>
      </c>
      <c r="AP174" s="33">
        <f t="shared" si="92"/>
        <v>0</v>
      </c>
      <c r="AQ174" s="197">
        <f t="shared" si="93"/>
        <v>0</v>
      </c>
      <c r="AR174" s="197">
        <f t="shared" si="93"/>
        <v>0</v>
      </c>
      <c r="AS174" s="197">
        <f t="shared" si="93"/>
        <v>0</v>
      </c>
      <c r="AT174" s="197">
        <f t="shared" si="78"/>
        <v>0</v>
      </c>
      <c r="AU174" s="33"/>
      <c r="AV174" s="33"/>
      <c r="AW174" s="33"/>
      <c r="AX174" s="33"/>
      <c r="AY174" s="76"/>
    </row>
    <row r="175" spans="3:51">
      <c r="C175" s="169" t="s">
        <v>50</v>
      </c>
      <c r="D175" s="4">
        <v>0.39</v>
      </c>
      <c r="E175" s="191" t="s">
        <v>229</v>
      </c>
      <c r="I175" s="55">
        <v>170</v>
      </c>
      <c r="J175" s="33">
        <f t="shared" si="96"/>
        <v>0</v>
      </c>
      <c r="K175" s="33">
        <f t="shared" si="97"/>
        <v>0</v>
      </c>
      <c r="L175" s="33">
        <f t="shared" si="98"/>
        <v>0</v>
      </c>
      <c r="M175" s="33">
        <f t="shared" si="99"/>
        <v>0</v>
      </c>
      <c r="N175" s="33">
        <f t="shared" si="79"/>
        <v>0</v>
      </c>
      <c r="O175" s="34">
        <f t="shared" si="80"/>
        <v>0</v>
      </c>
      <c r="P175" s="55">
        <v>170</v>
      </c>
      <c r="Q175" s="33">
        <f t="shared" si="94"/>
        <v>0</v>
      </c>
      <c r="R175" s="33">
        <f t="shared" si="100"/>
        <v>0</v>
      </c>
      <c r="S175" s="33">
        <f t="shared" si="101"/>
        <v>0</v>
      </c>
      <c r="T175" s="33">
        <f t="shared" si="81"/>
        <v>0</v>
      </c>
      <c r="U175" s="33">
        <f t="shared" si="95"/>
        <v>0</v>
      </c>
      <c r="V175" s="33">
        <f t="shared" si="82"/>
        <v>0</v>
      </c>
      <c r="W175" s="33">
        <v>0</v>
      </c>
      <c r="X175" s="33">
        <f t="shared" si="83"/>
        <v>0</v>
      </c>
      <c r="Y175" s="38">
        <f t="shared" si="84"/>
        <v>0</v>
      </c>
      <c r="AA175" s="71">
        <v>170</v>
      </c>
      <c r="AB175" s="33">
        <f t="shared" si="85"/>
        <v>0</v>
      </c>
      <c r="AC175" s="308">
        <f t="shared" si="106"/>
        <v>0</v>
      </c>
      <c r="AD175" s="101">
        <f t="shared" si="86"/>
        <v>0</v>
      </c>
      <c r="AE175" s="101">
        <f t="shared" si="87"/>
        <v>0</v>
      </c>
      <c r="AF175" s="197">
        <f t="shared" si="102"/>
        <v>0</v>
      </c>
      <c r="AG175" s="197">
        <f t="shared" si="103"/>
        <v>0</v>
      </c>
      <c r="AH175" s="197">
        <f t="shared" si="104"/>
        <v>0</v>
      </c>
      <c r="AI175" s="202">
        <f t="shared" si="105"/>
        <v>0</v>
      </c>
      <c r="AK175" s="71">
        <v>170</v>
      </c>
      <c r="AL175" s="33">
        <f t="shared" si="88"/>
        <v>0</v>
      </c>
      <c r="AM175" s="33">
        <f t="shared" si="89"/>
        <v>0</v>
      </c>
      <c r="AN175" s="33">
        <f t="shared" si="90"/>
        <v>0</v>
      </c>
      <c r="AO175" s="33">
        <f t="shared" si="91"/>
        <v>0</v>
      </c>
      <c r="AP175" s="33">
        <f t="shared" si="92"/>
        <v>0</v>
      </c>
      <c r="AQ175" s="197">
        <f t="shared" si="93"/>
        <v>0</v>
      </c>
      <c r="AR175" s="197">
        <f t="shared" si="93"/>
        <v>0</v>
      </c>
      <c r="AS175" s="197">
        <f t="shared" si="93"/>
        <v>0</v>
      </c>
      <c r="AT175" s="197">
        <f t="shared" si="78"/>
        <v>0</v>
      </c>
      <c r="AU175" s="33"/>
      <c r="AV175" s="33"/>
      <c r="AW175" s="33"/>
      <c r="AX175" s="33"/>
      <c r="AY175" s="76"/>
    </row>
    <row r="176" spans="3:51">
      <c r="C176" s="169" t="s">
        <v>51</v>
      </c>
      <c r="D176" s="4">
        <v>0.44</v>
      </c>
      <c r="E176" s="191" t="s">
        <v>229</v>
      </c>
      <c r="I176" s="55">
        <v>171</v>
      </c>
      <c r="J176" s="33">
        <f t="shared" si="96"/>
        <v>0</v>
      </c>
      <c r="K176" s="33">
        <f t="shared" si="97"/>
        <v>0</v>
      </c>
      <c r="L176" s="33">
        <f t="shared" si="98"/>
        <v>0</v>
      </c>
      <c r="M176" s="33">
        <f t="shared" si="99"/>
        <v>0</v>
      </c>
      <c r="N176" s="33">
        <f t="shared" si="79"/>
        <v>0</v>
      </c>
      <c r="O176" s="34">
        <f t="shared" si="80"/>
        <v>0</v>
      </c>
      <c r="P176" s="55">
        <v>171</v>
      </c>
      <c r="Q176" s="33">
        <f t="shared" si="94"/>
        <v>0</v>
      </c>
      <c r="R176" s="33">
        <f t="shared" si="100"/>
        <v>0</v>
      </c>
      <c r="S176" s="33">
        <f t="shared" si="101"/>
        <v>0</v>
      </c>
      <c r="T176" s="33">
        <f t="shared" si="81"/>
        <v>0</v>
      </c>
      <c r="U176" s="33">
        <f t="shared" si="95"/>
        <v>0</v>
      </c>
      <c r="V176" s="33">
        <f t="shared" si="82"/>
        <v>0</v>
      </c>
      <c r="W176" s="33">
        <v>0</v>
      </c>
      <c r="X176" s="33">
        <f t="shared" si="83"/>
        <v>0</v>
      </c>
      <c r="Y176" s="38">
        <f t="shared" si="84"/>
        <v>0</v>
      </c>
      <c r="AA176" s="71">
        <v>171</v>
      </c>
      <c r="AB176" s="33">
        <f t="shared" si="85"/>
        <v>0</v>
      </c>
      <c r="AC176" s="308">
        <f t="shared" si="106"/>
        <v>0</v>
      </c>
      <c r="AD176" s="101">
        <f t="shared" si="86"/>
        <v>0</v>
      </c>
      <c r="AE176" s="101">
        <f t="shared" si="87"/>
        <v>0</v>
      </c>
      <c r="AF176" s="197">
        <f t="shared" si="102"/>
        <v>0</v>
      </c>
      <c r="AG176" s="197">
        <f t="shared" si="103"/>
        <v>0</v>
      </c>
      <c r="AH176" s="197">
        <f t="shared" si="104"/>
        <v>0</v>
      </c>
      <c r="AI176" s="202">
        <f t="shared" si="105"/>
        <v>0</v>
      </c>
      <c r="AK176" s="71">
        <v>171</v>
      </c>
      <c r="AL176" s="33">
        <f t="shared" si="88"/>
        <v>0</v>
      </c>
      <c r="AM176" s="33">
        <f t="shared" si="89"/>
        <v>0</v>
      </c>
      <c r="AN176" s="33">
        <f t="shared" si="90"/>
        <v>0</v>
      </c>
      <c r="AO176" s="33">
        <f t="shared" si="91"/>
        <v>0</v>
      </c>
      <c r="AP176" s="33">
        <f t="shared" si="92"/>
        <v>0</v>
      </c>
      <c r="AQ176" s="197">
        <f t="shared" si="93"/>
        <v>0</v>
      </c>
      <c r="AR176" s="197">
        <f t="shared" si="93"/>
        <v>0</v>
      </c>
      <c r="AS176" s="197">
        <f t="shared" si="93"/>
        <v>0</v>
      </c>
      <c r="AT176" s="197">
        <f t="shared" si="78"/>
        <v>0</v>
      </c>
      <c r="AU176" s="33"/>
      <c r="AV176" s="33"/>
      <c r="AW176" s="33"/>
      <c r="AX176" s="33"/>
      <c r="AY176" s="76"/>
    </row>
    <row r="177" spans="3:51">
      <c r="C177" s="169" t="s">
        <v>52</v>
      </c>
      <c r="D177" s="4">
        <v>0.46</v>
      </c>
      <c r="E177" s="191" t="s">
        <v>229</v>
      </c>
      <c r="I177" s="55">
        <v>172</v>
      </c>
      <c r="J177" s="33">
        <f t="shared" si="96"/>
        <v>0</v>
      </c>
      <c r="K177" s="33">
        <f t="shared" si="97"/>
        <v>0</v>
      </c>
      <c r="L177" s="33">
        <f t="shared" si="98"/>
        <v>0</v>
      </c>
      <c r="M177" s="33">
        <f t="shared" si="99"/>
        <v>0</v>
      </c>
      <c r="N177" s="33">
        <f t="shared" si="79"/>
        <v>0</v>
      </c>
      <c r="O177" s="34">
        <f t="shared" si="80"/>
        <v>0</v>
      </c>
      <c r="P177" s="55">
        <v>172</v>
      </c>
      <c r="Q177" s="33">
        <f t="shared" si="94"/>
        <v>0</v>
      </c>
      <c r="R177" s="33">
        <f t="shared" si="100"/>
        <v>0</v>
      </c>
      <c r="S177" s="33">
        <f t="shared" si="101"/>
        <v>0</v>
      </c>
      <c r="T177" s="33">
        <f t="shared" si="81"/>
        <v>0</v>
      </c>
      <c r="U177" s="33">
        <f t="shared" si="95"/>
        <v>0</v>
      </c>
      <c r="V177" s="33">
        <f t="shared" si="82"/>
        <v>0</v>
      </c>
      <c r="W177" s="33">
        <v>0</v>
      </c>
      <c r="X177" s="33">
        <f t="shared" si="83"/>
        <v>0</v>
      </c>
      <c r="Y177" s="38">
        <f t="shared" si="84"/>
        <v>0</v>
      </c>
      <c r="AA177" s="71">
        <v>172</v>
      </c>
      <c r="AB177" s="33">
        <f t="shared" si="85"/>
        <v>0</v>
      </c>
      <c r="AC177" s="308">
        <f t="shared" si="106"/>
        <v>0</v>
      </c>
      <c r="AD177" s="101">
        <f t="shared" si="86"/>
        <v>0</v>
      </c>
      <c r="AE177" s="101">
        <f t="shared" si="87"/>
        <v>0</v>
      </c>
      <c r="AF177" s="197">
        <f t="shared" si="102"/>
        <v>0</v>
      </c>
      <c r="AG177" s="197">
        <f t="shared" si="103"/>
        <v>0</v>
      </c>
      <c r="AH177" s="197">
        <f t="shared" si="104"/>
        <v>0</v>
      </c>
      <c r="AI177" s="202">
        <f t="shared" si="105"/>
        <v>0</v>
      </c>
      <c r="AK177" s="71">
        <v>172</v>
      </c>
      <c r="AL177" s="33">
        <f t="shared" si="88"/>
        <v>0</v>
      </c>
      <c r="AM177" s="33">
        <f t="shared" si="89"/>
        <v>0</v>
      </c>
      <c r="AN177" s="33">
        <f t="shared" si="90"/>
        <v>0</v>
      </c>
      <c r="AO177" s="33">
        <f t="shared" si="91"/>
        <v>0</v>
      </c>
      <c r="AP177" s="33">
        <f t="shared" si="92"/>
        <v>0</v>
      </c>
      <c r="AQ177" s="197">
        <f t="shared" si="93"/>
        <v>0</v>
      </c>
      <c r="AR177" s="197">
        <f t="shared" si="93"/>
        <v>0</v>
      </c>
      <c r="AS177" s="197">
        <f t="shared" si="93"/>
        <v>0</v>
      </c>
      <c r="AT177" s="197">
        <f t="shared" si="78"/>
        <v>0</v>
      </c>
      <c r="AU177" s="33"/>
      <c r="AV177" s="33"/>
      <c r="AW177" s="33"/>
      <c r="AX177" s="33"/>
      <c r="AY177" s="76"/>
    </row>
    <row r="178" spans="3:51" ht="30">
      <c r="C178" s="169" t="s">
        <v>53</v>
      </c>
      <c r="D178" s="4">
        <v>0.46</v>
      </c>
      <c r="E178" s="191" t="s">
        <v>231</v>
      </c>
      <c r="I178" s="55">
        <v>173</v>
      </c>
      <c r="J178" s="33">
        <f t="shared" si="96"/>
        <v>0</v>
      </c>
      <c r="K178" s="33">
        <f t="shared" si="97"/>
        <v>0</v>
      </c>
      <c r="L178" s="33">
        <f t="shared" si="98"/>
        <v>0</v>
      </c>
      <c r="M178" s="33">
        <f t="shared" si="99"/>
        <v>0</v>
      </c>
      <c r="N178" s="33">
        <f t="shared" si="79"/>
        <v>0</v>
      </c>
      <c r="O178" s="34">
        <f t="shared" si="80"/>
        <v>0</v>
      </c>
      <c r="P178" s="55">
        <v>173</v>
      </c>
      <c r="Q178" s="33">
        <f t="shared" si="94"/>
        <v>0</v>
      </c>
      <c r="R178" s="33">
        <f t="shared" si="100"/>
        <v>0</v>
      </c>
      <c r="S178" s="33">
        <f t="shared" si="101"/>
        <v>0</v>
      </c>
      <c r="T178" s="33">
        <f t="shared" si="81"/>
        <v>0</v>
      </c>
      <c r="U178" s="33">
        <f t="shared" si="95"/>
        <v>0</v>
      </c>
      <c r="V178" s="33">
        <f t="shared" si="82"/>
        <v>0</v>
      </c>
      <c r="W178" s="33">
        <v>0</v>
      </c>
      <c r="X178" s="33">
        <f t="shared" si="83"/>
        <v>0</v>
      </c>
      <c r="Y178" s="38">
        <f t="shared" si="84"/>
        <v>0</v>
      </c>
      <c r="AA178" s="71">
        <v>173</v>
      </c>
      <c r="AB178" s="33">
        <f t="shared" si="85"/>
        <v>0</v>
      </c>
      <c r="AC178" s="308">
        <f t="shared" si="106"/>
        <v>0</v>
      </c>
      <c r="AD178" s="101">
        <f t="shared" si="86"/>
        <v>0</v>
      </c>
      <c r="AE178" s="101">
        <f t="shared" si="87"/>
        <v>0</v>
      </c>
      <c r="AF178" s="197">
        <f t="shared" si="102"/>
        <v>0</v>
      </c>
      <c r="AG178" s="197">
        <f t="shared" si="103"/>
        <v>0</v>
      </c>
      <c r="AH178" s="197">
        <f t="shared" si="104"/>
        <v>0</v>
      </c>
      <c r="AI178" s="202">
        <f t="shared" si="105"/>
        <v>0</v>
      </c>
      <c r="AK178" s="71">
        <v>173</v>
      </c>
      <c r="AL178" s="33">
        <f t="shared" si="88"/>
        <v>0</v>
      </c>
      <c r="AM178" s="33">
        <f t="shared" si="89"/>
        <v>0</v>
      </c>
      <c r="AN178" s="33">
        <f t="shared" si="90"/>
        <v>0</v>
      </c>
      <c r="AO178" s="33">
        <f t="shared" si="91"/>
        <v>0</v>
      </c>
      <c r="AP178" s="33">
        <f t="shared" si="92"/>
        <v>0</v>
      </c>
      <c r="AQ178" s="197">
        <f t="shared" si="93"/>
        <v>0</v>
      </c>
      <c r="AR178" s="197">
        <f t="shared" si="93"/>
        <v>0</v>
      </c>
      <c r="AS178" s="197">
        <f t="shared" si="93"/>
        <v>0</v>
      </c>
      <c r="AT178" s="197">
        <f t="shared" si="78"/>
        <v>0</v>
      </c>
      <c r="AU178" s="33"/>
      <c r="AV178" s="33"/>
      <c r="AW178" s="33"/>
      <c r="AX178" s="33"/>
      <c r="AY178" s="76"/>
    </row>
    <row r="179" spans="3:51">
      <c r="C179" s="169" t="s">
        <v>54</v>
      </c>
      <c r="D179" s="4">
        <v>0.44</v>
      </c>
      <c r="E179" s="191" t="s">
        <v>229</v>
      </c>
      <c r="I179" s="55">
        <v>174</v>
      </c>
      <c r="J179" s="33">
        <f t="shared" si="96"/>
        <v>0</v>
      </c>
      <c r="K179" s="33">
        <f t="shared" si="97"/>
        <v>0</v>
      </c>
      <c r="L179" s="33">
        <f t="shared" si="98"/>
        <v>0</v>
      </c>
      <c r="M179" s="33">
        <f t="shared" si="99"/>
        <v>0</v>
      </c>
      <c r="N179" s="33">
        <f t="shared" si="79"/>
        <v>0</v>
      </c>
      <c r="O179" s="34">
        <f t="shared" si="80"/>
        <v>0</v>
      </c>
      <c r="P179" s="55">
        <v>174</v>
      </c>
      <c r="Q179" s="33">
        <f t="shared" si="94"/>
        <v>0</v>
      </c>
      <c r="R179" s="33">
        <f t="shared" si="100"/>
        <v>0</v>
      </c>
      <c r="S179" s="33">
        <f t="shared" si="101"/>
        <v>0</v>
      </c>
      <c r="T179" s="33">
        <f t="shared" si="81"/>
        <v>0</v>
      </c>
      <c r="U179" s="33">
        <f t="shared" si="95"/>
        <v>0</v>
      </c>
      <c r="V179" s="33">
        <f t="shared" si="82"/>
        <v>0</v>
      </c>
      <c r="W179" s="33">
        <v>0</v>
      </c>
      <c r="X179" s="33">
        <f t="shared" si="83"/>
        <v>0</v>
      </c>
      <c r="Y179" s="38">
        <f t="shared" si="84"/>
        <v>0</v>
      </c>
      <c r="AA179" s="71">
        <v>174</v>
      </c>
      <c r="AB179" s="33">
        <f t="shared" si="85"/>
        <v>0</v>
      </c>
      <c r="AC179" s="308">
        <f t="shared" si="106"/>
        <v>0</v>
      </c>
      <c r="AD179" s="101">
        <f t="shared" si="86"/>
        <v>0</v>
      </c>
      <c r="AE179" s="101">
        <f t="shared" si="87"/>
        <v>0</v>
      </c>
      <c r="AF179" s="197">
        <f t="shared" si="102"/>
        <v>0</v>
      </c>
      <c r="AG179" s="197">
        <f t="shared" si="103"/>
        <v>0</v>
      </c>
      <c r="AH179" s="197">
        <f t="shared" si="104"/>
        <v>0</v>
      </c>
      <c r="AI179" s="202">
        <f t="shared" si="105"/>
        <v>0</v>
      </c>
      <c r="AK179" s="71">
        <v>174</v>
      </c>
      <c r="AL179" s="33">
        <f t="shared" si="88"/>
        <v>0</v>
      </c>
      <c r="AM179" s="33">
        <f t="shared" si="89"/>
        <v>0</v>
      </c>
      <c r="AN179" s="33">
        <f t="shared" si="90"/>
        <v>0</v>
      </c>
      <c r="AO179" s="33">
        <f t="shared" si="91"/>
        <v>0</v>
      </c>
      <c r="AP179" s="33">
        <f t="shared" si="92"/>
        <v>0</v>
      </c>
      <c r="AQ179" s="197">
        <f t="shared" si="93"/>
        <v>0</v>
      </c>
      <c r="AR179" s="197">
        <f t="shared" si="93"/>
        <v>0</v>
      </c>
      <c r="AS179" s="197">
        <f t="shared" si="93"/>
        <v>0</v>
      </c>
      <c r="AT179" s="197">
        <f t="shared" si="78"/>
        <v>0</v>
      </c>
      <c r="AU179" s="33"/>
      <c r="AV179" s="33"/>
      <c r="AW179" s="33"/>
      <c r="AX179" s="33"/>
      <c r="AY179" s="76"/>
    </row>
    <row r="180" spans="3:51">
      <c r="C180" s="169" t="s">
        <v>55</v>
      </c>
      <c r="D180" s="4">
        <v>0.46</v>
      </c>
      <c r="E180" s="191" t="s">
        <v>229</v>
      </c>
      <c r="I180" s="55">
        <v>175</v>
      </c>
      <c r="J180" s="33">
        <f t="shared" si="96"/>
        <v>0</v>
      </c>
      <c r="K180" s="33">
        <f t="shared" si="97"/>
        <v>0</v>
      </c>
      <c r="L180" s="33">
        <f t="shared" si="98"/>
        <v>0</v>
      </c>
      <c r="M180" s="33">
        <f t="shared" si="99"/>
        <v>0</v>
      </c>
      <c r="N180" s="33">
        <f t="shared" si="79"/>
        <v>0</v>
      </c>
      <c r="O180" s="34">
        <f t="shared" si="80"/>
        <v>0</v>
      </c>
      <c r="P180" s="55">
        <v>175</v>
      </c>
      <c r="Q180" s="33">
        <f t="shared" si="94"/>
        <v>0</v>
      </c>
      <c r="R180" s="33">
        <f t="shared" si="100"/>
        <v>0</v>
      </c>
      <c r="S180" s="33">
        <f t="shared" si="101"/>
        <v>0</v>
      </c>
      <c r="T180" s="33">
        <f t="shared" si="81"/>
        <v>0</v>
      </c>
      <c r="U180" s="33">
        <f t="shared" si="95"/>
        <v>0</v>
      </c>
      <c r="V180" s="33">
        <f t="shared" si="82"/>
        <v>0</v>
      </c>
      <c r="W180" s="33">
        <v>0</v>
      </c>
      <c r="X180" s="33">
        <f t="shared" si="83"/>
        <v>0</v>
      </c>
      <c r="Y180" s="38">
        <f t="shared" si="84"/>
        <v>0</v>
      </c>
      <c r="AA180" s="71">
        <v>175</v>
      </c>
      <c r="AB180" s="33">
        <f t="shared" si="85"/>
        <v>0</v>
      </c>
      <c r="AC180" s="308">
        <f t="shared" si="106"/>
        <v>0</v>
      </c>
      <c r="AD180" s="101">
        <f t="shared" si="86"/>
        <v>0</v>
      </c>
      <c r="AE180" s="101">
        <f t="shared" si="87"/>
        <v>0</v>
      </c>
      <c r="AF180" s="197">
        <f t="shared" si="102"/>
        <v>0</v>
      </c>
      <c r="AG180" s="197">
        <f t="shared" si="103"/>
        <v>0</v>
      </c>
      <c r="AH180" s="197">
        <f t="shared" si="104"/>
        <v>0</v>
      </c>
      <c r="AI180" s="202">
        <f t="shared" si="105"/>
        <v>0</v>
      </c>
      <c r="AK180" s="71">
        <v>175</v>
      </c>
      <c r="AL180" s="33">
        <f t="shared" si="88"/>
        <v>0</v>
      </c>
      <c r="AM180" s="33">
        <f t="shared" si="89"/>
        <v>0</v>
      </c>
      <c r="AN180" s="33">
        <f t="shared" si="90"/>
        <v>0</v>
      </c>
      <c r="AO180" s="33">
        <f t="shared" si="91"/>
        <v>0</v>
      </c>
      <c r="AP180" s="33">
        <f t="shared" si="92"/>
        <v>0</v>
      </c>
      <c r="AQ180" s="197">
        <f t="shared" si="93"/>
        <v>0</v>
      </c>
      <c r="AR180" s="197">
        <f t="shared" si="93"/>
        <v>0</v>
      </c>
      <c r="AS180" s="197">
        <f t="shared" si="93"/>
        <v>0</v>
      </c>
      <c r="AT180" s="197">
        <f t="shared" si="78"/>
        <v>0</v>
      </c>
      <c r="AU180" s="33"/>
      <c r="AV180" s="33"/>
      <c r="AW180" s="33"/>
      <c r="AX180" s="33"/>
      <c r="AY180" s="76"/>
    </row>
    <row r="181" spans="3:51">
      <c r="C181" s="169" t="s">
        <v>56</v>
      </c>
      <c r="D181" s="4">
        <v>0.48</v>
      </c>
      <c r="E181" s="191" t="s">
        <v>229</v>
      </c>
      <c r="I181" s="55">
        <v>176</v>
      </c>
      <c r="J181" s="33">
        <f t="shared" si="96"/>
        <v>0</v>
      </c>
      <c r="K181" s="33">
        <f t="shared" si="97"/>
        <v>0</v>
      </c>
      <c r="L181" s="33">
        <f t="shared" si="98"/>
        <v>0</v>
      </c>
      <c r="M181" s="33">
        <f t="shared" si="99"/>
        <v>0</v>
      </c>
      <c r="N181" s="33">
        <f t="shared" si="79"/>
        <v>0</v>
      </c>
      <c r="O181" s="34">
        <f t="shared" si="80"/>
        <v>0</v>
      </c>
      <c r="P181" s="55">
        <v>176</v>
      </c>
      <c r="Q181" s="33">
        <f t="shared" si="94"/>
        <v>0</v>
      </c>
      <c r="R181" s="33">
        <f t="shared" si="100"/>
        <v>0</v>
      </c>
      <c r="S181" s="33">
        <f t="shared" si="101"/>
        <v>0</v>
      </c>
      <c r="T181" s="33">
        <f t="shared" si="81"/>
        <v>0</v>
      </c>
      <c r="U181" s="33">
        <f t="shared" si="95"/>
        <v>0</v>
      </c>
      <c r="V181" s="33">
        <f t="shared" si="82"/>
        <v>0</v>
      </c>
      <c r="W181" s="33">
        <v>0</v>
      </c>
      <c r="X181" s="33">
        <f t="shared" si="83"/>
        <v>0</v>
      </c>
      <c r="Y181" s="38">
        <f t="shared" si="84"/>
        <v>0</v>
      </c>
      <c r="AA181" s="71">
        <v>176</v>
      </c>
      <c r="AB181" s="33">
        <f t="shared" si="85"/>
        <v>0</v>
      </c>
      <c r="AC181" s="308">
        <f t="shared" si="106"/>
        <v>0</v>
      </c>
      <c r="AD181" s="101">
        <f t="shared" si="86"/>
        <v>0</v>
      </c>
      <c r="AE181" s="101">
        <f t="shared" si="87"/>
        <v>0</v>
      </c>
      <c r="AF181" s="197">
        <f t="shared" si="102"/>
        <v>0</v>
      </c>
      <c r="AG181" s="197">
        <f t="shared" si="103"/>
        <v>0</v>
      </c>
      <c r="AH181" s="197">
        <f t="shared" si="104"/>
        <v>0</v>
      </c>
      <c r="AI181" s="202">
        <f t="shared" si="105"/>
        <v>0</v>
      </c>
      <c r="AK181" s="71">
        <v>176</v>
      </c>
      <c r="AL181" s="33">
        <f t="shared" si="88"/>
        <v>0</v>
      </c>
      <c r="AM181" s="33">
        <f t="shared" si="89"/>
        <v>0</v>
      </c>
      <c r="AN181" s="33">
        <f t="shared" si="90"/>
        <v>0</v>
      </c>
      <c r="AO181" s="33">
        <f t="shared" si="91"/>
        <v>0</v>
      </c>
      <c r="AP181" s="33">
        <f t="shared" si="92"/>
        <v>0</v>
      </c>
      <c r="AQ181" s="197">
        <f t="shared" si="93"/>
        <v>0</v>
      </c>
      <c r="AR181" s="197">
        <f t="shared" si="93"/>
        <v>0</v>
      </c>
      <c r="AS181" s="197">
        <f t="shared" si="93"/>
        <v>0</v>
      </c>
      <c r="AT181" s="197">
        <f t="shared" si="78"/>
        <v>0</v>
      </c>
      <c r="AU181" s="33"/>
      <c r="AV181" s="33"/>
      <c r="AW181" s="33"/>
      <c r="AX181" s="33"/>
      <c r="AY181" s="76"/>
    </row>
    <row r="182" spans="3:51">
      <c r="C182" s="169" t="s">
        <v>57</v>
      </c>
      <c r="D182" s="4">
        <v>0.44</v>
      </c>
      <c r="E182" s="191" t="s">
        <v>229</v>
      </c>
      <c r="I182" s="55">
        <v>177</v>
      </c>
      <c r="J182" s="33">
        <f t="shared" si="96"/>
        <v>0</v>
      </c>
      <c r="K182" s="33">
        <f t="shared" si="97"/>
        <v>0</v>
      </c>
      <c r="L182" s="33">
        <f t="shared" si="98"/>
        <v>0</v>
      </c>
      <c r="M182" s="33">
        <f t="shared" si="99"/>
        <v>0</v>
      </c>
      <c r="N182" s="33">
        <f t="shared" si="79"/>
        <v>0</v>
      </c>
      <c r="O182" s="34">
        <f t="shared" si="80"/>
        <v>0</v>
      </c>
      <c r="P182" s="55">
        <v>177</v>
      </c>
      <c r="Q182" s="33">
        <f t="shared" si="94"/>
        <v>0</v>
      </c>
      <c r="R182" s="33">
        <f t="shared" si="100"/>
        <v>0</v>
      </c>
      <c r="S182" s="33">
        <f t="shared" si="101"/>
        <v>0</v>
      </c>
      <c r="T182" s="33">
        <f t="shared" si="81"/>
        <v>0</v>
      </c>
      <c r="U182" s="33">
        <f t="shared" si="95"/>
        <v>0</v>
      </c>
      <c r="V182" s="33">
        <f t="shared" si="82"/>
        <v>0</v>
      </c>
      <c r="W182" s="33">
        <v>0</v>
      </c>
      <c r="X182" s="33">
        <f t="shared" si="83"/>
        <v>0</v>
      </c>
      <c r="Y182" s="38">
        <f t="shared" si="84"/>
        <v>0</v>
      </c>
      <c r="AA182" s="71">
        <v>177</v>
      </c>
      <c r="AB182" s="33">
        <f t="shared" si="85"/>
        <v>0</v>
      </c>
      <c r="AC182" s="308">
        <f t="shared" si="106"/>
        <v>0</v>
      </c>
      <c r="AD182" s="101">
        <f t="shared" si="86"/>
        <v>0</v>
      </c>
      <c r="AE182" s="101">
        <f t="shared" si="87"/>
        <v>0</v>
      </c>
      <c r="AF182" s="197">
        <f t="shared" si="102"/>
        <v>0</v>
      </c>
      <c r="AG182" s="197">
        <f t="shared" si="103"/>
        <v>0</v>
      </c>
      <c r="AH182" s="197">
        <f t="shared" si="104"/>
        <v>0</v>
      </c>
      <c r="AI182" s="202">
        <f t="shared" si="105"/>
        <v>0</v>
      </c>
      <c r="AK182" s="71">
        <v>177</v>
      </c>
      <c r="AL182" s="33">
        <f t="shared" si="88"/>
        <v>0</v>
      </c>
      <c r="AM182" s="33">
        <f t="shared" si="89"/>
        <v>0</v>
      </c>
      <c r="AN182" s="33">
        <f t="shared" si="90"/>
        <v>0</v>
      </c>
      <c r="AO182" s="33">
        <f t="shared" si="91"/>
        <v>0</v>
      </c>
      <c r="AP182" s="33">
        <f t="shared" si="92"/>
        <v>0</v>
      </c>
      <c r="AQ182" s="197">
        <f t="shared" si="93"/>
        <v>0</v>
      </c>
      <c r="AR182" s="197">
        <f t="shared" si="93"/>
        <v>0</v>
      </c>
      <c r="AS182" s="197">
        <f t="shared" si="93"/>
        <v>0</v>
      </c>
      <c r="AT182" s="197">
        <f t="shared" si="78"/>
        <v>0</v>
      </c>
      <c r="AU182" s="33"/>
      <c r="AV182" s="33"/>
      <c r="AW182" s="33"/>
      <c r="AX182" s="33"/>
      <c r="AY182" s="76"/>
    </row>
    <row r="183" spans="3:51">
      <c r="C183" s="169" t="s">
        <v>58</v>
      </c>
      <c r="D183" s="4">
        <v>0.34</v>
      </c>
      <c r="E183" s="191" t="s">
        <v>229</v>
      </c>
      <c r="I183" s="55">
        <v>178</v>
      </c>
      <c r="J183" s="33">
        <f t="shared" si="96"/>
        <v>0</v>
      </c>
      <c r="K183" s="33">
        <f t="shared" si="97"/>
        <v>0</v>
      </c>
      <c r="L183" s="33">
        <f t="shared" si="98"/>
        <v>0</v>
      </c>
      <c r="M183" s="33">
        <f t="shared" si="99"/>
        <v>0</v>
      </c>
      <c r="N183" s="33">
        <f t="shared" si="79"/>
        <v>0</v>
      </c>
      <c r="O183" s="34">
        <f t="shared" si="80"/>
        <v>0</v>
      </c>
      <c r="P183" s="55">
        <v>178</v>
      </c>
      <c r="Q183" s="33">
        <f t="shared" si="94"/>
        <v>0</v>
      </c>
      <c r="R183" s="33">
        <f t="shared" si="100"/>
        <v>0</v>
      </c>
      <c r="S183" s="33">
        <f t="shared" si="101"/>
        <v>0</v>
      </c>
      <c r="T183" s="33">
        <f t="shared" si="81"/>
        <v>0</v>
      </c>
      <c r="U183" s="33">
        <f t="shared" si="95"/>
        <v>0</v>
      </c>
      <c r="V183" s="33">
        <f t="shared" si="82"/>
        <v>0</v>
      </c>
      <c r="W183" s="33">
        <v>0</v>
      </c>
      <c r="X183" s="33">
        <f t="shared" si="83"/>
        <v>0</v>
      </c>
      <c r="Y183" s="38">
        <f t="shared" si="84"/>
        <v>0</v>
      </c>
      <c r="AA183" s="71">
        <v>178</v>
      </c>
      <c r="AB183" s="33">
        <f t="shared" si="85"/>
        <v>0</v>
      </c>
      <c r="AC183" s="308">
        <f t="shared" si="106"/>
        <v>0</v>
      </c>
      <c r="AD183" s="101">
        <f t="shared" si="86"/>
        <v>0</v>
      </c>
      <c r="AE183" s="101">
        <f t="shared" si="87"/>
        <v>0</v>
      </c>
      <c r="AF183" s="197">
        <f t="shared" si="102"/>
        <v>0</v>
      </c>
      <c r="AG183" s="197">
        <f t="shared" si="103"/>
        <v>0</v>
      </c>
      <c r="AH183" s="197">
        <f t="shared" si="104"/>
        <v>0</v>
      </c>
      <c r="AI183" s="202">
        <f t="shared" si="105"/>
        <v>0</v>
      </c>
      <c r="AK183" s="71">
        <v>178</v>
      </c>
      <c r="AL183" s="33">
        <f t="shared" si="88"/>
        <v>0</v>
      </c>
      <c r="AM183" s="33">
        <f t="shared" si="89"/>
        <v>0</v>
      </c>
      <c r="AN183" s="33">
        <f t="shared" si="90"/>
        <v>0</v>
      </c>
      <c r="AO183" s="33">
        <f t="shared" si="91"/>
        <v>0</v>
      </c>
      <c r="AP183" s="33">
        <f t="shared" si="92"/>
        <v>0</v>
      </c>
      <c r="AQ183" s="197">
        <f t="shared" si="93"/>
        <v>0</v>
      </c>
      <c r="AR183" s="197">
        <f t="shared" si="93"/>
        <v>0</v>
      </c>
      <c r="AS183" s="197">
        <f t="shared" si="93"/>
        <v>0</v>
      </c>
      <c r="AT183" s="197">
        <f t="shared" si="78"/>
        <v>0</v>
      </c>
      <c r="AU183" s="33"/>
      <c r="AV183" s="33"/>
      <c r="AW183" s="33"/>
      <c r="AX183" s="33"/>
      <c r="AY183" s="76"/>
    </row>
    <row r="184" spans="3:51">
      <c r="C184" s="169" t="s">
        <v>59</v>
      </c>
      <c r="D184" s="4">
        <v>0.5</v>
      </c>
      <c r="E184" s="191" t="s">
        <v>228</v>
      </c>
      <c r="I184" s="55">
        <v>179</v>
      </c>
      <c r="J184" s="33">
        <f t="shared" si="96"/>
        <v>0</v>
      </c>
      <c r="K184" s="33">
        <f t="shared" si="97"/>
        <v>0</v>
      </c>
      <c r="L184" s="33">
        <f t="shared" si="98"/>
        <v>0</v>
      </c>
      <c r="M184" s="33">
        <f t="shared" si="99"/>
        <v>0</v>
      </c>
      <c r="N184" s="33">
        <f t="shared" si="79"/>
        <v>0</v>
      </c>
      <c r="O184" s="34">
        <f t="shared" si="80"/>
        <v>0</v>
      </c>
      <c r="P184" s="55">
        <v>179</v>
      </c>
      <c r="Q184" s="33">
        <f t="shared" si="94"/>
        <v>0</v>
      </c>
      <c r="R184" s="33">
        <f t="shared" si="100"/>
        <v>0</v>
      </c>
      <c r="S184" s="33">
        <f t="shared" si="101"/>
        <v>0</v>
      </c>
      <c r="T184" s="33">
        <f t="shared" si="81"/>
        <v>0</v>
      </c>
      <c r="U184" s="33">
        <f t="shared" si="95"/>
        <v>0</v>
      </c>
      <c r="V184" s="33">
        <f t="shared" si="82"/>
        <v>0</v>
      </c>
      <c r="W184" s="33">
        <v>0</v>
      </c>
      <c r="X184" s="33">
        <f t="shared" si="83"/>
        <v>0</v>
      </c>
      <c r="Y184" s="38">
        <f t="shared" si="84"/>
        <v>0</v>
      </c>
      <c r="AA184" s="71">
        <v>179</v>
      </c>
      <c r="AB184" s="33">
        <f t="shared" si="85"/>
        <v>0</v>
      </c>
      <c r="AC184" s="308">
        <f t="shared" si="106"/>
        <v>0</v>
      </c>
      <c r="AD184" s="101">
        <f t="shared" si="86"/>
        <v>0</v>
      </c>
      <c r="AE184" s="101">
        <f t="shared" si="87"/>
        <v>0</v>
      </c>
      <c r="AF184" s="197">
        <f t="shared" si="102"/>
        <v>0</v>
      </c>
      <c r="AG184" s="197">
        <f t="shared" si="103"/>
        <v>0</v>
      </c>
      <c r="AH184" s="197">
        <f t="shared" si="104"/>
        <v>0</v>
      </c>
      <c r="AI184" s="202">
        <f t="shared" si="105"/>
        <v>0</v>
      </c>
      <c r="AK184" s="71">
        <v>179</v>
      </c>
      <c r="AL184" s="33">
        <f t="shared" si="88"/>
        <v>0</v>
      </c>
      <c r="AM184" s="33">
        <f t="shared" si="89"/>
        <v>0</v>
      </c>
      <c r="AN184" s="33">
        <f t="shared" si="90"/>
        <v>0</v>
      </c>
      <c r="AO184" s="33">
        <f t="shared" si="91"/>
        <v>0</v>
      </c>
      <c r="AP184" s="33">
        <f t="shared" si="92"/>
        <v>0</v>
      </c>
      <c r="AQ184" s="197">
        <f t="shared" si="93"/>
        <v>0</v>
      </c>
      <c r="AR184" s="197">
        <f t="shared" si="93"/>
        <v>0</v>
      </c>
      <c r="AS184" s="197">
        <f t="shared" si="93"/>
        <v>0</v>
      </c>
      <c r="AT184" s="197">
        <f t="shared" si="78"/>
        <v>0</v>
      </c>
      <c r="AU184" s="33"/>
      <c r="AV184" s="33"/>
      <c r="AW184" s="33"/>
      <c r="AX184" s="33"/>
      <c r="AY184" s="76"/>
    </row>
    <row r="185" spans="3:51">
      <c r="C185" s="169" t="s">
        <v>60</v>
      </c>
      <c r="D185" s="4">
        <v>0.57999999999999996</v>
      </c>
      <c r="E185" s="191" t="s">
        <v>228</v>
      </c>
      <c r="I185" s="55">
        <v>180</v>
      </c>
      <c r="J185" s="33">
        <f t="shared" si="96"/>
        <v>0</v>
      </c>
      <c r="K185" s="33">
        <f t="shared" si="97"/>
        <v>0</v>
      </c>
      <c r="L185" s="33">
        <f t="shared" si="98"/>
        <v>0</v>
      </c>
      <c r="M185" s="33">
        <f t="shared" si="99"/>
        <v>0</v>
      </c>
      <c r="N185" s="33">
        <f t="shared" si="79"/>
        <v>0</v>
      </c>
      <c r="O185" s="34">
        <f t="shared" si="80"/>
        <v>0</v>
      </c>
      <c r="P185" s="55">
        <v>180</v>
      </c>
      <c r="Q185" s="33">
        <f t="shared" si="94"/>
        <v>0</v>
      </c>
      <c r="R185" s="33">
        <f t="shared" si="100"/>
        <v>0</v>
      </c>
      <c r="S185" s="33">
        <f t="shared" si="101"/>
        <v>0</v>
      </c>
      <c r="T185" s="33">
        <f t="shared" si="81"/>
        <v>0</v>
      </c>
      <c r="U185" s="33">
        <f t="shared" si="95"/>
        <v>0</v>
      </c>
      <c r="V185" s="33">
        <f t="shared" si="82"/>
        <v>0</v>
      </c>
      <c r="W185" s="33">
        <v>0</v>
      </c>
      <c r="X185" s="33">
        <f t="shared" si="83"/>
        <v>0</v>
      </c>
      <c r="Y185" s="38">
        <f t="shared" si="84"/>
        <v>0</v>
      </c>
      <c r="AA185" s="71">
        <v>180</v>
      </c>
      <c r="AB185" s="33">
        <f t="shared" si="85"/>
        <v>0</v>
      </c>
      <c r="AC185" s="308">
        <f t="shared" si="106"/>
        <v>0</v>
      </c>
      <c r="AD185" s="101">
        <f t="shared" si="86"/>
        <v>0</v>
      </c>
      <c r="AE185" s="101">
        <f t="shared" si="87"/>
        <v>0</v>
      </c>
      <c r="AF185" s="197">
        <f t="shared" si="102"/>
        <v>0</v>
      </c>
      <c r="AG185" s="197">
        <f t="shared" si="103"/>
        <v>0</v>
      </c>
      <c r="AH185" s="197">
        <f t="shared" si="104"/>
        <v>0</v>
      </c>
      <c r="AI185" s="202">
        <f t="shared" si="105"/>
        <v>0</v>
      </c>
      <c r="AK185" s="71">
        <v>180</v>
      </c>
      <c r="AL185" s="33">
        <f t="shared" si="88"/>
        <v>0</v>
      </c>
      <c r="AM185" s="33">
        <f t="shared" si="89"/>
        <v>0</v>
      </c>
      <c r="AN185" s="33">
        <f t="shared" si="90"/>
        <v>0</v>
      </c>
      <c r="AO185" s="33">
        <f t="shared" si="91"/>
        <v>0</v>
      </c>
      <c r="AP185" s="33">
        <f t="shared" si="92"/>
        <v>0</v>
      </c>
      <c r="AQ185" s="197">
        <f t="shared" si="93"/>
        <v>0</v>
      </c>
      <c r="AR185" s="197">
        <f t="shared" si="93"/>
        <v>0</v>
      </c>
      <c r="AS185" s="197">
        <f t="shared" si="93"/>
        <v>0</v>
      </c>
      <c r="AT185" s="197">
        <f t="shared" si="78"/>
        <v>0</v>
      </c>
      <c r="AU185" s="33"/>
      <c r="AV185" s="33"/>
      <c r="AW185" s="33"/>
      <c r="AX185" s="33"/>
      <c r="AY185" s="76"/>
    </row>
    <row r="186" spans="3:51">
      <c r="C186" s="169" t="s">
        <v>61</v>
      </c>
      <c r="D186" s="4">
        <v>0.37</v>
      </c>
      <c r="E186" s="191" t="s">
        <v>229</v>
      </c>
      <c r="I186" s="55">
        <v>181</v>
      </c>
      <c r="J186" s="33">
        <f t="shared" si="96"/>
        <v>0</v>
      </c>
      <c r="K186" s="33">
        <f t="shared" si="97"/>
        <v>0</v>
      </c>
      <c r="L186" s="33">
        <f t="shared" si="98"/>
        <v>0</v>
      </c>
      <c r="M186" s="33">
        <f t="shared" si="99"/>
        <v>0</v>
      </c>
      <c r="N186" s="33">
        <f t="shared" si="79"/>
        <v>0</v>
      </c>
      <c r="O186" s="34">
        <f t="shared" si="80"/>
        <v>0</v>
      </c>
      <c r="P186" s="55">
        <v>181</v>
      </c>
      <c r="Q186" s="33">
        <f t="shared" si="94"/>
        <v>0</v>
      </c>
      <c r="R186" s="33">
        <f t="shared" si="100"/>
        <v>0</v>
      </c>
      <c r="S186" s="33">
        <f t="shared" si="101"/>
        <v>0</v>
      </c>
      <c r="T186" s="33">
        <f t="shared" si="81"/>
        <v>0</v>
      </c>
      <c r="U186" s="33">
        <f t="shared" si="95"/>
        <v>0</v>
      </c>
      <c r="V186" s="33">
        <f t="shared" si="82"/>
        <v>0</v>
      </c>
      <c r="W186" s="33">
        <v>0</v>
      </c>
      <c r="X186" s="33">
        <f t="shared" si="83"/>
        <v>0</v>
      </c>
      <c r="Y186" s="38">
        <f t="shared" si="84"/>
        <v>0</v>
      </c>
      <c r="AA186" s="71">
        <v>181</v>
      </c>
      <c r="AB186" s="33">
        <f t="shared" si="85"/>
        <v>0</v>
      </c>
      <c r="AC186" s="308">
        <f t="shared" si="106"/>
        <v>0</v>
      </c>
      <c r="AD186" s="101">
        <f t="shared" si="86"/>
        <v>0</v>
      </c>
      <c r="AE186" s="101">
        <f t="shared" si="87"/>
        <v>0</v>
      </c>
      <c r="AF186" s="197">
        <f t="shared" si="102"/>
        <v>0</v>
      </c>
      <c r="AG186" s="197">
        <f t="shared" si="103"/>
        <v>0</v>
      </c>
      <c r="AH186" s="197">
        <f t="shared" si="104"/>
        <v>0</v>
      </c>
      <c r="AI186" s="202">
        <f t="shared" si="105"/>
        <v>0</v>
      </c>
      <c r="AK186" s="71">
        <v>181</v>
      </c>
      <c r="AL186" s="33">
        <f t="shared" si="88"/>
        <v>0</v>
      </c>
      <c r="AM186" s="33">
        <f t="shared" si="89"/>
        <v>0</v>
      </c>
      <c r="AN186" s="33">
        <f t="shared" si="90"/>
        <v>0</v>
      </c>
      <c r="AO186" s="33">
        <f t="shared" si="91"/>
        <v>0</v>
      </c>
      <c r="AP186" s="33">
        <f t="shared" si="92"/>
        <v>0</v>
      </c>
      <c r="AQ186" s="197">
        <f t="shared" si="93"/>
        <v>0</v>
      </c>
      <c r="AR186" s="197">
        <f t="shared" si="93"/>
        <v>0</v>
      </c>
      <c r="AS186" s="197">
        <f t="shared" si="93"/>
        <v>0</v>
      </c>
      <c r="AT186" s="197">
        <f t="shared" si="78"/>
        <v>0</v>
      </c>
      <c r="AU186" s="33"/>
      <c r="AV186" s="33"/>
      <c r="AW186" s="33"/>
      <c r="AX186" s="33"/>
      <c r="AY186" s="76"/>
    </row>
    <row r="187" spans="3:51">
      <c r="C187" s="169" t="s">
        <v>62</v>
      </c>
      <c r="D187" s="4">
        <v>0.37</v>
      </c>
      <c r="E187" s="191" t="s">
        <v>229</v>
      </c>
      <c r="I187" s="55">
        <v>182</v>
      </c>
      <c r="J187" s="33">
        <f t="shared" si="96"/>
        <v>0</v>
      </c>
      <c r="K187" s="33">
        <f t="shared" si="97"/>
        <v>0</v>
      </c>
      <c r="L187" s="33">
        <f t="shared" si="98"/>
        <v>0</v>
      </c>
      <c r="M187" s="33">
        <f t="shared" si="99"/>
        <v>0</v>
      </c>
      <c r="N187" s="33">
        <f t="shared" si="79"/>
        <v>0</v>
      </c>
      <c r="O187" s="34">
        <f t="shared" si="80"/>
        <v>0</v>
      </c>
      <c r="P187" s="55">
        <v>182</v>
      </c>
      <c r="Q187" s="33">
        <f t="shared" si="94"/>
        <v>0</v>
      </c>
      <c r="R187" s="33">
        <f t="shared" si="100"/>
        <v>0</v>
      </c>
      <c r="S187" s="33">
        <f t="shared" si="101"/>
        <v>0</v>
      </c>
      <c r="T187" s="33">
        <f t="shared" si="81"/>
        <v>0</v>
      </c>
      <c r="U187" s="33">
        <f t="shared" si="95"/>
        <v>0</v>
      </c>
      <c r="V187" s="33">
        <f t="shared" si="82"/>
        <v>0</v>
      </c>
      <c r="W187" s="33">
        <v>0</v>
      </c>
      <c r="X187" s="33">
        <f t="shared" si="83"/>
        <v>0</v>
      </c>
      <c r="Y187" s="38">
        <f t="shared" si="84"/>
        <v>0</v>
      </c>
      <c r="AA187" s="71">
        <v>182</v>
      </c>
      <c r="AB187" s="33">
        <f t="shared" si="85"/>
        <v>0</v>
      </c>
      <c r="AC187" s="308">
        <f t="shared" si="106"/>
        <v>0</v>
      </c>
      <c r="AD187" s="101">
        <f t="shared" si="86"/>
        <v>0</v>
      </c>
      <c r="AE187" s="101">
        <f t="shared" si="87"/>
        <v>0</v>
      </c>
      <c r="AF187" s="197">
        <f t="shared" si="102"/>
        <v>0</v>
      </c>
      <c r="AG187" s="197">
        <f t="shared" si="103"/>
        <v>0</v>
      </c>
      <c r="AH187" s="197">
        <f t="shared" si="104"/>
        <v>0</v>
      </c>
      <c r="AI187" s="202">
        <f t="shared" si="105"/>
        <v>0</v>
      </c>
      <c r="AK187" s="71">
        <v>182</v>
      </c>
      <c r="AL187" s="33">
        <f t="shared" si="88"/>
        <v>0</v>
      </c>
      <c r="AM187" s="33">
        <f t="shared" si="89"/>
        <v>0</v>
      </c>
      <c r="AN187" s="33">
        <f t="shared" si="90"/>
        <v>0</v>
      </c>
      <c r="AO187" s="33">
        <f t="shared" si="91"/>
        <v>0</v>
      </c>
      <c r="AP187" s="33">
        <f t="shared" si="92"/>
        <v>0</v>
      </c>
      <c r="AQ187" s="197">
        <f t="shared" si="93"/>
        <v>0</v>
      </c>
      <c r="AR187" s="197">
        <f t="shared" si="93"/>
        <v>0</v>
      </c>
      <c r="AS187" s="197">
        <f t="shared" si="93"/>
        <v>0</v>
      </c>
      <c r="AT187" s="197">
        <f t="shared" si="78"/>
        <v>0</v>
      </c>
      <c r="AU187" s="33"/>
      <c r="AV187" s="33"/>
      <c r="AW187" s="33"/>
      <c r="AX187" s="33"/>
      <c r="AY187" s="76"/>
    </row>
    <row r="188" spans="3:51">
      <c r="C188" s="169" t="s">
        <v>63</v>
      </c>
      <c r="D188" s="4">
        <v>0.38</v>
      </c>
      <c r="E188" s="191" t="s">
        <v>229</v>
      </c>
      <c r="I188" s="55">
        <v>183</v>
      </c>
      <c r="J188" s="33">
        <f t="shared" si="96"/>
        <v>0</v>
      </c>
      <c r="K188" s="33">
        <f t="shared" si="97"/>
        <v>0</v>
      </c>
      <c r="L188" s="33">
        <f t="shared" si="98"/>
        <v>0</v>
      </c>
      <c r="M188" s="33">
        <f t="shared" si="99"/>
        <v>0</v>
      </c>
      <c r="N188" s="33">
        <f t="shared" si="79"/>
        <v>0</v>
      </c>
      <c r="O188" s="34">
        <f t="shared" si="80"/>
        <v>0</v>
      </c>
      <c r="P188" s="55">
        <v>183</v>
      </c>
      <c r="Q188" s="33">
        <f t="shared" si="94"/>
        <v>0</v>
      </c>
      <c r="R188" s="33">
        <f t="shared" si="100"/>
        <v>0</v>
      </c>
      <c r="S188" s="33">
        <f t="shared" si="101"/>
        <v>0</v>
      </c>
      <c r="T188" s="33">
        <f t="shared" si="81"/>
        <v>0</v>
      </c>
      <c r="U188" s="33">
        <f t="shared" si="95"/>
        <v>0</v>
      </c>
      <c r="V188" s="33">
        <f t="shared" si="82"/>
        <v>0</v>
      </c>
      <c r="W188" s="33">
        <v>0</v>
      </c>
      <c r="X188" s="33">
        <f t="shared" si="83"/>
        <v>0</v>
      </c>
      <c r="Y188" s="38">
        <f t="shared" si="84"/>
        <v>0</v>
      </c>
      <c r="AA188" s="71">
        <v>183</v>
      </c>
      <c r="AB188" s="33">
        <f t="shared" si="85"/>
        <v>0</v>
      </c>
      <c r="AC188" s="308">
        <f t="shared" si="106"/>
        <v>0</v>
      </c>
      <c r="AD188" s="101">
        <f t="shared" si="86"/>
        <v>0</v>
      </c>
      <c r="AE188" s="101">
        <f t="shared" si="87"/>
        <v>0</v>
      </c>
      <c r="AF188" s="197">
        <f t="shared" si="102"/>
        <v>0</v>
      </c>
      <c r="AG188" s="197">
        <f t="shared" si="103"/>
        <v>0</v>
      </c>
      <c r="AH188" s="197">
        <f t="shared" si="104"/>
        <v>0</v>
      </c>
      <c r="AI188" s="202">
        <f t="shared" si="105"/>
        <v>0</v>
      </c>
      <c r="AK188" s="71">
        <v>183</v>
      </c>
      <c r="AL188" s="33">
        <f t="shared" si="88"/>
        <v>0</v>
      </c>
      <c r="AM188" s="33">
        <f t="shared" si="89"/>
        <v>0</v>
      </c>
      <c r="AN188" s="33">
        <f t="shared" si="90"/>
        <v>0</v>
      </c>
      <c r="AO188" s="33">
        <f t="shared" si="91"/>
        <v>0</v>
      </c>
      <c r="AP188" s="33">
        <f t="shared" si="92"/>
        <v>0</v>
      </c>
      <c r="AQ188" s="197">
        <f t="shared" si="93"/>
        <v>0</v>
      </c>
      <c r="AR188" s="197">
        <f t="shared" si="93"/>
        <v>0</v>
      </c>
      <c r="AS188" s="197">
        <f t="shared" si="93"/>
        <v>0</v>
      </c>
      <c r="AT188" s="197">
        <f t="shared" si="78"/>
        <v>0</v>
      </c>
      <c r="AU188" s="33"/>
      <c r="AV188" s="33"/>
      <c r="AW188" s="33"/>
      <c r="AX188" s="33"/>
      <c r="AY188" s="76"/>
    </row>
    <row r="189" spans="3:51">
      <c r="C189" s="169" t="s">
        <v>64</v>
      </c>
      <c r="D189" s="4">
        <v>0.36</v>
      </c>
      <c r="E189" s="191" t="s">
        <v>229</v>
      </c>
      <c r="I189" s="55">
        <v>184</v>
      </c>
      <c r="J189" s="33">
        <f t="shared" si="96"/>
        <v>0</v>
      </c>
      <c r="K189" s="33">
        <f t="shared" si="97"/>
        <v>0</v>
      </c>
      <c r="L189" s="33">
        <f t="shared" si="98"/>
        <v>0</v>
      </c>
      <c r="M189" s="33">
        <f t="shared" si="99"/>
        <v>0</v>
      </c>
      <c r="N189" s="33">
        <f t="shared" si="79"/>
        <v>0</v>
      </c>
      <c r="O189" s="34">
        <f t="shared" si="80"/>
        <v>0</v>
      </c>
      <c r="P189" s="55">
        <v>184</v>
      </c>
      <c r="Q189" s="33">
        <f t="shared" si="94"/>
        <v>0</v>
      </c>
      <c r="R189" s="33">
        <f t="shared" si="100"/>
        <v>0</v>
      </c>
      <c r="S189" s="33">
        <f t="shared" si="101"/>
        <v>0</v>
      </c>
      <c r="T189" s="33">
        <f t="shared" si="81"/>
        <v>0</v>
      </c>
      <c r="U189" s="33">
        <f t="shared" si="95"/>
        <v>0</v>
      </c>
      <c r="V189" s="33">
        <f t="shared" si="82"/>
        <v>0</v>
      </c>
      <c r="W189" s="33">
        <v>0</v>
      </c>
      <c r="X189" s="33">
        <f t="shared" si="83"/>
        <v>0</v>
      </c>
      <c r="Y189" s="38">
        <f t="shared" si="84"/>
        <v>0</v>
      </c>
      <c r="AA189" s="71">
        <v>184</v>
      </c>
      <c r="AB189" s="33">
        <f t="shared" si="85"/>
        <v>0</v>
      </c>
      <c r="AC189" s="308">
        <f t="shared" si="106"/>
        <v>0</v>
      </c>
      <c r="AD189" s="101">
        <f t="shared" si="86"/>
        <v>0</v>
      </c>
      <c r="AE189" s="101">
        <f t="shared" si="87"/>
        <v>0</v>
      </c>
      <c r="AF189" s="197">
        <f t="shared" si="102"/>
        <v>0</v>
      </c>
      <c r="AG189" s="197">
        <f t="shared" si="103"/>
        <v>0</v>
      </c>
      <c r="AH189" s="197">
        <f t="shared" si="104"/>
        <v>0</v>
      </c>
      <c r="AI189" s="202">
        <f t="shared" si="105"/>
        <v>0</v>
      </c>
      <c r="AK189" s="71">
        <v>184</v>
      </c>
      <c r="AL189" s="33">
        <f t="shared" si="88"/>
        <v>0</v>
      </c>
      <c r="AM189" s="33">
        <f t="shared" si="89"/>
        <v>0</v>
      </c>
      <c r="AN189" s="33">
        <f t="shared" si="90"/>
        <v>0</v>
      </c>
      <c r="AO189" s="33">
        <f t="shared" si="91"/>
        <v>0</v>
      </c>
      <c r="AP189" s="33">
        <f t="shared" si="92"/>
        <v>0</v>
      </c>
      <c r="AQ189" s="197">
        <f t="shared" si="93"/>
        <v>0</v>
      </c>
      <c r="AR189" s="197">
        <f t="shared" si="93"/>
        <v>0</v>
      </c>
      <c r="AS189" s="197">
        <f t="shared" si="93"/>
        <v>0</v>
      </c>
      <c r="AT189" s="197">
        <f t="shared" si="78"/>
        <v>0</v>
      </c>
      <c r="AU189" s="33"/>
      <c r="AV189" s="33"/>
      <c r="AW189" s="33"/>
      <c r="AX189" s="33"/>
      <c r="AY189" s="76"/>
    </row>
    <row r="190" spans="3:51">
      <c r="C190" s="169" t="s">
        <v>65</v>
      </c>
      <c r="D190" s="4">
        <v>0.37</v>
      </c>
      <c r="E190" s="191" t="s">
        <v>228</v>
      </c>
      <c r="I190" s="55">
        <v>185</v>
      </c>
      <c r="J190" s="33">
        <f t="shared" si="96"/>
        <v>0</v>
      </c>
      <c r="K190" s="33">
        <f t="shared" si="97"/>
        <v>0</v>
      </c>
      <c r="L190" s="33">
        <f t="shared" si="98"/>
        <v>0</v>
      </c>
      <c r="M190" s="33">
        <f t="shared" si="99"/>
        <v>0</v>
      </c>
      <c r="N190" s="33">
        <f t="shared" si="79"/>
        <v>0</v>
      </c>
      <c r="O190" s="34">
        <f t="shared" si="80"/>
        <v>0</v>
      </c>
      <c r="P190" s="55">
        <v>185</v>
      </c>
      <c r="Q190" s="33">
        <f t="shared" si="94"/>
        <v>0</v>
      </c>
      <c r="R190" s="33">
        <f t="shared" si="100"/>
        <v>0</v>
      </c>
      <c r="S190" s="33">
        <f t="shared" si="101"/>
        <v>0</v>
      </c>
      <c r="T190" s="33">
        <f t="shared" si="81"/>
        <v>0</v>
      </c>
      <c r="U190" s="33">
        <f t="shared" si="95"/>
        <v>0</v>
      </c>
      <c r="V190" s="33">
        <f t="shared" si="82"/>
        <v>0</v>
      </c>
      <c r="W190" s="33">
        <v>0</v>
      </c>
      <c r="X190" s="33">
        <f t="shared" si="83"/>
        <v>0</v>
      </c>
      <c r="Y190" s="38">
        <f t="shared" si="84"/>
        <v>0</v>
      </c>
      <c r="AA190" s="71">
        <v>185</v>
      </c>
      <c r="AB190" s="33">
        <f t="shared" si="85"/>
        <v>0</v>
      </c>
      <c r="AC190" s="308">
        <f t="shared" si="106"/>
        <v>0</v>
      </c>
      <c r="AD190" s="101">
        <f t="shared" si="86"/>
        <v>0</v>
      </c>
      <c r="AE190" s="101">
        <f t="shared" si="87"/>
        <v>0</v>
      </c>
      <c r="AF190" s="197">
        <f t="shared" si="102"/>
        <v>0</v>
      </c>
      <c r="AG190" s="197">
        <f t="shared" si="103"/>
        <v>0</v>
      </c>
      <c r="AH190" s="197">
        <f t="shared" si="104"/>
        <v>0</v>
      </c>
      <c r="AI190" s="202">
        <f t="shared" si="105"/>
        <v>0</v>
      </c>
      <c r="AK190" s="71">
        <v>185</v>
      </c>
      <c r="AL190" s="33">
        <f t="shared" si="88"/>
        <v>0</v>
      </c>
      <c r="AM190" s="33">
        <f t="shared" si="89"/>
        <v>0</v>
      </c>
      <c r="AN190" s="33">
        <f t="shared" si="90"/>
        <v>0</v>
      </c>
      <c r="AO190" s="33">
        <f t="shared" si="91"/>
        <v>0</v>
      </c>
      <c r="AP190" s="33">
        <f t="shared" si="92"/>
        <v>0</v>
      </c>
      <c r="AQ190" s="197">
        <f t="shared" si="93"/>
        <v>0</v>
      </c>
      <c r="AR190" s="197">
        <f t="shared" si="93"/>
        <v>0</v>
      </c>
      <c r="AS190" s="197">
        <f t="shared" si="93"/>
        <v>0</v>
      </c>
      <c r="AT190" s="197">
        <f t="shared" si="78"/>
        <v>0</v>
      </c>
      <c r="AU190" s="33"/>
      <c r="AV190" s="33"/>
      <c r="AW190" s="33"/>
      <c r="AX190" s="33"/>
      <c r="AY190" s="76"/>
    </row>
    <row r="191" spans="3:51">
      <c r="C191" s="169" t="s">
        <v>66</v>
      </c>
      <c r="D191" s="4">
        <v>0.53</v>
      </c>
      <c r="E191" s="191" t="s">
        <v>228</v>
      </c>
      <c r="I191" s="55">
        <v>186</v>
      </c>
      <c r="J191" s="33">
        <f t="shared" si="96"/>
        <v>0</v>
      </c>
      <c r="K191" s="33">
        <f t="shared" si="97"/>
        <v>0</v>
      </c>
      <c r="L191" s="33">
        <f t="shared" si="98"/>
        <v>0</v>
      </c>
      <c r="M191" s="33">
        <f t="shared" si="99"/>
        <v>0</v>
      </c>
      <c r="N191" s="33">
        <f t="shared" si="79"/>
        <v>0</v>
      </c>
      <c r="O191" s="34">
        <f t="shared" si="80"/>
        <v>0</v>
      </c>
      <c r="P191" s="55">
        <v>186</v>
      </c>
      <c r="Q191" s="33">
        <f t="shared" si="94"/>
        <v>0</v>
      </c>
      <c r="R191" s="33">
        <f t="shared" si="100"/>
        <v>0</v>
      </c>
      <c r="S191" s="33">
        <f t="shared" si="101"/>
        <v>0</v>
      </c>
      <c r="T191" s="33">
        <f t="shared" si="81"/>
        <v>0</v>
      </c>
      <c r="U191" s="33">
        <f t="shared" si="95"/>
        <v>0</v>
      </c>
      <c r="V191" s="33">
        <f t="shared" si="82"/>
        <v>0</v>
      </c>
      <c r="W191" s="33">
        <v>0</v>
      </c>
      <c r="X191" s="33">
        <f t="shared" si="83"/>
        <v>0</v>
      </c>
      <c r="Y191" s="38">
        <f t="shared" si="84"/>
        <v>0</v>
      </c>
      <c r="AA191" s="71">
        <v>186</v>
      </c>
      <c r="AB191" s="33">
        <f t="shared" si="85"/>
        <v>0</v>
      </c>
      <c r="AC191" s="308">
        <f t="shared" si="106"/>
        <v>0</v>
      </c>
      <c r="AD191" s="101">
        <f t="shared" si="86"/>
        <v>0</v>
      </c>
      <c r="AE191" s="101">
        <f t="shared" si="87"/>
        <v>0</v>
      </c>
      <c r="AF191" s="197">
        <f t="shared" si="102"/>
        <v>0</v>
      </c>
      <c r="AG191" s="197">
        <f t="shared" si="103"/>
        <v>0</v>
      </c>
      <c r="AH191" s="197">
        <f t="shared" si="104"/>
        <v>0</v>
      </c>
      <c r="AI191" s="202">
        <f t="shared" si="105"/>
        <v>0</v>
      </c>
      <c r="AK191" s="71">
        <v>186</v>
      </c>
      <c r="AL191" s="33">
        <f t="shared" si="88"/>
        <v>0</v>
      </c>
      <c r="AM191" s="33">
        <f t="shared" si="89"/>
        <v>0</v>
      </c>
      <c r="AN191" s="33">
        <f t="shared" si="90"/>
        <v>0</v>
      </c>
      <c r="AO191" s="33">
        <f t="shared" si="91"/>
        <v>0</v>
      </c>
      <c r="AP191" s="33">
        <f t="shared" si="92"/>
        <v>0</v>
      </c>
      <c r="AQ191" s="197">
        <f t="shared" si="93"/>
        <v>0</v>
      </c>
      <c r="AR191" s="197">
        <f t="shared" si="93"/>
        <v>0</v>
      </c>
      <c r="AS191" s="197">
        <f t="shared" si="93"/>
        <v>0</v>
      </c>
      <c r="AT191" s="197">
        <f t="shared" si="78"/>
        <v>0</v>
      </c>
      <c r="AU191" s="33"/>
      <c r="AV191" s="33"/>
      <c r="AW191" s="33"/>
      <c r="AX191" s="33"/>
      <c r="AY191" s="76"/>
    </row>
    <row r="192" spans="3:51">
      <c r="C192" s="169" t="s">
        <v>67</v>
      </c>
      <c r="D192" s="4">
        <v>0.43</v>
      </c>
      <c r="E192" s="191" t="s">
        <v>228</v>
      </c>
      <c r="I192" s="55">
        <v>187</v>
      </c>
      <c r="J192" s="33">
        <f t="shared" si="96"/>
        <v>0</v>
      </c>
      <c r="K192" s="33">
        <f t="shared" si="97"/>
        <v>0</v>
      </c>
      <c r="L192" s="33">
        <f t="shared" si="98"/>
        <v>0</v>
      </c>
      <c r="M192" s="33">
        <f t="shared" si="99"/>
        <v>0</v>
      </c>
      <c r="N192" s="33">
        <f t="shared" si="79"/>
        <v>0</v>
      </c>
      <c r="O192" s="34">
        <f t="shared" si="80"/>
        <v>0</v>
      </c>
      <c r="P192" s="55">
        <v>187</v>
      </c>
      <c r="Q192" s="33">
        <f t="shared" si="94"/>
        <v>0</v>
      </c>
      <c r="R192" s="33">
        <f t="shared" si="100"/>
        <v>0</v>
      </c>
      <c r="S192" s="33">
        <f t="shared" si="101"/>
        <v>0</v>
      </c>
      <c r="T192" s="33">
        <f t="shared" si="81"/>
        <v>0</v>
      </c>
      <c r="U192" s="33">
        <f t="shared" si="95"/>
        <v>0</v>
      </c>
      <c r="V192" s="33">
        <f t="shared" si="82"/>
        <v>0</v>
      </c>
      <c r="W192" s="33">
        <v>0</v>
      </c>
      <c r="X192" s="33">
        <f t="shared" si="83"/>
        <v>0</v>
      </c>
      <c r="Y192" s="38">
        <f t="shared" si="84"/>
        <v>0</v>
      </c>
      <c r="AA192" s="71">
        <v>187</v>
      </c>
      <c r="AB192" s="33">
        <f t="shared" si="85"/>
        <v>0</v>
      </c>
      <c r="AC192" s="308">
        <f t="shared" si="106"/>
        <v>0</v>
      </c>
      <c r="AD192" s="101">
        <f t="shared" si="86"/>
        <v>0</v>
      </c>
      <c r="AE192" s="101">
        <f t="shared" si="87"/>
        <v>0</v>
      </c>
      <c r="AF192" s="197">
        <f t="shared" si="102"/>
        <v>0</v>
      </c>
      <c r="AG192" s="197">
        <f t="shared" si="103"/>
        <v>0</v>
      </c>
      <c r="AH192" s="197">
        <f t="shared" si="104"/>
        <v>0</v>
      </c>
      <c r="AI192" s="202">
        <f t="shared" si="105"/>
        <v>0</v>
      </c>
      <c r="AK192" s="71">
        <v>187</v>
      </c>
      <c r="AL192" s="33">
        <f t="shared" si="88"/>
        <v>0</v>
      </c>
      <c r="AM192" s="33">
        <f t="shared" si="89"/>
        <v>0</v>
      </c>
      <c r="AN192" s="33">
        <f t="shared" si="90"/>
        <v>0</v>
      </c>
      <c r="AO192" s="33">
        <f t="shared" si="91"/>
        <v>0</v>
      </c>
      <c r="AP192" s="33">
        <f t="shared" si="92"/>
        <v>0</v>
      </c>
      <c r="AQ192" s="197">
        <f t="shared" si="93"/>
        <v>0</v>
      </c>
      <c r="AR192" s="197">
        <f t="shared" si="93"/>
        <v>0</v>
      </c>
      <c r="AS192" s="197">
        <f t="shared" si="93"/>
        <v>0</v>
      </c>
      <c r="AT192" s="197">
        <f t="shared" si="78"/>
        <v>0</v>
      </c>
      <c r="AU192" s="33"/>
      <c r="AV192" s="33"/>
      <c r="AW192" s="33"/>
      <c r="AX192" s="33"/>
      <c r="AY192" s="76"/>
    </row>
    <row r="193" spans="3:51">
      <c r="C193" s="169" t="s">
        <v>68</v>
      </c>
      <c r="D193" s="4">
        <v>0.38</v>
      </c>
      <c r="E193" s="191" t="s">
        <v>228</v>
      </c>
      <c r="I193" s="55">
        <v>188</v>
      </c>
      <c r="J193" s="33">
        <f t="shared" si="96"/>
        <v>0</v>
      </c>
      <c r="K193" s="33">
        <f t="shared" si="97"/>
        <v>0</v>
      </c>
      <c r="L193" s="33">
        <f t="shared" si="98"/>
        <v>0</v>
      </c>
      <c r="M193" s="33">
        <f t="shared" si="99"/>
        <v>0</v>
      </c>
      <c r="N193" s="33">
        <f t="shared" si="79"/>
        <v>0</v>
      </c>
      <c r="O193" s="34">
        <f t="shared" si="80"/>
        <v>0</v>
      </c>
      <c r="P193" s="55">
        <v>188</v>
      </c>
      <c r="Q193" s="33">
        <f t="shared" si="94"/>
        <v>0</v>
      </c>
      <c r="R193" s="33">
        <f t="shared" si="100"/>
        <v>0</v>
      </c>
      <c r="S193" s="33">
        <f t="shared" si="101"/>
        <v>0</v>
      </c>
      <c r="T193" s="33">
        <f t="shared" si="81"/>
        <v>0</v>
      </c>
      <c r="U193" s="33">
        <f t="shared" si="95"/>
        <v>0</v>
      </c>
      <c r="V193" s="33">
        <f t="shared" si="82"/>
        <v>0</v>
      </c>
      <c r="W193" s="33">
        <v>0</v>
      </c>
      <c r="X193" s="33">
        <f t="shared" si="83"/>
        <v>0</v>
      </c>
      <c r="Y193" s="38">
        <f t="shared" si="84"/>
        <v>0</v>
      </c>
      <c r="AA193" s="71">
        <v>188</v>
      </c>
      <c r="AB193" s="33">
        <f t="shared" si="85"/>
        <v>0</v>
      </c>
      <c r="AC193" s="308">
        <f t="shared" si="106"/>
        <v>0</v>
      </c>
      <c r="AD193" s="101">
        <f t="shared" si="86"/>
        <v>0</v>
      </c>
      <c r="AE193" s="101">
        <f t="shared" si="87"/>
        <v>0</v>
      </c>
      <c r="AF193" s="197">
        <f t="shared" si="102"/>
        <v>0</v>
      </c>
      <c r="AG193" s="197">
        <f t="shared" si="103"/>
        <v>0</v>
      </c>
      <c r="AH193" s="197">
        <f t="shared" si="104"/>
        <v>0</v>
      </c>
      <c r="AI193" s="202">
        <f t="shared" si="105"/>
        <v>0</v>
      </c>
      <c r="AK193" s="71">
        <v>188</v>
      </c>
      <c r="AL193" s="33">
        <f t="shared" si="88"/>
        <v>0</v>
      </c>
      <c r="AM193" s="33">
        <f t="shared" si="89"/>
        <v>0</v>
      </c>
      <c r="AN193" s="33">
        <f t="shared" si="90"/>
        <v>0</v>
      </c>
      <c r="AO193" s="33">
        <f t="shared" si="91"/>
        <v>0</v>
      </c>
      <c r="AP193" s="33">
        <f t="shared" si="92"/>
        <v>0</v>
      </c>
      <c r="AQ193" s="197">
        <f t="shared" si="93"/>
        <v>0</v>
      </c>
      <c r="AR193" s="197">
        <f t="shared" si="93"/>
        <v>0</v>
      </c>
      <c r="AS193" s="197">
        <f t="shared" si="93"/>
        <v>0</v>
      </c>
      <c r="AT193" s="197">
        <f t="shared" si="78"/>
        <v>0</v>
      </c>
      <c r="AU193" s="33"/>
      <c r="AV193" s="33"/>
      <c r="AW193" s="33"/>
      <c r="AX193" s="33"/>
      <c r="AY193" s="76"/>
    </row>
    <row r="194" spans="3:51">
      <c r="C194" s="169" t="s">
        <v>69</v>
      </c>
      <c r="D194" s="4">
        <v>0.42</v>
      </c>
      <c r="E194" s="191" t="s">
        <v>229</v>
      </c>
      <c r="I194" s="55">
        <v>189</v>
      </c>
      <c r="J194" s="33">
        <f t="shared" si="96"/>
        <v>0</v>
      </c>
      <c r="K194" s="33">
        <f t="shared" si="97"/>
        <v>0</v>
      </c>
      <c r="L194" s="33">
        <f t="shared" si="98"/>
        <v>0</v>
      </c>
      <c r="M194" s="33">
        <f t="shared" si="99"/>
        <v>0</v>
      </c>
      <c r="N194" s="33">
        <f t="shared" si="79"/>
        <v>0</v>
      </c>
      <c r="O194" s="34">
        <f t="shared" si="80"/>
        <v>0</v>
      </c>
      <c r="P194" s="55">
        <v>189</v>
      </c>
      <c r="Q194" s="33">
        <f t="shared" si="94"/>
        <v>0</v>
      </c>
      <c r="R194" s="33">
        <f t="shared" si="100"/>
        <v>0</v>
      </c>
      <c r="S194" s="33">
        <f t="shared" si="101"/>
        <v>0</v>
      </c>
      <c r="T194" s="33">
        <f t="shared" si="81"/>
        <v>0</v>
      </c>
      <c r="U194" s="33">
        <f t="shared" si="95"/>
        <v>0</v>
      </c>
      <c r="V194" s="33">
        <f t="shared" si="82"/>
        <v>0</v>
      </c>
      <c r="W194" s="33">
        <v>0</v>
      </c>
      <c r="X194" s="33">
        <f t="shared" si="83"/>
        <v>0</v>
      </c>
      <c r="Y194" s="38">
        <f t="shared" si="84"/>
        <v>0</v>
      </c>
      <c r="AA194" s="71">
        <v>189</v>
      </c>
      <c r="AB194" s="33">
        <f t="shared" si="85"/>
        <v>0</v>
      </c>
      <c r="AC194" s="308">
        <f t="shared" si="106"/>
        <v>0</v>
      </c>
      <c r="AD194" s="101">
        <f t="shared" si="86"/>
        <v>0</v>
      </c>
      <c r="AE194" s="101">
        <f t="shared" si="87"/>
        <v>0</v>
      </c>
      <c r="AF194" s="197">
        <f t="shared" si="102"/>
        <v>0</v>
      </c>
      <c r="AG194" s="197">
        <f t="shared" si="103"/>
        <v>0</v>
      </c>
      <c r="AH194" s="197">
        <f t="shared" si="104"/>
        <v>0</v>
      </c>
      <c r="AI194" s="202">
        <f t="shared" si="105"/>
        <v>0</v>
      </c>
      <c r="AK194" s="71">
        <v>189</v>
      </c>
      <c r="AL194" s="33">
        <f t="shared" si="88"/>
        <v>0</v>
      </c>
      <c r="AM194" s="33">
        <f t="shared" si="89"/>
        <v>0</v>
      </c>
      <c r="AN194" s="33">
        <f t="shared" si="90"/>
        <v>0</v>
      </c>
      <c r="AO194" s="33">
        <f t="shared" si="91"/>
        <v>0</v>
      </c>
      <c r="AP194" s="33">
        <f t="shared" si="92"/>
        <v>0</v>
      </c>
      <c r="AQ194" s="197">
        <f t="shared" si="93"/>
        <v>0</v>
      </c>
      <c r="AR194" s="197">
        <f t="shared" si="93"/>
        <v>0</v>
      </c>
      <c r="AS194" s="197">
        <f t="shared" si="93"/>
        <v>0</v>
      </c>
      <c r="AT194" s="197">
        <f t="shared" si="78"/>
        <v>0</v>
      </c>
      <c r="AU194" s="33"/>
      <c r="AV194" s="33"/>
      <c r="AW194" s="33"/>
      <c r="AX194" s="33"/>
      <c r="AY194" s="76"/>
    </row>
    <row r="195" spans="3:51">
      <c r="C195" s="169" t="s">
        <v>70</v>
      </c>
      <c r="D195" s="4">
        <v>0.56999999999999995</v>
      </c>
      <c r="E195" s="191" t="s">
        <v>228</v>
      </c>
      <c r="I195" s="55">
        <v>190</v>
      </c>
      <c r="J195" s="33">
        <f t="shared" si="96"/>
        <v>0</v>
      </c>
      <c r="K195" s="33">
        <f t="shared" si="97"/>
        <v>0</v>
      </c>
      <c r="L195" s="33">
        <f t="shared" si="98"/>
        <v>0</v>
      </c>
      <c r="M195" s="33">
        <f t="shared" si="99"/>
        <v>0</v>
      </c>
      <c r="N195" s="33">
        <f t="shared" si="79"/>
        <v>0</v>
      </c>
      <c r="O195" s="34">
        <f t="shared" si="80"/>
        <v>0</v>
      </c>
      <c r="P195" s="55">
        <v>190</v>
      </c>
      <c r="Q195" s="33">
        <f t="shared" si="94"/>
        <v>0</v>
      </c>
      <c r="R195" s="33">
        <f t="shared" si="100"/>
        <v>0</v>
      </c>
      <c r="S195" s="33">
        <f t="shared" si="101"/>
        <v>0</v>
      </c>
      <c r="T195" s="33">
        <f t="shared" si="81"/>
        <v>0</v>
      </c>
      <c r="U195" s="33">
        <f t="shared" si="95"/>
        <v>0</v>
      </c>
      <c r="V195" s="33">
        <f t="shared" si="82"/>
        <v>0</v>
      </c>
      <c r="W195" s="33">
        <v>0</v>
      </c>
      <c r="X195" s="33">
        <f t="shared" si="83"/>
        <v>0</v>
      </c>
      <c r="Y195" s="38">
        <f t="shared" si="84"/>
        <v>0</v>
      </c>
      <c r="AA195" s="71">
        <v>190</v>
      </c>
      <c r="AB195" s="33">
        <f t="shared" si="85"/>
        <v>0</v>
      </c>
      <c r="AC195" s="308">
        <f t="shared" si="106"/>
        <v>0</v>
      </c>
      <c r="AD195" s="101">
        <f t="shared" si="86"/>
        <v>0</v>
      </c>
      <c r="AE195" s="101">
        <f t="shared" si="87"/>
        <v>0</v>
      </c>
      <c r="AF195" s="197">
        <f t="shared" si="102"/>
        <v>0</v>
      </c>
      <c r="AG195" s="197">
        <f t="shared" si="103"/>
        <v>0</v>
      </c>
      <c r="AH195" s="197">
        <f t="shared" si="104"/>
        <v>0</v>
      </c>
      <c r="AI195" s="202">
        <f t="shared" si="105"/>
        <v>0</v>
      </c>
      <c r="AK195" s="71">
        <v>190</v>
      </c>
      <c r="AL195" s="33">
        <f t="shared" si="88"/>
        <v>0</v>
      </c>
      <c r="AM195" s="33">
        <f t="shared" si="89"/>
        <v>0</v>
      </c>
      <c r="AN195" s="33">
        <f t="shared" si="90"/>
        <v>0</v>
      </c>
      <c r="AO195" s="33">
        <f t="shared" si="91"/>
        <v>0</v>
      </c>
      <c r="AP195" s="33">
        <f t="shared" si="92"/>
        <v>0</v>
      </c>
      <c r="AQ195" s="197">
        <f t="shared" si="93"/>
        <v>0</v>
      </c>
      <c r="AR195" s="197">
        <f t="shared" si="93"/>
        <v>0</v>
      </c>
      <c r="AS195" s="197">
        <f t="shared" si="93"/>
        <v>0</v>
      </c>
      <c r="AT195" s="197">
        <f t="shared" si="78"/>
        <v>0</v>
      </c>
      <c r="AU195" s="33"/>
      <c r="AV195" s="33"/>
      <c r="AW195" s="33"/>
      <c r="AX195" s="33"/>
      <c r="AY195" s="76"/>
    </row>
    <row r="196" spans="3:51">
      <c r="C196" s="171" t="s">
        <v>71</v>
      </c>
      <c r="D196" s="3">
        <v>0.54</v>
      </c>
      <c r="E196" s="191"/>
      <c r="I196" s="55">
        <v>191</v>
      </c>
      <c r="J196" s="33">
        <f t="shared" si="96"/>
        <v>0</v>
      </c>
      <c r="K196" s="33">
        <f t="shared" si="97"/>
        <v>0</v>
      </c>
      <c r="L196" s="33">
        <f t="shared" si="98"/>
        <v>0</v>
      </c>
      <c r="M196" s="33">
        <f t="shared" si="99"/>
        <v>0</v>
      </c>
      <c r="N196" s="33">
        <f t="shared" si="79"/>
        <v>0</v>
      </c>
      <c r="O196" s="34">
        <f t="shared" si="80"/>
        <v>0</v>
      </c>
      <c r="P196" s="55">
        <v>191</v>
      </c>
      <c r="Q196" s="33">
        <f t="shared" si="94"/>
        <v>0</v>
      </c>
      <c r="R196" s="33">
        <f t="shared" si="100"/>
        <v>0</v>
      </c>
      <c r="S196" s="33">
        <f t="shared" si="101"/>
        <v>0</v>
      </c>
      <c r="T196" s="33">
        <f t="shared" si="81"/>
        <v>0</v>
      </c>
      <c r="U196" s="33">
        <f t="shared" si="95"/>
        <v>0</v>
      </c>
      <c r="V196" s="33">
        <f t="shared" si="82"/>
        <v>0</v>
      </c>
      <c r="W196" s="33">
        <v>0</v>
      </c>
      <c r="X196" s="33">
        <f t="shared" si="83"/>
        <v>0</v>
      </c>
      <c r="Y196" s="38">
        <f t="shared" si="84"/>
        <v>0</v>
      </c>
      <c r="AA196" s="71">
        <v>191</v>
      </c>
      <c r="AB196" s="33">
        <f t="shared" si="85"/>
        <v>0</v>
      </c>
      <c r="AC196" s="308">
        <f t="shared" si="106"/>
        <v>0</v>
      </c>
      <c r="AD196" s="101">
        <f t="shared" si="86"/>
        <v>0</v>
      </c>
      <c r="AE196" s="101">
        <f t="shared" si="87"/>
        <v>0</v>
      </c>
      <c r="AF196" s="197">
        <f t="shared" si="102"/>
        <v>0</v>
      </c>
      <c r="AG196" s="197">
        <f t="shared" si="103"/>
        <v>0</v>
      </c>
      <c r="AH196" s="197">
        <f t="shared" si="104"/>
        <v>0</v>
      </c>
      <c r="AI196" s="202">
        <f t="shared" si="105"/>
        <v>0</v>
      </c>
      <c r="AK196" s="71">
        <v>191</v>
      </c>
      <c r="AL196" s="33">
        <f t="shared" si="88"/>
        <v>0</v>
      </c>
      <c r="AM196" s="33">
        <f t="shared" si="89"/>
        <v>0</v>
      </c>
      <c r="AN196" s="33">
        <f t="shared" si="90"/>
        <v>0</v>
      </c>
      <c r="AO196" s="33">
        <f t="shared" si="91"/>
        <v>0</v>
      </c>
      <c r="AP196" s="33">
        <f t="shared" si="92"/>
        <v>0</v>
      </c>
      <c r="AQ196" s="197">
        <f t="shared" si="93"/>
        <v>0</v>
      </c>
      <c r="AR196" s="197">
        <f t="shared" si="93"/>
        <v>0</v>
      </c>
      <c r="AS196" s="197">
        <f t="shared" si="93"/>
        <v>0</v>
      </c>
      <c r="AT196" s="197">
        <f t="shared" si="93"/>
        <v>0</v>
      </c>
      <c r="AU196" s="33"/>
      <c r="AV196" s="33"/>
      <c r="AW196" s="33"/>
      <c r="AX196" s="33"/>
      <c r="AY196" s="76"/>
    </row>
    <row r="197" spans="3:51">
      <c r="E197" s="24"/>
      <c r="I197" s="55">
        <v>192</v>
      </c>
      <c r="J197" s="33">
        <f t="shared" si="96"/>
        <v>0</v>
      </c>
      <c r="K197" s="33">
        <f t="shared" si="97"/>
        <v>0</v>
      </c>
      <c r="L197" s="33">
        <f t="shared" si="98"/>
        <v>0</v>
      </c>
      <c r="M197" s="33">
        <f t="shared" si="99"/>
        <v>0</v>
      </c>
      <c r="N197" s="33">
        <f t="shared" ref="N197:N204" si="107">IF(P198&lt;=$F$18,0,)</f>
        <v>0</v>
      </c>
      <c r="O197" s="34">
        <f t="shared" ref="O197:O205" si="108">((J197+K197)*0.475+L197+M197+N197)*44/12</f>
        <v>0</v>
      </c>
      <c r="P197" s="55">
        <v>192</v>
      </c>
      <c r="Q197" s="33">
        <f t="shared" si="94"/>
        <v>0</v>
      </c>
      <c r="R197" s="33">
        <f t="shared" si="100"/>
        <v>0</v>
      </c>
      <c r="S197" s="33">
        <f t="shared" si="101"/>
        <v>0</v>
      </c>
      <c r="T197" s="33">
        <f t="shared" ref="T197:T205" si="109">IF(S197=0,0,EXP(-1.0587+0.8836*LN(S197)+0.284))</f>
        <v>0</v>
      </c>
      <c r="U197" s="33">
        <f t="shared" si="95"/>
        <v>0</v>
      </c>
      <c r="V197" s="33">
        <f t="shared" ref="V197:V205" si="110">IF(P197&lt;=$F$18,IF(P197&lt;=30,P197*($F$16-$F$6)/30,$F$16-$F$6),)</f>
        <v>0</v>
      </c>
      <c r="W197" s="33">
        <v>0</v>
      </c>
      <c r="X197" s="33">
        <f t="shared" ref="X197:X205" si="111">((S197+T197)*0.475+U197+V197+W197)*44/12</f>
        <v>0</v>
      </c>
      <c r="Y197" s="38">
        <f t="shared" ref="Y197:Y205" si="112">IF(P197&lt;=$F$18,X197-O197,)</f>
        <v>0</v>
      </c>
      <c r="AA197" s="71">
        <v>192</v>
      </c>
      <c r="AB197" s="33">
        <f t="shared" ref="AB197:AB205" si="113">IF(AA197&lt;=$F$18,IFERROR(VLOOKUP($AA197,$B$82:$G$94,2,FALSE),0),)</f>
        <v>0</v>
      </c>
      <c r="AC197" s="308">
        <f t="shared" si="106"/>
        <v>0</v>
      </c>
      <c r="AD197" s="101">
        <f t="shared" ref="AD197:AD205" si="114">IF(AA197&lt;=$F$18,IFERROR(VLOOKUP($AA197,$B$82:$G$94,4,FALSE),0),)</f>
        <v>0</v>
      </c>
      <c r="AE197" s="101">
        <f t="shared" ref="AE197:AE205" si="115">IF(AA197&lt;=$F$18,IFERROR(VLOOKUP($AA197,$B$82:$G$94,5,FALSE),0),)</f>
        <v>0</v>
      </c>
      <c r="AF197" s="197">
        <f t="shared" si="102"/>
        <v>0</v>
      </c>
      <c r="AG197" s="197">
        <f t="shared" si="103"/>
        <v>0</v>
      </c>
      <c r="AH197" s="197">
        <f t="shared" si="104"/>
        <v>0</v>
      </c>
      <c r="AI197" s="202">
        <f t="shared" si="105"/>
        <v>0</v>
      </c>
      <c r="AK197" s="71">
        <v>192</v>
      </c>
      <c r="AL197" s="33">
        <f t="shared" ref="AL197:AL205" si="116">IF(AK197&lt;=$F$18,IFERROR(VLOOKUP($AA197,$B$82:$G$94,2,FALSE),0),)</f>
        <v>0</v>
      </c>
      <c r="AM197" s="33">
        <f t="shared" ref="AM197:AM205" si="117">IF(AK197&lt;=$F$18,IFERROR(VLOOKUP($AA197,$B$82:$G$94,3,FALSE),0),)</f>
        <v>0</v>
      </c>
      <c r="AN197" s="33">
        <f t="shared" ref="AN197:AN205" si="118">IF(AK197&lt;=$F$18,IFERROR(VLOOKUP($AA197,$B$82:$G$94,4,FALSE),0),)</f>
        <v>0</v>
      </c>
      <c r="AO197" s="33">
        <f t="shared" ref="AO197:AO205" si="119">IF(AK197&lt;=$F$18,IFERROR(VLOOKUP($AA197,$B$82:$G$94,5,FALSE),0),)</f>
        <v>0</v>
      </c>
      <c r="AP197" s="33">
        <f t="shared" ref="AP197:AP205" si="120">IF(AK197&lt;=$F$18,IFERROR(VLOOKUP($AA197,$B$82:$G$94,6,FALSE),0),)</f>
        <v>0</v>
      </c>
      <c r="AQ197" s="197">
        <f t="shared" ref="AQ197:AT205" si="121">IF($AK197&lt;=$F$18,$AL197*AM197,)</f>
        <v>0</v>
      </c>
      <c r="AR197" s="197">
        <f t="shared" si="121"/>
        <v>0</v>
      </c>
      <c r="AS197" s="197">
        <f t="shared" si="121"/>
        <v>0</v>
      </c>
      <c r="AT197" s="197">
        <f t="shared" si="121"/>
        <v>0</v>
      </c>
      <c r="AU197" s="33"/>
      <c r="AV197" s="33"/>
      <c r="AW197" s="33"/>
      <c r="AX197" s="33"/>
      <c r="AY197" s="76"/>
    </row>
    <row r="198" spans="3:51">
      <c r="E198" s="24"/>
      <c r="I198" s="55">
        <v>193</v>
      </c>
      <c r="J198" s="33">
        <f t="shared" si="96"/>
        <v>0</v>
      </c>
      <c r="K198" s="33">
        <f t="shared" si="97"/>
        <v>0</v>
      </c>
      <c r="L198" s="33">
        <f t="shared" si="98"/>
        <v>0</v>
      </c>
      <c r="M198" s="33">
        <f t="shared" si="99"/>
        <v>0</v>
      </c>
      <c r="N198" s="33">
        <f t="shared" si="107"/>
        <v>0</v>
      </c>
      <c r="O198" s="34">
        <f t="shared" si="108"/>
        <v>0</v>
      </c>
      <c r="P198" s="55">
        <v>193</v>
      </c>
      <c r="Q198" s="33">
        <f t="shared" ref="Q198:Q205" si="122">IF(P198&lt;=$F$18,LOOKUP(P198-1,$B$25:$B$78,$G$25:$G$78),)</f>
        <v>0</v>
      </c>
      <c r="R198" s="33">
        <f t="shared" si="100"/>
        <v>0</v>
      </c>
      <c r="S198" s="33">
        <f t="shared" si="101"/>
        <v>0</v>
      </c>
      <c r="T198" s="33">
        <f t="shared" si="109"/>
        <v>0</v>
      </c>
      <c r="U198" s="33">
        <f t="shared" ref="U198:U205" si="123">IF(P198&lt;=$F$18,$F$5+($F$15-$F$5)*(1-EXP(-0.0175*P198)),)</f>
        <v>0</v>
      </c>
      <c r="V198" s="33">
        <f t="shared" si="110"/>
        <v>0</v>
      </c>
      <c r="W198" s="33">
        <v>0</v>
      </c>
      <c r="X198" s="33">
        <f t="shared" si="111"/>
        <v>0</v>
      </c>
      <c r="Y198" s="38">
        <f t="shared" si="112"/>
        <v>0</v>
      </c>
      <c r="AA198" s="71">
        <v>193</v>
      </c>
      <c r="AB198" s="33">
        <f t="shared" si="113"/>
        <v>0</v>
      </c>
      <c r="AC198" s="308">
        <f t="shared" si="106"/>
        <v>0</v>
      </c>
      <c r="AD198" s="101">
        <f t="shared" si="114"/>
        <v>0</v>
      </c>
      <c r="AE198" s="101">
        <f t="shared" si="115"/>
        <v>0</v>
      </c>
      <c r="AF198" s="197">
        <f t="shared" si="102"/>
        <v>0</v>
      </c>
      <c r="AG198" s="197">
        <f t="shared" si="103"/>
        <v>0</v>
      </c>
      <c r="AH198" s="197">
        <f t="shared" si="104"/>
        <v>0</v>
      </c>
      <c r="AI198" s="202">
        <f t="shared" si="105"/>
        <v>0</v>
      </c>
      <c r="AK198" s="71">
        <v>193</v>
      </c>
      <c r="AL198" s="33">
        <f t="shared" si="116"/>
        <v>0</v>
      </c>
      <c r="AM198" s="33">
        <f t="shared" si="117"/>
        <v>0</v>
      </c>
      <c r="AN198" s="33">
        <f t="shared" si="118"/>
        <v>0</v>
      </c>
      <c r="AO198" s="33">
        <f t="shared" si="119"/>
        <v>0</v>
      </c>
      <c r="AP198" s="33">
        <f t="shared" si="120"/>
        <v>0</v>
      </c>
      <c r="AQ198" s="197">
        <f t="shared" si="121"/>
        <v>0</v>
      </c>
      <c r="AR198" s="197">
        <f t="shared" si="121"/>
        <v>0</v>
      </c>
      <c r="AS198" s="197">
        <f t="shared" si="121"/>
        <v>0</v>
      </c>
      <c r="AT198" s="197">
        <f t="shared" si="121"/>
        <v>0</v>
      </c>
      <c r="AU198" s="33"/>
      <c r="AV198" s="33"/>
      <c r="AW198" s="33"/>
      <c r="AX198" s="33"/>
      <c r="AY198" s="76"/>
    </row>
    <row r="199" spans="3:51">
      <c r="E199" s="24"/>
      <c r="I199" s="55">
        <v>194</v>
      </c>
      <c r="J199" s="33">
        <f t="shared" ref="J199:J205" si="124">IF($I199&lt;=$F$10,$F$11*$F$13+J198,)</f>
        <v>0</v>
      </c>
      <c r="K199" s="33">
        <f t="shared" ref="K199:K205" si="125">IF(J199=0,0,EXP(-1.0587+0.8836*LN(J199)+0.284))</f>
        <v>0</v>
      </c>
      <c r="L199" s="33">
        <f t="shared" ref="L199:L205" si="126">IF(I199&lt;=$F$10,$F$5+($F$8-$F$5)*(1-EXP(-0.0175*I199)),)</f>
        <v>0</v>
      </c>
      <c r="M199" s="33">
        <f t="shared" ref="M199:M205" si="127">IF(I199&lt;=$F$10,IF(I199&lt;=30,I199*($F$9-$F$6)/30,$F$9-$F$6),)</f>
        <v>0</v>
      </c>
      <c r="N199" s="33">
        <f t="shared" si="107"/>
        <v>0</v>
      </c>
      <c r="O199" s="34">
        <f t="shared" si="108"/>
        <v>0</v>
      </c>
      <c r="P199" s="55">
        <v>194</v>
      </c>
      <c r="Q199" s="33">
        <f t="shared" si="122"/>
        <v>0</v>
      </c>
      <c r="R199" s="33">
        <f t="shared" ref="R199:R205" si="128">IF(P199&lt;=$F$18,Q199+R198,)</f>
        <v>0</v>
      </c>
      <c r="S199" s="33">
        <f t="shared" ref="S199:S205" si="129">$F$19*R199</f>
        <v>0</v>
      </c>
      <c r="T199" s="33">
        <f t="shared" si="109"/>
        <v>0</v>
      </c>
      <c r="U199" s="33">
        <f t="shared" si="123"/>
        <v>0</v>
      </c>
      <c r="V199" s="33">
        <f t="shared" si="110"/>
        <v>0</v>
      </c>
      <c r="W199" s="33">
        <v>0</v>
      </c>
      <c r="X199" s="33">
        <f t="shared" si="111"/>
        <v>0</v>
      </c>
      <c r="Y199" s="38">
        <f t="shared" si="112"/>
        <v>0</v>
      </c>
      <c r="AA199" s="71">
        <v>194</v>
      </c>
      <c r="AB199" s="33">
        <f t="shared" si="113"/>
        <v>0</v>
      </c>
      <c r="AC199" s="308">
        <f t="shared" si="106"/>
        <v>0</v>
      </c>
      <c r="AD199" s="101">
        <f t="shared" si="114"/>
        <v>0</v>
      </c>
      <c r="AE199" s="101">
        <f t="shared" si="115"/>
        <v>0</v>
      </c>
      <c r="AF199" s="197">
        <f t="shared" si="102"/>
        <v>0</v>
      </c>
      <c r="AG199" s="197">
        <f t="shared" si="103"/>
        <v>0</v>
      </c>
      <c r="AH199" s="197">
        <f t="shared" si="104"/>
        <v>0</v>
      </c>
      <c r="AI199" s="202">
        <f t="shared" si="105"/>
        <v>0</v>
      </c>
      <c r="AK199" s="71">
        <v>194</v>
      </c>
      <c r="AL199" s="33">
        <f t="shared" si="116"/>
        <v>0</v>
      </c>
      <c r="AM199" s="33">
        <f t="shared" si="117"/>
        <v>0</v>
      </c>
      <c r="AN199" s="33">
        <f t="shared" si="118"/>
        <v>0</v>
      </c>
      <c r="AO199" s="33">
        <f t="shared" si="119"/>
        <v>0</v>
      </c>
      <c r="AP199" s="33">
        <f t="shared" si="120"/>
        <v>0</v>
      </c>
      <c r="AQ199" s="197">
        <f t="shared" si="121"/>
        <v>0</v>
      </c>
      <c r="AR199" s="197">
        <f t="shared" si="121"/>
        <v>0</v>
      </c>
      <c r="AS199" s="197">
        <f t="shared" si="121"/>
        <v>0</v>
      </c>
      <c r="AT199" s="197">
        <f t="shared" si="121"/>
        <v>0</v>
      </c>
      <c r="AU199" s="33"/>
      <c r="AV199" s="33"/>
      <c r="AW199" s="33"/>
      <c r="AX199" s="33"/>
      <c r="AY199" s="76"/>
    </row>
    <row r="200" spans="3:51">
      <c r="E200" s="24"/>
      <c r="I200" s="55">
        <v>195</v>
      </c>
      <c r="J200" s="33">
        <f t="shared" si="124"/>
        <v>0</v>
      </c>
      <c r="K200" s="33">
        <f t="shared" si="125"/>
        <v>0</v>
      </c>
      <c r="L200" s="33">
        <f t="shared" si="126"/>
        <v>0</v>
      </c>
      <c r="M200" s="33">
        <f t="shared" si="127"/>
        <v>0</v>
      </c>
      <c r="N200" s="33">
        <f t="shared" si="107"/>
        <v>0</v>
      </c>
      <c r="O200" s="34">
        <f t="shared" si="108"/>
        <v>0</v>
      </c>
      <c r="P200" s="55">
        <v>195</v>
      </c>
      <c r="Q200" s="33">
        <f t="shared" si="122"/>
        <v>0</v>
      </c>
      <c r="R200" s="33">
        <f t="shared" si="128"/>
        <v>0</v>
      </c>
      <c r="S200" s="33">
        <f t="shared" si="129"/>
        <v>0</v>
      </c>
      <c r="T200" s="33">
        <f t="shared" si="109"/>
        <v>0</v>
      </c>
      <c r="U200" s="33">
        <f t="shared" si="123"/>
        <v>0</v>
      </c>
      <c r="V200" s="33">
        <f t="shared" si="110"/>
        <v>0</v>
      </c>
      <c r="W200" s="33">
        <v>0</v>
      </c>
      <c r="X200" s="33">
        <f t="shared" si="111"/>
        <v>0</v>
      </c>
      <c r="Y200" s="38">
        <f t="shared" si="112"/>
        <v>0</v>
      </c>
      <c r="AA200" s="71">
        <v>195</v>
      </c>
      <c r="AB200" s="33">
        <f t="shared" si="113"/>
        <v>0</v>
      </c>
      <c r="AC200" s="308">
        <f t="shared" si="106"/>
        <v>0</v>
      </c>
      <c r="AD200" s="101">
        <f t="shared" si="114"/>
        <v>0</v>
      </c>
      <c r="AE200" s="101">
        <f t="shared" si="115"/>
        <v>0</v>
      </c>
      <c r="AF200" s="197">
        <f t="shared" si="102"/>
        <v>0</v>
      </c>
      <c r="AG200" s="197">
        <f t="shared" si="103"/>
        <v>0</v>
      </c>
      <c r="AH200" s="197">
        <f t="shared" si="104"/>
        <v>0</v>
      </c>
      <c r="AI200" s="202">
        <f t="shared" si="105"/>
        <v>0</v>
      </c>
      <c r="AK200" s="71">
        <v>195</v>
      </c>
      <c r="AL200" s="33">
        <f t="shared" si="116"/>
        <v>0</v>
      </c>
      <c r="AM200" s="33">
        <f t="shared" si="117"/>
        <v>0</v>
      </c>
      <c r="AN200" s="33">
        <f t="shared" si="118"/>
        <v>0</v>
      </c>
      <c r="AO200" s="33">
        <f t="shared" si="119"/>
        <v>0</v>
      </c>
      <c r="AP200" s="33">
        <f t="shared" si="120"/>
        <v>0</v>
      </c>
      <c r="AQ200" s="197">
        <f t="shared" si="121"/>
        <v>0</v>
      </c>
      <c r="AR200" s="197">
        <f t="shared" si="121"/>
        <v>0</v>
      </c>
      <c r="AS200" s="197">
        <f t="shared" si="121"/>
        <v>0</v>
      </c>
      <c r="AT200" s="197">
        <f t="shared" si="121"/>
        <v>0</v>
      </c>
      <c r="AU200" s="33"/>
      <c r="AV200" s="33"/>
      <c r="AW200" s="33"/>
      <c r="AX200" s="33"/>
      <c r="AY200" s="76"/>
    </row>
    <row r="201" spans="3:51">
      <c r="E201" s="24"/>
      <c r="I201" s="55">
        <v>196</v>
      </c>
      <c r="J201" s="33">
        <f t="shared" si="124"/>
        <v>0</v>
      </c>
      <c r="K201" s="33">
        <f t="shared" si="125"/>
        <v>0</v>
      </c>
      <c r="L201" s="33">
        <f t="shared" si="126"/>
        <v>0</v>
      </c>
      <c r="M201" s="33">
        <f t="shared" si="127"/>
        <v>0</v>
      </c>
      <c r="N201" s="33">
        <f t="shared" si="107"/>
        <v>0</v>
      </c>
      <c r="O201" s="34">
        <f t="shared" si="108"/>
        <v>0</v>
      </c>
      <c r="P201" s="55">
        <v>196</v>
      </c>
      <c r="Q201" s="33">
        <f t="shared" si="122"/>
        <v>0</v>
      </c>
      <c r="R201" s="33">
        <f t="shared" si="128"/>
        <v>0</v>
      </c>
      <c r="S201" s="33">
        <f t="shared" si="129"/>
        <v>0</v>
      </c>
      <c r="T201" s="33">
        <f t="shared" si="109"/>
        <v>0</v>
      </c>
      <c r="U201" s="33">
        <f t="shared" si="123"/>
        <v>0</v>
      </c>
      <c r="V201" s="33">
        <f t="shared" si="110"/>
        <v>0</v>
      </c>
      <c r="W201" s="33">
        <v>0</v>
      </c>
      <c r="X201" s="33">
        <f t="shared" si="111"/>
        <v>0</v>
      </c>
      <c r="Y201" s="38">
        <f t="shared" si="112"/>
        <v>0</v>
      </c>
      <c r="AA201" s="71">
        <v>196</v>
      </c>
      <c r="AB201" s="33">
        <f t="shared" si="113"/>
        <v>0</v>
      </c>
      <c r="AC201" s="308">
        <f t="shared" si="106"/>
        <v>0</v>
      </c>
      <c r="AD201" s="101">
        <f t="shared" si="114"/>
        <v>0</v>
      </c>
      <c r="AE201" s="101">
        <f t="shared" si="115"/>
        <v>0</v>
      </c>
      <c r="AF201" s="197">
        <f t="shared" si="102"/>
        <v>0</v>
      </c>
      <c r="AG201" s="197">
        <f t="shared" si="103"/>
        <v>0</v>
      </c>
      <c r="AH201" s="197">
        <f t="shared" si="104"/>
        <v>0</v>
      </c>
      <c r="AI201" s="202">
        <f t="shared" si="105"/>
        <v>0</v>
      </c>
      <c r="AK201" s="71">
        <v>196</v>
      </c>
      <c r="AL201" s="33">
        <f t="shared" si="116"/>
        <v>0</v>
      </c>
      <c r="AM201" s="33">
        <f t="shared" si="117"/>
        <v>0</v>
      </c>
      <c r="AN201" s="33">
        <f t="shared" si="118"/>
        <v>0</v>
      </c>
      <c r="AO201" s="33">
        <f t="shared" si="119"/>
        <v>0</v>
      </c>
      <c r="AP201" s="33">
        <f t="shared" si="120"/>
        <v>0</v>
      </c>
      <c r="AQ201" s="197">
        <f t="shared" si="121"/>
        <v>0</v>
      </c>
      <c r="AR201" s="197">
        <f t="shared" si="121"/>
        <v>0</v>
      </c>
      <c r="AS201" s="197">
        <f t="shared" si="121"/>
        <v>0</v>
      </c>
      <c r="AT201" s="197">
        <f t="shared" si="121"/>
        <v>0</v>
      </c>
      <c r="AU201" s="33"/>
      <c r="AV201" s="33"/>
      <c r="AW201" s="33"/>
      <c r="AX201" s="33"/>
      <c r="AY201" s="76"/>
    </row>
    <row r="202" spans="3:51">
      <c r="E202" s="24"/>
      <c r="I202" s="55">
        <v>197</v>
      </c>
      <c r="J202" s="33">
        <f t="shared" si="124"/>
        <v>0</v>
      </c>
      <c r="K202" s="33">
        <f t="shared" si="125"/>
        <v>0</v>
      </c>
      <c r="L202" s="33">
        <f t="shared" si="126"/>
        <v>0</v>
      </c>
      <c r="M202" s="33">
        <f t="shared" si="127"/>
        <v>0</v>
      </c>
      <c r="N202" s="33">
        <f t="shared" si="107"/>
        <v>0</v>
      </c>
      <c r="O202" s="34">
        <f t="shared" si="108"/>
        <v>0</v>
      </c>
      <c r="P202" s="55">
        <v>197</v>
      </c>
      <c r="Q202" s="33">
        <f t="shared" si="122"/>
        <v>0</v>
      </c>
      <c r="R202" s="33">
        <f t="shared" si="128"/>
        <v>0</v>
      </c>
      <c r="S202" s="33">
        <f t="shared" si="129"/>
        <v>0</v>
      </c>
      <c r="T202" s="33">
        <f t="shared" si="109"/>
        <v>0</v>
      </c>
      <c r="U202" s="33">
        <f t="shared" si="123"/>
        <v>0</v>
      </c>
      <c r="V202" s="33">
        <f t="shared" si="110"/>
        <v>0</v>
      </c>
      <c r="W202" s="33">
        <v>0</v>
      </c>
      <c r="X202" s="33">
        <f t="shared" si="111"/>
        <v>0</v>
      </c>
      <c r="Y202" s="38">
        <f t="shared" si="112"/>
        <v>0</v>
      </c>
      <c r="AA202" s="71">
        <v>197</v>
      </c>
      <c r="AB202" s="33">
        <f t="shared" si="113"/>
        <v>0</v>
      </c>
      <c r="AC202" s="308">
        <f t="shared" si="106"/>
        <v>0</v>
      </c>
      <c r="AD202" s="101">
        <f t="shared" si="114"/>
        <v>0</v>
      </c>
      <c r="AE202" s="101">
        <f t="shared" si="115"/>
        <v>0</v>
      </c>
      <c r="AF202" s="197">
        <f t="shared" si="102"/>
        <v>0</v>
      </c>
      <c r="AG202" s="197">
        <f t="shared" si="103"/>
        <v>0</v>
      </c>
      <c r="AH202" s="197">
        <f t="shared" si="104"/>
        <v>0</v>
      </c>
      <c r="AI202" s="202">
        <f t="shared" si="105"/>
        <v>0</v>
      </c>
      <c r="AK202" s="71">
        <v>197</v>
      </c>
      <c r="AL202" s="33">
        <f t="shared" si="116"/>
        <v>0</v>
      </c>
      <c r="AM202" s="33">
        <f t="shared" si="117"/>
        <v>0</v>
      </c>
      <c r="AN202" s="33">
        <f t="shared" si="118"/>
        <v>0</v>
      </c>
      <c r="AO202" s="33">
        <f t="shared" si="119"/>
        <v>0</v>
      </c>
      <c r="AP202" s="33">
        <f t="shared" si="120"/>
        <v>0</v>
      </c>
      <c r="AQ202" s="197">
        <f t="shared" si="121"/>
        <v>0</v>
      </c>
      <c r="AR202" s="197">
        <f t="shared" si="121"/>
        <v>0</v>
      </c>
      <c r="AS202" s="197">
        <f t="shared" si="121"/>
        <v>0</v>
      </c>
      <c r="AT202" s="197">
        <f t="shared" si="121"/>
        <v>0</v>
      </c>
      <c r="AU202" s="33"/>
      <c r="AV202" s="33"/>
      <c r="AW202" s="33"/>
      <c r="AX202" s="33"/>
      <c r="AY202" s="76"/>
    </row>
    <row r="203" spans="3:51">
      <c r="E203" s="24"/>
      <c r="I203" s="55">
        <v>198</v>
      </c>
      <c r="J203" s="33">
        <f t="shared" si="124"/>
        <v>0</v>
      </c>
      <c r="K203" s="33">
        <f t="shared" si="125"/>
        <v>0</v>
      </c>
      <c r="L203" s="33">
        <f t="shared" si="126"/>
        <v>0</v>
      </c>
      <c r="M203" s="33">
        <f t="shared" si="127"/>
        <v>0</v>
      </c>
      <c r="N203" s="33">
        <f t="shared" si="107"/>
        <v>0</v>
      </c>
      <c r="O203" s="34">
        <f t="shared" si="108"/>
        <v>0</v>
      </c>
      <c r="P203" s="55">
        <v>198</v>
      </c>
      <c r="Q203" s="33">
        <f t="shared" si="122"/>
        <v>0</v>
      </c>
      <c r="R203" s="33">
        <f t="shared" si="128"/>
        <v>0</v>
      </c>
      <c r="S203" s="33">
        <f t="shared" si="129"/>
        <v>0</v>
      </c>
      <c r="T203" s="33">
        <f t="shared" si="109"/>
        <v>0</v>
      </c>
      <c r="U203" s="33">
        <f t="shared" si="123"/>
        <v>0</v>
      </c>
      <c r="V203" s="33">
        <f t="shared" si="110"/>
        <v>0</v>
      </c>
      <c r="W203" s="33">
        <v>0</v>
      </c>
      <c r="X203" s="33">
        <f t="shared" si="111"/>
        <v>0</v>
      </c>
      <c r="Y203" s="38">
        <f t="shared" si="112"/>
        <v>0</v>
      </c>
      <c r="AA203" s="71">
        <v>198</v>
      </c>
      <c r="AB203" s="33">
        <f t="shared" si="113"/>
        <v>0</v>
      </c>
      <c r="AC203" s="308">
        <f t="shared" si="106"/>
        <v>0</v>
      </c>
      <c r="AD203" s="101">
        <f t="shared" si="114"/>
        <v>0</v>
      </c>
      <c r="AE203" s="101">
        <f t="shared" si="115"/>
        <v>0</v>
      </c>
      <c r="AF203" s="197">
        <f t="shared" si="102"/>
        <v>0</v>
      </c>
      <c r="AG203" s="197">
        <f t="shared" si="103"/>
        <v>0</v>
      </c>
      <c r="AH203" s="197">
        <f t="shared" si="104"/>
        <v>0</v>
      </c>
      <c r="AI203" s="202">
        <f t="shared" si="105"/>
        <v>0</v>
      </c>
      <c r="AK203" s="71">
        <v>198</v>
      </c>
      <c r="AL203" s="33">
        <f t="shared" si="116"/>
        <v>0</v>
      </c>
      <c r="AM203" s="33">
        <f t="shared" si="117"/>
        <v>0</v>
      </c>
      <c r="AN203" s="33">
        <f t="shared" si="118"/>
        <v>0</v>
      </c>
      <c r="AO203" s="33">
        <f t="shared" si="119"/>
        <v>0</v>
      </c>
      <c r="AP203" s="33">
        <f t="shared" si="120"/>
        <v>0</v>
      </c>
      <c r="AQ203" s="197">
        <f t="shared" si="121"/>
        <v>0</v>
      </c>
      <c r="AR203" s="197">
        <f t="shared" si="121"/>
        <v>0</v>
      </c>
      <c r="AS203" s="197">
        <f t="shared" si="121"/>
        <v>0</v>
      </c>
      <c r="AT203" s="197">
        <f t="shared" si="121"/>
        <v>0</v>
      </c>
      <c r="AU203" s="33"/>
      <c r="AV203" s="33"/>
      <c r="AW203" s="33"/>
      <c r="AX203" s="33"/>
      <c r="AY203" s="76"/>
    </row>
    <row r="204" spans="3:51">
      <c r="E204" s="24"/>
      <c r="I204" s="55">
        <v>199</v>
      </c>
      <c r="J204" s="33">
        <f t="shared" si="124"/>
        <v>0</v>
      </c>
      <c r="K204" s="33">
        <f t="shared" si="125"/>
        <v>0</v>
      </c>
      <c r="L204" s="33">
        <f t="shared" si="126"/>
        <v>0</v>
      </c>
      <c r="M204" s="33">
        <f t="shared" si="127"/>
        <v>0</v>
      </c>
      <c r="N204" s="33">
        <f t="shared" si="107"/>
        <v>0</v>
      </c>
      <c r="O204" s="34">
        <f t="shared" si="108"/>
        <v>0</v>
      </c>
      <c r="P204" s="55">
        <v>199</v>
      </c>
      <c r="Q204" s="33">
        <f t="shared" si="122"/>
        <v>0</v>
      </c>
      <c r="R204" s="33">
        <f t="shared" si="128"/>
        <v>0</v>
      </c>
      <c r="S204" s="33">
        <f t="shared" si="129"/>
        <v>0</v>
      </c>
      <c r="T204" s="33">
        <f t="shared" si="109"/>
        <v>0</v>
      </c>
      <c r="U204" s="33">
        <f t="shared" si="123"/>
        <v>0</v>
      </c>
      <c r="V204" s="33">
        <f t="shared" si="110"/>
        <v>0</v>
      </c>
      <c r="W204" s="33">
        <v>0</v>
      </c>
      <c r="X204" s="33">
        <f t="shared" si="111"/>
        <v>0</v>
      </c>
      <c r="Y204" s="38">
        <f t="shared" si="112"/>
        <v>0</v>
      </c>
      <c r="AA204" s="71">
        <v>199</v>
      </c>
      <c r="AB204" s="33">
        <f t="shared" si="113"/>
        <v>0</v>
      </c>
      <c r="AC204" s="308">
        <f t="shared" si="106"/>
        <v>0</v>
      </c>
      <c r="AD204" s="101">
        <f t="shared" si="114"/>
        <v>0</v>
      </c>
      <c r="AE204" s="101">
        <f t="shared" si="115"/>
        <v>0</v>
      </c>
      <c r="AF204" s="197">
        <f t="shared" si="102"/>
        <v>0</v>
      </c>
      <c r="AG204" s="197">
        <f t="shared" si="103"/>
        <v>0</v>
      </c>
      <c r="AH204" s="197">
        <f t="shared" si="104"/>
        <v>0</v>
      </c>
      <c r="AI204" s="202">
        <f t="shared" si="105"/>
        <v>0</v>
      </c>
      <c r="AK204" s="71">
        <v>199</v>
      </c>
      <c r="AL204" s="33">
        <f t="shared" si="116"/>
        <v>0</v>
      </c>
      <c r="AM204" s="33">
        <f t="shared" si="117"/>
        <v>0</v>
      </c>
      <c r="AN204" s="33">
        <f t="shared" si="118"/>
        <v>0</v>
      </c>
      <c r="AO204" s="33">
        <f t="shared" si="119"/>
        <v>0</v>
      </c>
      <c r="AP204" s="33">
        <f t="shared" si="120"/>
        <v>0</v>
      </c>
      <c r="AQ204" s="197">
        <f t="shared" si="121"/>
        <v>0</v>
      </c>
      <c r="AR204" s="197">
        <f t="shared" si="121"/>
        <v>0</v>
      </c>
      <c r="AS204" s="197">
        <f t="shared" si="121"/>
        <v>0</v>
      </c>
      <c r="AT204" s="197">
        <f t="shared" si="121"/>
        <v>0</v>
      </c>
      <c r="AU204" s="33"/>
      <c r="AV204" s="33"/>
      <c r="AW204" s="33"/>
      <c r="AX204" s="33"/>
      <c r="AY204" s="76"/>
    </row>
    <row r="205" spans="3:51">
      <c r="E205" s="24"/>
      <c r="I205" s="56">
        <v>200</v>
      </c>
      <c r="J205" s="33">
        <f t="shared" si="124"/>
        <v>0</v>
      </c>
      <c r="K205" s="33">
        <f t="shared" si="125"/>
        <v>0</v>
      </c>
      <c r="L205" s="33">
        <f t="shared" si="126"/>
        <v>0</v>
      </c>
      <c r="M205" s="33">
        <f t="shared" si="127"/>
        <v>0</v>
      </c>
      <c r="N205" s="35">
        <f>IF(F208&lt;=$F$18,0,)</f>
        <v>0</v>
      </c>
      <c r="O205" s="34">
        <f t="shared" si="108"/>
        <v>0</v>
      </c>
      <c r="P205" s="56">
        <v>200</v>
      </c>
      <c r="Q205" s="35">
        <f t="shared" si="122"/>
        <v>0</v>
      </c>
      <c r="R205" s="35">
        <f t="shared" si="128"/>
        <v>0</v>
      </c>
      <c r="S205" s="35">
        <f t="shared" si="129"/>
        <v>0</v>
      </c>
      <c r="T205" s="35">
        <f t="shared" si="109"/>
        <v>0</v>
      </c>
      <c r="U205" s="35">
        <f t="shared" si="123"/>
        <v>0</v>
      </c>
      <c r="V205" s="35">
        <f t="shared" si="110"/>
        <v>0</v>
      </c>
      <c r="W205" s="35">
        <v>0</v>
      </c>
      <c r="X205" s="158">
        <f t="shared" si="111"/>
        <v>0</v>
      </c>
      <c r="Y205" s="39">
        <f t="shared" si="112"/>
        <v>0</v>
      </c>
      <c r="AA205" s="72">
        <v>200</v>
      </c>
      <c r="AB205" s="146">
        <f t="shared" si="113"/>
        <v>0</v>
      </c>
      <c r="AC205" s="308">
        <f t="shared" si="106"/>
        <v>0</v>
      </c>
      <c r="AD205" s="102">
        <f t="shared" si="114"/>
        <v>0</v>
      </c>
      <c r="AE205" s="102">
        <f t="shared" si="115"/>
        <v>0</v>
      </c>
      <c r="AF205" s="199">
        <f t="shared" si="102"/>
        <v>0</v>
      </c>
      <c r="AG205" s="199">
        <f t="shared" si="103"/>
        <v>0</v>
      </c>
      <c r="AH205" s="199">
        <f t="shared" si="104"/>
        <v>0</v>
      </c>
      <c r="AI205" s="206">
        <f t="shared" si="105"/>
        <v>0</v>
      </c>
      <c r="AK205" s="72">
        <v>200</v>
      </c>
      <c r="AL205" s="146">
        <f t="shared" si="116"/>
        <v>0</v>
      </c>
      <c r="AM205" s="35">
        <f t="shared" si="117"/>
        <v>0</v>
      </c>
      <c r="AN205" s="35">
        <f t="shared" si="118"/>
        <v>0</v>
      </c>
      <c r="AO205" s="35">
        <f t="shared" si="119"/>
        <v>0</v>
      </c>
      <c r="AP205" s="35">
        <f t="shared" si="120"/>
        <v>0</v>
      </c>
      <c r="AQ205" s="199">
        <f t="shared" si="121"/>
        <v>0</v>
      </c>
      <c r="AR205" s="199">
        <f t="shared" si="121"/>
        <v>0</v>
      </c>
      <c r="AS205" s="199">
        <f t="shared" si="121"/>
        <v>0</v>
      </c>
      <c r="AT205" s="199">
        <f t="shared" si="121"/>
        <v>0</v>
      </c>
      <c r="AU205" s="35"/>
      <c r="AV205" s="35"/>
      <c r="AW205" s="35"/>
      <c r="AX205" s="35"/>
      <c r="AY205" s="77"/>
    </row>
    <row r="206" spans="3:51">
      <c r="E206" s="24"/>
    </row>
    <row r="207" spans="3:51">
      <c r="E207" s="24"/>
    </row>
  </sheetData>
  <mergeCells count="29">
    <mergeCell ref="P3:X3"/>
    <mergeCell ref="AA3:AI3"/>
    <mergeCell ref="AK3:AY3"/>
    <mergeCell ref="B5:B6"/>
    <mergeCell ref="D5:E5"/>
    <mergeCell ref="D6:E6"/>
    <mergeCell ref="D10:E10"/>
    <mergeCell ref="D11:E11"/>
    <mergeCell ref="D12:E12"/>
    <mergeCell ref="D13:E13"/>
    <mergeCell ref="I3:O3"/>
    <mergeCell ref="B4:F4"/>
    <mergeCell ref="B7:B13"/>
    <mergeCell ref="C7:F7"/>
    <mergeCell ref="D8:E8"/>
    <mergeCell ref="D9:E9"/>
    <mergeCell ref="C10:C1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4">
    <dataValidation type="list" allowBlank="1" showInputMessage="1" showErrorMessage="1" sqref="D81:G81" xr:uid="{00000000-0002-0000-0300-000000000000}">
      <formula1>$B$104:$B$108</formula1>
    </dataValidation>
    <dataValidation type="list" allowBlank="1" showInputMessage="1" showErrorMessage="1" sqref="D8:E8 D5:E5 D15" xr:uid="{00000000-0002-0000-0300-000001000000}">
      <formula1>$B$97:$B$100</formula1>
    </dataValidation>
    <dataValidation type="list" allowBlank="1" showInputMessage="1" showErrorMessage="1" sqref="F12" xr:uid="{00000000-0002-0000-0300-000002000000}">
      <formula1>$C$194:$C$195</formula1>
    </dataValidation>
    <dataValidation type="list" allowBlank="1" showInputMessage="1" showErrorMessage="1" sqref="F17" xr:uid="{00000000-0002-0000-0300-000003000000}">
      <formula1>$C$130:$C$195</formula1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79998168889431442"/>
  </sheetPr>
  <dimension ref="A3:BC207"/>
  <sheetViews>
    <sheetView zoomScale="85" zoomScaleNormal="85" workbookViewId="0">
      <selection activeCell="F22" sqref="F22"/>
    </sheetView>
  </sheetViews>
  <sheetFormatPr baseColWidth="10" defaultRowHeight="15"/>
  <cols>
    <col min="3" max="5" width="13.6640625" customWidth="1"/>
    <col min="6" max="6" width="16.5" style="26" customWidth="1"/>
    <col min="7" max="7" width="14.5" style="24" customWidth="1"/>
    <col min="8" max="8" width="11.5" style="24"/>
    <col min="9" max="9" width="10.5" style="24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4" customWidth="1"/>
    <col min="47" max="51" width="10.5" customWidth="1"/>
    <col min="52" max="52" width="11.5" style="163"/>
    <col min="54" max="54" width="19.33203125" customWidth="1"/>
  </cols>
  <sheetData>
    <row r="3" spans="2:52" ht="16">
      <c r="I3" s="381" t="s">
        <v>172</v>
      </c>
      <c r="J3" s="382"/>
      <c r="K3" s="382"/>
      <c r="L3" s="382"/>
      <c r="M3" s="382"/>
      <c r="N3" s="382"/>
      <c r="O3" s="383"/>
      <c r="P3" s="384" t="s">
        <v>144</v>
      </c>
      <c r="Q3" s="385"/>
      <c r="R3" s="385"/>
      <c r="S3" s="385"/>
      <c r="T3" s="385"/>
      <c r="U3" s="385"/>
      <c r="V3" s="385"/>
      <c r="W3" s="385"/>
      <c r="X3" s="386"/>
      <c r="Y3" s="90"/>
      <c r="Z3" s="90"/>
      <c r="AA3" s="372" t="s">
        <v>159</v>
      </c>
      <c r="AB3" s="373"/>
      <c r="AC3" s="373"/>
      <c r="AD3" s="373"/>
      <c r="AE3" s="373"/>
      <c r="AF3" s="373"/>
      <c r="AG3" s="373"/>
      <c r="AH3" s="373"/>
      <c r="AI3" s="374"/>
      <c r="AJ3" s="90"/>
      <c r="AK3" s="372" t="s">
        <v>171</v>
      </c>
      <c r="AL3" s="373"/>
      <c r="AM3" s="373"/>
      <c r="AN3" s="373"/>
      <c r="AO3" s="373"/>
      <c r="AP3" s="373"/>
      <c r="AQ3" s="373"/>
      <c r="AR3" s="373"/>
      <c r="AS3" s="373"/>
      <c r="AT3" s="373"/>
      <c r="AU3" s="373"/>
      <c r="AV3" s="373"/>
      <c r="AW3" s="373"/>
      <c r="AX3" s="373"/>
      <c r="AY3" s="374"/>
    </row>
    <row r="4" spans="2:52" ht="45" customHeight="1">
      <c r="B4" s="376" t="s">
        <v>173</v>
      </c>
      <c r="C4" s="376"/>
      <c r="D4" s="376"/>
      <c r="E4" s="376"/>
      <c r="F4" s="376"/>
      <c r="I4" s="59" t="s">
        <v>76</v>
      </c>
      <c r="J4" s="60" t="s">
        <v>108</v>
      </c>
      <c r="K4" s="60" t="s">
        <v>109</v>
      </c>
      <c r="L4" s="60" t="s">
        <v>72</v>
      </c>
      <c r="M4" s="60" t="s">
        <v>110</v>
      </c>
      <c r="N4" s="60" t="s">
        <v>111</v>
      </c>
      <c r="O4" s="88" t="s">
        <v>113</v>
      </c>
      <c r="P4" s="59" t="s">
        <v>76</v>
      </c>
      <c r="Q4" s="61" t="s">
        <v>118</v>
      </c>
      <c r="R4" s="61" t="s">
        <v>119</v>
      </c>
      <c r="S4" s="62" t="s">
        <v>105</v>
      </c>
      <c r="T4" s="63" t="s">
        <v>104</v>
      </c>
      <c r="U4" s="60" t="s">
        <v>3</v>
      </c>
      <c r="V4" s="60" t="s">
        <v>106</v>
      </c>
      <c r="W4" s="60" t="s">
        <v>107</v>
      </c>
      <c r="X4" s="89" t="s">
        <v>112</v>
      </c>
      <c r="Y4" s="66" t="s">
        <v>120</v>
      </c>
      <c r="AA4" s="70" t="s">
        <v>76</v>
      </c>
      <c r="AB4" s="61" t="s">
        <v>146</v>
      </c>
      <c r="AC4" s="62" t="s">
        <v>147</v>
      </c>
      <c r="AD4" s="68" t="s">
        <v>148</v>
      </c>
      <c r="AE4" s="64" t="s">
        <v>149</v>
      </c>
      <c r="AF4" s="64" t="s">
        <v>150</v>
      </c>
      <c r="AG4" s="64" t="s">
        <v>151</v>
      </c>
      <c r="AH4" s="64" t="s">
        <v>152</v>
      </c>
      <c r="AI4" s="75" t="s">
        <v>153</v>
      </c>
      <c r="AK4" s="70" t="s">
        <v>76</v>
      </c>
      <c r="AL4" s="61" t="s">
        <v>146</v>
      </c>
      <c r="AM4" s="62" t="s">
        <v>147</v>
      </c>
      <c r="AN4" s="68" t="s">
        <v>148</v>
      </c>
      <c r="AO4" s="64" t="s">
        <v>149</v>
      </c>
      <c r="AP4" s="64" t="s">
        <v>161</v>
      </c>
      <c r="AQ4" s="196" t="s">
        <v>187</v>
      </c>
      <c r="AR4" s="196" t="s">
        <v>188</v>
      </c>
      <c r="AS4" s="196" t="s">
        <v>189</v>
      </c>
      <c r="AT4" s="196" t="s">
        <v>190</v>
      </c>
      <c r="AU4" s="64" t="s">
        <v>162</v>
      </c>
      <c r="AV4" s="64" t="s">
        <v>163</v>
      </c>
      <c r="AW4" s="64" t="s">
        <v>164</v>
      </c>
      <c r="AX4" s="64" t="s">
        <v>165</v>
      </c>
      <c r="AY4" s="75" t="s">
        <v>153</v>
      </c>
      <c r="AZ4" s="200"/>
    </row>
    <row r="5" spans="2:52">
      <c r="B5" s="365" t="s">
        <v>133</v>
      </c>
      <c r="C5" s="91" t="s">
        <v>73</v>
      </c>
      <c r="D5" s="377" t="s">
        <v>2</v>
      </c>
      <c r="E5" s="377"/>
      <c r="F5" s="92">
        <f>IF(D5="","",VLOOKUP(D5,$B$97:$C$100,2,0))</f>
        <v>70</v>
      </c>
      <c r="I5" s="55">
        <v>0</v>
      </c>
      <c r="J5" s="33">
        <v>0</v>
      </c>
      <c r="K5" s="33">
        <v>0</v>
      </c>
      <c r="L5" s="33">
        <v>0</v>
      </c>
      <c r="M5" s="33">
        <f>IF(I5&lt;=$F$10,IF(I5&lt;=30,I5*($F$9-$F$6)/30,$F$9-$F$6),)</f>
        <v>0</v>
      </c>
      <c r="N5" s="33">
        <f t="shared" ref="N5:N68" si="0">IF(P6&lt;=$F$18,0,)</f>
        <v>0</v>
      </c>
      <c r="O5" s="34">
        <f t="shared" ref="O5:O68" si="1">((J5+K5)*0.475+L5+M5+N5)*44/12</f>
        <v>0</v>
      </c>
      <c r="P5" s="55">
        <v>0</v>
      </c>
      <c r="Q5" s="33">
        <v>0</v>
      </c>
      <c r="R5" s="33">
        <v>0</v>
      </c>
      <c r="S5" s="33">
        <f>$F$19*R5</f>
        <v>0</v>
      </c>
      <c r="T5" s="33">
        <f t="shared" ref="T5:T68" si="2">IF(S5=0,0,EXP(-1.0587+0.8836*LN(S5)+0.284))</f>
        <v>0</v>
      </c>
      <c r="U5" s="33">
        <v>0</v>
      </c>
      <c r="V5" s="33">
        <f t="shared" ref="V5:V68" si="3">IF(P5&lt;=$F$18,IF(P5&lt;=30,P5*($F$16-$F$6)/30,$F$16-$F$6),)</f>
        <v>0</v>
      </c>
      <c r="W5" s="33">
        <v>0</v>
      </c>
      <c r="X5" s="33">
        <f t="shared" ref="X5:X68" si="4">((S5+T5)*0.475+U5+V5+W5)*44/12</f>
        <v>0</v>
      </c>
      <c r="Y5" s="38">
        <f t="shared" ref="Y5:Y68" si="5">IF(P5&lt;=$F$18,X5-O5,)</f>
        <v>0</v>
      </c>
      <c r="AA5" s="71">
        <v>0</v>
      </c>
      <c r="AB5" s="33">
        <f t="shared" ref="AB5:AB68" si="6">IF(AA5&lt;=$F$18,IFERROR(VLOOKUP($AA5,$B$82:$G$94,2,FALSE),0),)</f>
        <v>0</v>
      </c>
      <c r="AC5" s="308">
        <f t="shared" ref="AC5:AC29" si="7">IF(AA5&lt;=$F$18,IFERROR(VLOOKUP($AA5,$B$82:$G$94,3,FALSE),0),)*50%</f>
        <v>0</v>
      </c>
      <c r="AD5" s="101">
        <f t="shared" ref="AD5:AD68" si="8">IF(AA5&lt;=$F$18,IFERROR(VLOOKUP($AA5,$B$82:$G$94,4,FALSE),0),)</f>
        <v>0</v>
      </c>
      <c r="AE5" s="101">
        <f t="shared" ref="AE5:AE68" si="9">IF(AA5&lt;=$F$18,IFERROR(VLOOKUP($AA5,$B$82:$G$94,5,FALSE),0),)</f>
        <v>0</v>
      </c>
      <c r="AF5" s="33">
        <v>0</v>
      </c>
      <c r="AG5" s="33">
        <v>0</v>
      </c>
      <c r="AH5" s="33">
        <v>0</v>
      </c>
      <c r="AI5" s="76">
        <f>SUM(AF5:AH5)</f>
        <v>0</v>
      </c>
      <c r="AK5" s="71">
        <v>0</v>
      </c>
      <c r="AL5" s="33">
        <f t="shared" ref="AL5:AL68" si="10">IF(AK5&lt;=$F$18,IFERROR(VLOOKUP($AA5,$B$82:$G$94,2,FALSE),0),)</f>
        <v>0</v>
      </c>
      <c r="AM5" s="33">
        <f t="shared" ref="AM5:AM68" si="11">IF(AK5&lt;=$F$18,IFERROR(VLOOKUP($AA5,$B$82:$G$94,3,FALSE),0),)</f>
        <v>0</v>
      </c>
      <c r="AN5" s="33">
        <f t="shared" ref="AN5:AN68" si="12">IF(AK5&lt;=$F$18,IFERROR(VLOOKUP($AA5,$B$82:$G$94,4,FALSE),0),)</f>
        <v>0</v>
      </c>
      <c r="AO5" s="33">
        <f t="shared" ref="AO5:AO68" si="13">IF(AK5&lt;=$F$18,IFERROR(VLOOKUP($AA5,$B$82:$G$94,5,FALSE),0),)</f>
        <v>0</v>
      </c>
      <c r="AP5" s="33">
        <f t="shared" ref="AP5:AP68" si="14">IF(AK5&lt;=$F$18,IFERROR(VLOOKUP($AA5,$B$82:$G$94,6,FALSE),0),)</f>
        <v>0</v>
      </c>
      <c r="AQ5" s="197">
        <v>0</v>
      </c>
      <c r="AR5" s="197">
        <v>0</v>
      </c>
      <c r="AS5" s="197">
        <v>0</v>
      </c>
      <c r="AT5" s="197">
        <v>0</v>
      </c>
      <c r="AU5" s="33"/>
      <c r="AV5" s="33"/>
      <c r="AW5" s="33"/>
      <c r="AX5" s="33"/>
      <c r="AY5" s="167">
        <v>0</v>
      </c>
    </row>
    <row r="6" spans="2:52">
      <c r="B6" s="366"/>
      <c r="C6" s="99" t="s">
        <v>74</v>
      </c>
      <c r="D6" s="368" t="s">
        <v>260</v>
      </c>
      <c r="E6" s="368"/>
      <c r="F6" s="100">
        <f>VLOOKUP(D5,$B$97:$D$100,3,FALSE)</f>
        <v>0</v>
      </c>
      <c r="I6" s="55">
        <v>1</v>
      </c>
      <c r="J6" s="33">
        <f>IF(D8&lt;&gt;"Cultures",IF($I6&lt;=$F$10,$F$11*$F$13+J5,),5)</f>
        <v>0</v>
      </c>
      <c r="K6" s="33">
        <f>IF(J6=0,0,EXP(-1.0587+0.8836*LN(J6)+0.284))</f>
        <v>0</v>
      </c>
      <c r="L6" s="33">
        <f>IF(I6&lt;=$F$10,$F$5+($F$8-$F$5)*(1-EXP(-0.0175*I6)),)</f>
        <v>70</v>
      </c>
      <c r="M6" s="33">
        <f>IF(I6&lt;=$F$10,IF(I6&lt;=30,I6*($F$9-$F$6)/30,$F$9-$F$6),)</f>
        <v>0</v>
      </c>
      <c r="N6" s="33">
        <f t="shared" si="0"/>
        <v>0</v>
      </c>
      <c r="O6" s="34">
        <f t="shared" si="1"/>
        <v>256.66666666666669</v>
      </c>
      <c r="P6" s="55">
        <v>1</v>
      </c>
      <c r="Q6" s="33">
        <f t="shared" ref="Q6:Q69" si="15">IF(P6&lt;=$F$18,LOOKUP(P6-1,$B$25:$B$78,$G$25:$G$78),)</f>
        <v>2.496</v>
      </c>
      <c r="R6" s="33">
        <f>IF(P6&lt;=$F$18,Q6+R5,)</f>
        <v>2.496</v>
      </c>
      <c r="S6" s="33">
        <f>$F$19*R6</f>
        <v>1.5225599999999999</v>
      </c>
      <c r="T6" s="33">
        <f t="shared" si="2"/>
        <v>0.66815130173631354</v>
      </c>
      <c r="U6" s="33">
        <f t="shared" ref="U6:U69" si="16">IF(P6&lt;=$F$18,$F$5+($F$15-$F$5)*(1-EXP(-0.0175*P6)),)</f>
        <v>70</v>
      </c>
      <c r="V6" s="33">
        <f t="shared" si="3"/>
        <v>0.33333333333333331</v>
      </c>
      <c r="W6" s="33">
        <v>0</v>
      </c>
      <c r="X6" s="33">
        <f t="shared" si="4"/>
        <v>261.70437773941296</v>
      </c>
      <c r="Y6" s="38">
        <f t="shared" si="5"/>
        <v>5.0377110727462764</v>
      </c>
      <c r="AA6" s="71">
        <v>1</v>
      </c>
      <c r="AB6" s="33">
        <f t="shared" si="6"/>
        <v>0</v>
      </c>
      <c r="AC6" s="308">
        <f t="shared" si="7"/>
        <v>0</v>
      </c>
      <c r="AD6" s="101">
        <f t="shared" si="8"/>
        <v>0</v>
      </c>
      <c r="AE6" s="101">
        <f t="shared" si="9"/>
        <v>0</v>
      </c>
      <c r="AF6" s="197">
        <f>IF(OR(AA6&lt;=$F$18,AA6&lt;=30),EXP(-LN(2)/$D$104)*AF5+((1-EXP(-LN(2)/$D$104))/(LN(2)/$D$104))*$AB6*AC6*0.475*$F$19*44/12,)</f>
        <v>0</v>
      </c>
      <c r="AG6" s="197">
        <f>IF(OR(AA6&lt;=$F$18,AA6&lt;=30),EXP(-LN(2)/$D$106)*AG5+((1-EXP(-LN(2)/$D$106))/(LN(2)/$D$106))*$AB6*AD6*0.475*$F$19*44/12,)</f>
        <v>0</v>
      </c>
      <c r="AH6" s="197">
        <f>IF(OR(AA6&lt;=$F$18,AA6&lt;=30),EXP(-LN(2)/$D$105)*AH5+((1-EXP(-LN(2)/$D$105))/(LN(2)/$D$105))*$AB6*AE6*0.475*$F$19*44/12,)</f>
        <v>0</v>
      </c>
      <c r="AI6" s="202">
        <f>IF(OR(AA6&lt;=$F$18,AA6&lt;=30),SUM(AF6:AH6),)</f>
        <v>0</v>
      </c>
      <c r="AK6" s="71">
        <v>1</v>
      </c>
      <c r="AL6" s="33">
        <f t="shared" si="10"/>
        <v>0</v>
      </c>
      <c r="AM6" s="33">
        <f t="shared" si="11"/>
        <v>0</v>
      </c>
      <c r="AN6" s="33">
        <f t="shared" si="12"/>
        <v>0</v>
      </c>
      <c r="AO6" s="33">
        <f t="shared" si="13"/>
        <v>0</v>
      </c>
      <c r="AP6" s="33">
        <f t="shared" si="14"/>
        <v>0</v>
      </c>
      <c r="AQ6" s="197">
        <f t="shared" ref="AQ6:AT24" si="17">IF($AK6&lt;=$F$18,$AL6*AM6,)</f>
        <v>0</v>
      </c>
      <c r="AR6" s="197">
        <f t="shared" si="17"/>
        <v>0</v>
      </c>
      <c r="AS6" s="197">
        <f t="shared" si="17"/>
        <v>0</v>
      </c>
      <c r="AT6" s="197">
        <f t="shared" si="17"/>
        <v>0</v>
      </c>
      <c r="AU6" s="33"/>
      <c r="AV6" s="33"/>
      <c r="AW6" s="33"/>
      <c r="AX6" s="33"/>
      <c r="AY6" s="167">
        <f>IF(OR($AK6&lt;=$F$18,$AK6&lt;=30),AL6*$G$108+AY5,)</f>
        <v>0</v>
      </c>
      <c r="AZ6" s="201"/>
    </row>
    <row r="7" spans="2:52">
      <c r="B7" s="365" t="s">
        <v>134</v>
      </c>
      <c r="C7" s="378"/>
      <c r="D7" s="379"/>
      <c r="E7" s="379"/>
      <c r="F7" s="380"/>
      <c r="I7" s="55">
        <v>2</v>
      </c>
      <c r="J7" s="33">
        <f t="shared" ref="J7:J70" si="18">IF($I7&lt;=$F$10,$F$11*$F$13+J6,)</f>
        <v>0</v>
      </c>
      <c r="K7" s="33">
        <f t="shared" ref="K7:K70" si="19">IF(J7=0,0,EXP(-1.0587+0.8836*LN(J7)+0.284))</f>
        <v>0</v>
      </c>
      <c r="L7" s="33">
        <f t="shared" ref="L7:L70" si="20">IF(I7&lt;=$F$10,$F$5+($F$8-$F$5)*(1-EXP(-0.0175*I7)),)</f>
        <v>70</v>
      </c>
      <c r="M7" s="33">
        <f t="shared" ref="M7:M70" si="21">IF(I7&lt;=$F$10,IF(I7&lt;=30,I7*($F$9-$F$6)/30,$F$9-$F$6),)</f>
        <v>0</v>
      </c>
      <c r="N7" s="33">
        <f t="shared" si="0"/>
        <v>0</v>
      </c>
      <c r="O7" s="34">
        <f t="shared" si="1"/>
        <v>256.66666666666669</v>
      </c>
      <c r="P7" s="55">
        <v>2</v>
      </c>
      <c r="Q7" s="33">
        <f t="shared" si="15"/>
        <v>2.496</v>
      </c>
      <c r="R7" s="33">
        <f t="shared" ref="R7:R70" si="22">IF(P7&lt;=$F$18,Q7+R6,)</f>
        <v>4.992</v>
      </c>
      <c r="S7" s="33">
        <f t="shared" ref="S7:S70" si="23">$F$19*R7</f>
        <v>3.0451199999999998</v>
      </c>
      <c r="T7" s="33">
        <f t="shared" si="2"/>
        <v>1.2327213649471258</v>
      </c>
      <c r="U7" s="33">
        <f t="shared" si="16"/>
        <v>70</v>
      </c>
      <c r="V7" s="33">
        <f t="shared" si="3"/>
        <v>0.66666666666666663</v>
      </c>
      <c r="W7" s="33">
        <v>0</v>
      </c>
      <c r="X7" s="33">
        <f t="shared" si="4"/>
        <v>266.5616848217274</v>
      </c>
      <c r="Y7" s="38">
        <f t="shared" si="5"/>
        <v>9.8950181550607113</v>
      </c>
      <c r="AA7" s="71">
        <v>2</v>
      </c>
      <c r="AB7" s="33">
        <f t="shared" si="6"/>
        <v>0</v>
      </c>
      <c r="AC7" s="308">
        <f t="shared" si="7"/>
        <v>0</v>
      </c>
      <c r="AD7" s="101">
        <f t="shared" si="8"/>
        <v>0</v>
      </c>
      <c r="AE7" s="101">
        <f t="shared" si="9"/>
        <v>0</v>
      </c>
      <c r="AF7" s="197">
        <f>IF(OR(AA7&lt;=$F$18,AA7&lt;=30),EXP(-LN(2)/$D$104)*AF6+((1-EXP(-LN(2)/$D$104))/(LN(2)/$D$104))*$AB7*AC7*0.475*$F$19*44/12,)</f>
        <v>0</v>
      </c>
      <c r="AG7" s="197">
        <f>IF(OR(AA7&lt;=$F$18,AA7&lt;=30),EXP(-LN(2)/$D$106)*AG6+((1-EXP(-LN(2)/$D$106))/(LN(2)/$D$106))*$AB7*AD7*0.475*$F$19*44/12,)</f>
        <v>0</v>
      </c>
      <c r="AH7" s="197">
        <f>IF(OR(AA7&lt;=$F$18,AA7&lt;=30),EXP(-LN(2)/$D$105)*AH6+((1-EXP(-LN(2)/$D$105))/(LN(2)/$D$105))*$AB7*AE7*0.475*$F$19*44/12,)</f>
        <v>0</v>
      </c>
      <c r="AI7" s="202">
        <f>IF(OR(AA7&lt;=$F$18,AA7&lt;=30),SUM(AF7:AH7),)</f>
        <v>0</v>
      </c>
      <c r="AK7" s="71">
        <v>2</v>
      </c>
      <c r="AL7" s="33">
        <f t="shared" si="10"/>
        <v>0</v>
      </c>
      <c r="AM7" s="33">
        <f t="shared" si="11"/>
        <v>0</v>
      </c>
      <c r="AN7" s="33">
        <f t="shared" si="12"/>
        <v>0</v>
      </c>
      <c r="AO7" s="33">
        <f t="shared" si="13"/>
        <v>0</v>
      </c>
      <c r="AP7" s="33">
        <f t="shared" si="14"/>
        <v>0</v>
      </c>
      <c r="AQ7" s="197">
        <f t="shared" si="17"/>
        <v>0</v>
      </c>
      <c r="AR7" s="197">
        <f t="shared" si="17"/>
        <v>0</v>
      </c>
      <c r="AS7" s="197">
        <f t="shared" si="17"/>
        <v>0</v>
      </c>
      <c r="AT7" s="197">
        <f t="shared" si="17"/>
        <v>0</v>
      </c>
      <c r="AU7" s="33"/>
      <c r="AV7" s="33"/>
      <c r="AW7" s="33"/>
      <c r="AX7" s="33"/>
      <c r="AY7" s="167">
        <f t="shared" ref="AY7:AY35" si="24">IF(OR($AK7&lt;=$F$18,$AK7&lt;=30),AL7*$G$108+AY6,)</f>
        <v>0</v>
      </c>
      <c r="AZ7" s="201"/>
    </row>
    <row r="8" spans="2:52">
      <c r="B8" s="375"/>
      <c r="C8" s="93" t="s">
        <v>73</v>
      </c>
      <c r="D8" s="371" t="s">
        <v>2</v>
      </c>
      <c r="E8" s="371"/>
      <c r="F8" s="94">
        <f>IF(D8="","",VLOOKUP(D8,$B$97:$C$100,2,0))</f>
        <v>70</v>
      </c>
      <c r="I8" s="55">
        <v>3</v>
      </c>
      <c r="J8" s="33">
        <f t="shared" si="18"/>
        <v>0</v>
      </c>
      <c r="K8" s="33">
        <f t="shared" si="19"/>
        <v>0</v>
      </c>
      <c r="L8" s="33">
        <f t="shared" si="20"/>
        <v>70</v>
      </c>
      <c r="M8" s="33">
        <f t="shared" si="21"/>
        <v>0</v>
      </c>
      <c r="N8" s="33">
        <f t="shared" si="0"/>
        <v>0</v>
      </c>
      <c r="O8" s="34">
        <f t="shared" si="1"/>
        <v>256.66666666666669</v>
      </c>
      <c r="P8" s="55">
        <v>3</v>
      </c>
      <c r="Q8" s="33">
        <f t="shared" si="15"/>
        <v>2.496</v>
      </c>
      <c r="R8" s="33">
        <f t="shared" si="22"/>
        <v>7.4879999999999995</v>
      </c>
      <c r="S8" s="33">
        <f t="shared" si="23"/>
        <v>4.5676799999999993</v>
      </c>
      <c r="T8" s="33">
        <f t="shared" si="2"/>
        <v>1.763839887567118</v>
      </c>
      <c r="U8" s="33">
        <f t="shared" si="16"/>
        <v>70</v>
      </c>
      <c r="V8" s="33">
        <f t="shared" si="3"/>
        <v>1</v>
      </c>
      <c r="W8" s="33">
        <v>0</v>
      </c>
      <c r="X8" s="33">
        <f t="shared" si="4"/>
        <v>271.36073047084602</v>
      </c>
      <c r="Y8" s="38">
        <f t="shared" si="5"/>
        <v>14.694063804179336</v>
      </c>
      <c r="AA8" s="71">
        <v>3</v>
      </c>
      <c r="AB8" s="33">
        <f t="shared" si="6"/>
        <v>0</v>
      </c>
      <c r="AC8" s="308">
        <f t="shared" si="7"/>
        <v>0</v>
      </c>
      <c r="AD8" s="101">
        <f t="shared" si="8"/>
        <v>0</v>
      </c>
      <c r="AE8" s="101">
        <f t="shared" si="9"/>
        <v>0</v>
      </c>
      <c r="AF8" s="197">
        <f>IF(OR(AA8&lt;=$F$18,AA8&lt;=30),EXP(-LN(2)/$D$104)*AF7+((1-EXP(-LN(2)/$D$104))/(LN(2)/$D$104))*$AB8*AC8*0.475*$F$19*44/12,)</f>
        <v>0</v>
      </c>
      <c r="AG8" s="197">
        <f>IF(OR(AA8&lt;=$F$18,AA8&lt;=30),EXP(-LN(2)/$D$106)*AG7+((1-EXP(-LN(2)/$D$106))/(LN(2)/$D$106))*$AB8*AD8*0.475*$F$19*44/12,)</f>
        <v>0</v>
      </c>
      <c r="AH8" s="197">
        <f>IF(OR(AA8&lt;=$F$18,AA8&lt;=30),EXP(-LN(2)/$D$105)*AH7+((1-EXP(-LN(2)/$D$105))/(LN(2)/$D$105))*$AB8*AE8*0.475*$F$19*44/12,)</f>
        <v>0</v>
      </c>
      <c r="AI8" s="202">
        <f>IF(OR(AA8&lt;=$F$18,AA8&lt;=30),SUM(AF8:AH8),)</f>
        <v>0</v>
      </c>
      <c r="AK8" s="71">
        <v>3</v>
      </c>
      <c r="AL8" s="33">
        <f t="shared" si="10"/>
        <v>0</v>
      </c>
      <c r="AM8" s="33">
        <f t="shared" si="11"/>
        <v>0</v>
      </c>
      <c r="AN8" s="33">
        <f t="shared" si="12"/>
        <v>0</v>
      </c>
      <c r="AO8" s="33">
        <f t="shared" si="13"/>
        <v>0</v>
      </c>
      <c r="AP8" s="33">
        <f t="shared" si="14"/>
        <v>0</v>
      </c>
      <c r="AQ8" s="197">
        <f t="shared" si="17"/>
        <v>0</v>
      </c>
      <c r="AR8" s="197">
        <f t="shared" si="17"/>
        <v>0</v>
      </c>
      <c r="AS8" s="197">
        <f t="shared" si="17"/>
        <v>0</v>
      </c>
      <c r="AT8" s="197">
        <f t="shared" si="17"/>
        <v>0</v>
      </c>
      <c r="AU8" s="33"/>
      <c r="AV8" s="33"/>
      <c r="AW8" s="33"/>
      <c r="AX8" s="33"/>
      <c r="AY8" s="167">
        <f t="shared" si="24"/>
        <v>0</v>
      </c>
      <c r="AZ8" s="201"/>
    </row>
    <row r="9" spans="2:52">
      <c r="B9" s="375"/>
      <c r="C9" s="93" t="s">
        <v>74</v>
      </c>
      <c r="D9" s="367" t="str">
        <f>IF(D8=$B$100,"totale","néant")</f>
        <v>néant</v>
      </c>
      <c r="E9" s="367"/>
      <c r="F9" s="94">
        <f>IF(D8=B100,10,VLOOKUP(D8,$B$97:$D$100,3,FALSE))</f>
        <v>0</v>
      </c>
      <c r="I9" s="55">
        <v>4</v>
      </c>
      <c r="J9" s="33">
        <f t="shared" si="18"/>
        <v>0</v>
      </c>
      <c r="K9" s="33">
        <f t="shared" si="19"/>
        <v>0</v>
      </c>
      <c r="L9" s="33">
        <f t="shared" si="20"/>
        <v>70</v>
      </c>
      <c r="M9" s="33">
        <f t="shared" si="21"/>
        <v>0</v>
      </c>
      <c r="N9" s="33">
        <f t="shared" si="0"/>
        <v>0</v>
      </c>
      <c r="O9" s="34">
        <f t="shared" si="1"/>
        <v>256.66666666666669</v>
      </c>
      <c r="P9" s="55">
        <v>4</v>
      </c>
      <c r="Q9" s="33">
        <f t="shared" si="15"/>
        <v>2.496</v>
      </c>
      <c r="R9" s="33">
        <f t="shared" si="22"/>
        <v>9.984</v>
      </c>
      <c r="S9" s="33">
        <f t="shared" si="23"/>
        <v>6.0902399999999997</v>
      </c>
      <c r="T9" s="33">
        <f t="shared" si="2"/>
        <v>2.2743381022354381</v>
      </c>
      <c r="U9" s="33">
        <f t="shared" si="16"/>
        <v>70</v>
      </c>
      <c r="V9" s="33">
        <f t="shared" si="3"/>
        <v>1.3333333333333333</v>
      </c>
      <c r="W9" s="33">
        <v>0</v>
      </c>
      <c r="X9" s="33">
        <f t="shared" si="4"/>
        <v>276.1238624169489</v>
      </c>
      <c r="Y9" s="38">
        <f t="shared" si="5"/>
        <v>19.45719575028221</v>
      </c>
      <c r="AA9" s="71">
        <v>4</v>
      </c>
      <c r="AB9" s="33">
        <f t="shared" si="6"/>
        <v>0</v>
      </c>
      <c r="AC9" s="308">
        <f t="shared" si="7"/>
        <v>0</v>
      </c>
      <c r="AD9" s="101">
        <f t="shared" si="8"/>
        <v>0</v>
      </c>
      <c r="AE9" s="101">
        <f t="shared" si="9"/>
        <v>0</v>
      </c>
      <c r="AF9" s="197">
        <f>IF(OR(AA9&lt;=$F$18,AA9&lt;=30),EXP(-LN(2)/$D$104)*AF8+((1-EXP(-LN(2)/$D$104))/(LN(2)/$D$104))*$AB9*AC9*0.475*$F$19*44/12,)</f>
        <v>0</v>
      </c>
      <c r="AG9" s="197">
        <f>IF(OR(AA9&lt;=$F$18,AA9&lt;=30),EXP(-LN(2)/$D$106)*AG8+((1-EXP(-LN(2)/$D$106))/(LN(2)/$D$106))*$AB9*AD9*0.475*$F$19*44/12,)</f>
        <v>0</v>
      </c>
      <c r="AH9" s="197">
        <f>IF(OR(AA9&lt;=$F$18,AA9&lt;=30),EXP(-LN(2)/$D$105)*AH8+((1-EXP(-LN(2)/$D$105))/(LN(2)/$D$105))*$AB9*AE9*0.475*$F$19*44/12,)</f>
        <v>0</v>
      </c>
      <c r="AI9" s="202">
        <f>IF(OR(AA9&lt;=$F$18,AA9&lt;=30),SUM(AF9:AH9),)</f>
        <v>0</v>
      </c>
      <c r="AK9" s="71">
        <v>4</v>
      </c>
      <c r="AL9" s="33">
        <f t="shared" si="10"/>
        <v>0</v>
      </c>
      <c r="AM9" s="33">
        <f t="shared" si="11"/>
        <v>0</v>
      </c>
      <c r="AN9" s="33">
        <f t="shared" si="12"/>
        <v>0</v>
      </c>
      <c r="AO9" s="33">
        <f t="shared" si="13"/>
        <v>0</v>
      </c>
      <c r="AP9" s="33">
        <f t="shared" si="14"/>
        <v>0</v>
      </c>
      <c r="AQ9" s="197">
        <f t="shared" si="17"/>
        <v>0</v>
      </c>
      <c r="AR9" s="197">
        <f t="shared" si="17"/>
        <v>0</v>
      </c>
      <c r="AS9" s="197">
        <f t="shared" si="17"/>
        <v>0</v>
      </c>
      <c r="AT9" s="197">
        <f t="shared" si="17"/>
        <v>0</v>
      </c>
      <c r="AU9" s="33"/>
      <c r="AV9" s="33"/>
      <c r="AW9" s="33"/>
      <c r="AX9" s="33"/>
      <c r="AY9" s="167">
        <f t="shared" si="24"/>
        <v>0</v>
      </c>
      <c r="AZ9" s="201"/>
    </row>
    <row r="10" spans="2:52">
      <c r="B10" s="375"/>
      <c r="C10" s="369" t="s">
        <v>124</v>
      </c>
      <c r="D10" s="364" t="s">
        <v>136</v>
      </c>
      <c r="E10" s="364"/>
      <c r="F10" s="95">
        <f>F18</f>
        <v>100</v>
      </c>
      <c r="I10" s="55">
        <v>5</v>
      </c>
      <c r="J10" s="33">
        <f t="shared" si="18"/>
        <v>0</v>
      </c>
      <c r="K10" s="33">
        <f t="shared" si="19"/>
        <v>0</v>
      </c>
      <c r="L10" s="33">
        <f t="shared" si="20"/>
        <v>70</v>
      </c>
      <c r="M10" s="33">
        <f t="shared" si="21"/>
        <v>0</v>
      </c>
      <c r="N10" s="33">
        <f t="shared" si="0"/>
        <v>0</v>
      </c>
      <c r="O10" s="34">
        <f t="shared" si="1"/>
        <v>256.66666666666669</v>
      </c>
      <c r="P10" s="55">
        <v>5</v>
      </c>
      <c r="Q10" s="33">
        <f t="shared" si="15"/>
        <v>2.496</v>
      </c>
      <c r="R10" s="33">
        <f t="shared" si="22"/>
        <v>12.48</v>
      </c>
      <c r="S10" s="33">
        <f t="shared" si="23"/>
        <v>7.6128</v>
      </c>
      <c r="T10" s="33">
        <f t="shared" si="2"/>
        <v>2.7700315442197678</v>
      </c>
      <c r="U10" s="33">
        <f t="shared" si="16"/>
        <v>70</v>
      </c>
      <c r="V10" s="33">
        <f t="shared" si="3"/>
        <v>1.6666666666666667</v>
      </c>
      <c r="W10" s="33">
        <v>0</v>
      </c>
      <c r="X10" s="33">
        <f t="shared" si="4"/>
        <v>280.86120938396056</v>
      </c>
      <c r="Y10" s="38">
        <f t="shared" si="5"/>
        <v>24.194542717293871</v>
      </c>
      <c r="AA10" s="71">
        <v>5</v>
      </c>
      <c r="AB10" s="33">
        <f t="shared" si="6"/>
        <v>0</v>
      </c>
      <c r="AC10" s="308">
        <f t="shared" si="7"/>
        <v>0</v>
      </c>
      <c r="AD10" s="101">
        <f t="shared" si="8"/>
        <v>0</v>
      </c>
      <c r="AE10" s="101">
        <f t="shared" si="9"/>
        <v>0</v>
      </c>
      <c r="AF10" s="197">
        <f t="shared" ref="AF10:AF24" si="25">IF(OR(AA10&lt;=$F$18,AA10&lt;=30),EXP(-LN(2)/$D$104)*AF9+((1-EXP(-LN(2)/$D$104))/(LN(2)/$D$104))*$AB10*AC10*0.475*$F$19*44/12,)</f>
        <v>0</v>
      </c>
      <c r="AG10" s="197">
        <f t="shared" ref="AG10:AG24" si="26">IF(OR(AA10&lt;=$F$18,AA10&lt;=30),EXP(-LN(2)/$D$106)*AG9+((1-EXP(-LN(2)/$D$106))/(LN(2)/$D$106))*$AB10*AD10*0.475*$F$19*44/12,)</f>
        <v>0</v>
      </c>
      <c r="AH10" s="197">
        <f t="shared" ref="AH10:AH24" si="27">IF(OR(AA10&lt;=$F$18,AA10&lt;=30),EXP(-LN(2)/$D$105)*AH9+((1-EXP(-LN(2)/$D$105))/(LN(2)/$D$105))*$AB10*AE10*0.475*$F$19*44/12,)</f>
        <v>0</v>
      </c>
      <c r="AI10" s="202">
        <f t="shared" ref="AI10:AI24" si="28">IF(OR(AA10&lt;=$F$18,AA10&lt;=30),SUM(AF10:AH10),)</f>
        <v>0</v>
      </c>
      <c r="AK10" s="71">
        <v>5</v>
      </c>
      <c r="AL10" s="33">
        <f t="shared" si="10"/>
        <v>0</v>
      </c>
      <c r="AM10" s="33">
        <f t="shared" si="11"/>
        <v>0</v>
      </c>
      <c r="AN10" s="33">
        <f t="shared" si="12"/>
        <v>0</v>
      </c>
      <c r="AO10" s="33">
        <f t="shared" si="13"/>
        <v>0</v>
      </c>
      <c r="AP10" s="33">
        <f t="shared" si="14"/>
        <v>0</v>
      </c>
      <c r="AQ10" s="197">
        <f t="shared" si="17"/>
        <v>0</v>
      </c>
      <c r="AR10" s="197">
        <f t="shared" si="17"/>
        <v>0</v>
      </c>
      <c r="AS10" s="197">
        <f t="shared" si="17"/>
        <v>0</v>
      </c>
      <c r="AT10" s="197">
        <f t="shared" si="17"/>
        <v>0</v>
      </c>
      <c r="AU10" s="33"/>
      <c r="AV10" s="33"/>
      <c r="AW10" s="33"/>
      <c r="AX10" s="33"/>
      <c r="AY10" s="167">
        <f t="shared" si="24"/>
        <v>0</v>
      </c>
      <c r="AZ10" s="201"/>
    </row>
    <row r="11" spans="2:52">
      <c r="B11" s="375"/>
      <c r="C11" s="369"/>
      <c r="D11" s="367" t="s">
        <v>139</v>
      </c>
      <c r="E11" s="367"/>
      <c r="F11" s="36">
        <f>IF(D8=$B$100,1,0)</f>
        <v>0</v>
      </c>
      <c r="I11" s="55">
        <v>6</v>
      </c>
      <c r="J11" s="33">
        <f t="shared" si="18"/>
        <v>0</v>
      </c>
      <c r="K11" s="33">
        <f t="shared" si="19"/>
        <v>0</v>
      </c>
      <c r="L11" s="33">
        <f t="shared" si="20"/>
        <v>70</v>
      </c>
      <c r="M11" s="33">
        <f t="shared" si="21"/>
        <v>0</v>
      </c>
      <c r="N11" s="33">
        <f t="shared" si="0"/>
        <v>0</v>
      </c>
      <c r="O11" s="34">
        <f t="shared" si="1"/>
        <v>256.66666666666669</v>
      </c>
      <c r="P11" s="55">
        <v>6</v>
      </c>
      <c r="Q11" s="33">
        <f t="shared" si="15"/>
        <v>2.496</v>
      </c>
      <c r="R11" s="33">
        <f t="shared" si="22"/>
        <v>14.976000000000001</v>
      </c>
      <c r="S11" s="33">
        <f t="shared" si="23"/>
        <v>9.1353600000000004</v>
      </c>
      <c r="T11" s="33">
        <f t="shared" si="2"/>
        <v>3.2542376376421704</v>
      </c>
      <c r="U11" s="33">
        <f t="shared" si="16"/>
        <v>70</v>
      </c>
      <c r="V11" s="33">
        <f t="shared" si="3"/>
        <v>2</v>
      </c>
      <c r="W11" s="33">
        <v>0</v>
      </c>
      <c r="X11" s="33">
        <f t="shared" si="4"/>
        <v>285.57854921889344</v>
      </c>
      <c r="Y11" s="38">
        <f t="shared" si="5"/>
        <v>28.911882552226757</v>
      </c>
      <c r="AA11" s="71">
        <v>6</v>
      </c>
      <c r="AB11" s="33">
        <f t="shared" si="6"/>
        <v>0</v>
      </c>
      <c r="AC11" s="308">
        <f t="shared" si="7"/>
        <v>0</v>
      </c>
      <c r="AD11" s="101">
        <f t="shared" si="8"/>
        <v>0</v>
      </c>
      <c r="AE11" s="101">
        <f t="shared" si="9"/>
        <v>0</v>
      </c>
      <c r="AF11" s="197">
        <f t="shared" si="25"/>
        <v>0</v>
      </c>
      <c r="AG11" s="197">
        <f t="shared" si="26"/>
        <v>0</v>
      </c>
      <c r="AH11" s="197">
        <f t="shared" si="27"/>
        <v>0</v>
      </c>
      <c r="AI11" s="202">
        <f t="shared" si="28"/>
        <v>0</v>
      </c>
      <c r="AK11" s="71">
        <v>6</v>
      </c>
      <c r="AL11" s="33">
        <f t="shared" si="10"/>
        <v>0</v>
      </c>
      <c r="AM11" s="33">
        <f t="shared" si="11"/>
        <v>0</v>
      </c>
      <c r="AN11" s="33">
        <f t="shared" si="12"/>
        <v>0</v>
      </c>
      <c r="AO11" s="33">
        <f t="shared" si="13"/>
        <v>0</v>
      </c>
      <c r="AP11" s="33">
        <f t="shared" si="14"/>
        <v>0</v>
      </c>
      <c r="AQ11" s="197">
        <f t="shared" si="17"/>
        <v>0</v>
      </c>
      <c r="AR11" s="197">
        <f t="shared" si="17"/>
        <v>0</v>
      </c>
      <c r="AS11" s="197">
        <f t="shared" si="17"/>
        <v>0</v>
      </c>
      <c r="AT11" s="197">
        <f t="shared" si="17"/>
        <v>0</v>
      </c>
      <c r="AU11" s="33"/>
      <c r="AV11" s="33"/>
      <c r="AW11" s="33"/>
      <c r="AX11" s="33"/>
      <c r="AY11" s="167">
        <f t="shared" si="24"/>
        <v>0</v>
      </c>
      <c r="AZ11" s="201"/>
    </row>
    <row r="12" spans="2:52" ht="16">
      <c r="B12" s="375"/>
      <c r="C12" s="369"/>
      <c r="D12" s="364" t="s">
        <v>131</v>
      </c>
      <c r="E12" s="364"/>
      <c r="F12" s="96" t="s">
        <v>70</v>
      </c>
      <c r="I12" s="55">
        <v>7</v>
      </c>
      <c r="J12" s="33">
        <f t="shared" si="18"/>
        <v>0</v>
      </c>
      <c r="K12" s="33">
        <f t="shared" si="19"/>
        <v>0</v>
      </c>
      <c r="L12" s="33">
        <f t="shared" si="20"/>
        <v>70</v>
      </c>
      <c r="M12" s="33">
        <f t="shared" si="21"/>
        <v>0</v>
      </c>
      <c r="N12" s="33">
        <f t="shared" si="0"/>
        <v>0</v>
      </c>
      <c r="O12" s="34">
        <f t="shared" si="1"/>
        <v>256.66666666666669</v>
      </c>
      <c r="P12" s="55">
        <v>7</v>
      </c>
      <c r="Q12" s="33">
        <f t="shared" si="15"/>
        <v>2.496</v>
      </c>
      <c r="R12" s="33">
        <f t="shared" si="22"/>
        <v>17.472000000000001</v>
      </c>
      <c r="S12" s="33">
        <f t="shared" si="23"/>
        <v>10.657920000000001</v>
      </c>
      <c r="T12" s="33">
        <f t="shared" si="2"/>
        <v>3.7290949975640704</v>
      </c>
      <c r="U12" s="33">
        <f t="shared" si="16"/>
        <v>70</v>
      </c>
      <c r="V12" s="33">
        <f t="shared" si="3"/>
        <v>2.3333333333333335</v>
      </c>
      <c r="W12" s="33">
        <v>0</v>
      </c>
      <c r="X12" s="33">
        <f t="shared" si="4"/>
        <v>290.27960667631299</v>
      </c>
      <c r="Y12" s="38">
        <f t="shared" si="5"/>
        <v>33.612940009646309</v>
      </c>
      <c r="AA12" s="71">
        <v>7</v>
      </c>
      <c r="AB12" s="33">
        <f t="shared" si="6"/>
        <v>0</v>
      </c>
      <c r="AC12" s="308">
        <f t="shared" si="7"/>
        <v>0</v>
      </c>
      <c r="AD12" s="101">
        <f t="shared" si="8"/>
        <v>0</v>
      </c>
      <c r="AE12" s="101">
        <f t="shared" si="9"/>
        <v>0</v>
      </c>
      <c r="AF12" s="197">
        <f t="shared" si="25"/>
        <v>0</v>
      </c>
      <c r="AG12" s="197">
        <f t="shared" si="26"/>
        <v>0</v>
      </c>
      <c r="AH12" s="197">
        <f t="shared" si="27"/>
        <v>0</v>
      </c>
      <c r="AI12" s="202">
        <f t="shared" si="28"/>
        <v>0</v>
      </c>
      <c r="AK12" s="71">
        <v>7</v>
      </c>
      <c r="AL12" s="33">
        <f t="shared" si="10"/>
        <v>0</v>
      </c>
      <c r="AM12" s="33">
        <f t="shared" si="11"/>
        <v>0</v>
      </c>
      <c r="AN12" s="33">
        <f t="shared" si="12"/>
        <v>0</v>
      </c>
      <c r="AO12" s="33">
        <f t="shared" si="13"/>
        <v>0</v>
      </c>
      <c r="AP12" s="33">
        <f t="shared" si="14"/>
        <v>0</v>
      </c>
      <c r="AQ12" s="197">
        <f t="shared" si="17"/>
        <v>0</v>
      </c>
      <c r="AR12" s="197">
        <f t="shared" si="17"/>
        <v>0</v>
      </c>
      <c r="AS12" s="197">
        <f t="shared" si="17"/>
        <v>0</v>
      </c>
      <c r="AT12" s="197">
        <f t="shared" si="17"/>
        <v>0</v>
      </c>
      <c r="AU12" s="33"/>
      <c r="AV12" s="33"/>
      <c r="AW12" s="33"/>
      <c r="AX12" s="33"/>
      <c r="AY12" s="167">
        <f t="shared" si="24"/>
        <v>0</v>
      </c>
      <c r="AZ12" s="201"/>
    </row>
    <row r="13" spans="2:52">
      <c r="B13" s="366"/>
      <c r="C13" s="370"/>
      <c r="D13" s="368" t="s">
        <v>155</v>
      </c>
      <c r="E13" s="368"/>
      <c r="F13" s="37">
        <f>IF(ISBLANK(F$12),,VLOOKUP(F$12,C131:D195,2,FALSE))</f>
        <v>0.56999999999999995</v>
      </c>
      <c r="I13" s="55">
        <v>8</v>
      </c>
      <c r="J13" s="33">
        <f t="shared" si="18"/>
        <v>0</v>
      </c>
      <c r="K13" s="33">
        <f t="shared" si="19"/>
        <v>0</v>
      </c>
      <c r="L13" s="33">
        <f t="shared" si="20"/>
        <v>70</v>
      </c>
      <c r="M13" s="33">
        <f t="shared" si="21"/>
        <v>0</v>
      </c>
      <c r="N13" s="33">
        <f t="shared" si="0"/>
        <v>0</v>
      </c>
      <c r="O13" s="34">
        <f t="shared" si="1"/>
        <v>256.66666666666669</v>
      </c>
      <c r="P13" s="55">
        <v>8</v>
      </c>
      <c r="Q13" s="33">
        <f t="shared" si="15"/>
        <v>2.496</v>
      </c>
      <c r="R13" s="33">
        <f t="shared" si="22"/>
        <v>19.968</v>
      </c>
      <c r="S13" s="33">
        <f t="shared" si="23"/>
        <v>12.180479999999999</v>
      </c>
      <c r="T13" s="33">
        <f t="shared" si="2"/>
        <v>4.1960932538082183</v>
      </c>
      <c r="U13" s="33">
        <f t="shared" si="16"/>
        <v>70</v>
      </c>
      <c r="V13" s="33">
        <f t="shared" si="3"/>
        <v>2.6666666666666665</v>
      </c>
      <c r="W13" s="33">
        <v>0</v>
      </c>
      <c r="X13" s="33">
        <f t="shared" si="4"/>
        <v>294.96697619482705</v>
      </c>
      <c r="Y13" s="38">
        <f t="shared" si="5"/>
        <v>38.300309528160369</v>
      </c>
      <c r="AA13" s="71">
        <v>8</v>
      </c>
      <c r="AB13" s="33">
        <f t="shared" si="6"/>
        <v>0</v>
      </c>
      <c r="AC13" s="308">
        <f t="shared" si="7"/>
        <v>0</v>
      </c>
      <c r="AD13" s="101">
        <f t="shared" si="8"/>
        <v>0</v>
      </c>
      <c r="AE13" s="101">
        <f t="shared" si="9"/>
        <v>0</v>
      </c>
      <c r="AF13" s="197">
        <f t="shared" si="25"/>
        <v>0</v>
      </c>
      <c r="AG13" s="197">
        <f t="shared" si="26"/>
        <v>0</v>
      </c>
      <c r="AH13" s="197">
        <f t="shared" si="27"/>
        <v>0</v>
      </c>
      <c r="AI13" s="202">
        <f t="shared" si="28"/>
        <v>0</v>
      </c>
      <c r="AK13" s="71">
        <v>8</v>
      </c>
      <c r="AL13" s="33">
        <f t="shared" si="10"/>
        <v>0</v>
      </c>
      <c r="AM13" s="33">
        <f t="shared" si="11"/>
        <v>0</v>
      </c>
      <c r="AN13" s="33">
        <f t="shared" si="12"/>
        <v>0</v>
      </c>
      <c r="AO13" s="33">
        <f t="shared" si="13"/>
        <v>0</v>
      </c>
      <c r="AP13" s="33">
        <f t="shared" si="14"/>
        <v>0</v>
      </c>
      <c r="AQ13" s="197">
        <f t="shared" si="17"/>
        <v>0</v>
      </c>
      <c r="AR13" s="197">
        <f t="shared" si="17"/>
        <v>0</v>
      </c>
      <c r="AS13" s="197">
        <f t="shared" si="17"/>
        <v>0</v>
      </c>
      <c r="AT13" s="197">
        <f t="shared" si="17"/>
        <v>0</v>
      </c>
      <c r="AU13" s="33"/>
      <c r="AV13" s="33"/>
      <c r="AW13" s="33"/>
      <c r="AX13" s="33"/>
      <c r="AY13" s="167">
        <f t="shared" si="24"/>
        <v>0</v>
      </c>
      <c r="AZ13" s="201"/>
    </row>
    <row r="14" spans="2:52">
      <c r="B14" s="365" t="s">
        <v>132</v>
      </c>
      <c r="C14" s="361"/>
      <c r="D14" s="362"/>
      <c r="E14" s="362"/>
      <c r="F14" s="363"/>
      <c r="I14" s="55">
        <v>9</v>
      </c>
      <c r="J14" s="33">
        <f t="shared" si="18"/>
        <v>0</v>
      </c>
      <c r="K14" s="33">
        <f t="shared" si="19"/>
        <v>0</v>
      </c>
      <c r="L14" s="33">
        <f t="shared" si="20"/>
        <v>70</v>
      </c>
      <c r="M14" s="33">
        <f t="shared" si="21"/>
        <v>0</v>
      </c>
      <c r="N14" s="33">
        <f t="shared" si="0"/>
        <v>0</v>
      </c>
      <c r="O14" s="34">
        <f t="shared" si="1"/>
        <v>256.66666666666669</v>
      </c>
      <c r="P14" s="55">
        <v>9</v>
      </c>
      <c r="Q14" s="33">
        <f t="shared" si="15"/>
        <v>2.496</v>
      </c>
      <c r="R14" s="33">
        <f t="shared" si="22"/>
        <v>22.463999999999999</v>
      </c>
      <c r="S14" s="33">
        <f t="shared" si="23"/>
        <v>13.70304</v>
      </c>
      <c r="T14" s="33">
        <f t="shared" si="2"/>
        <v>4.6563273032439501</v>
      </c>
      <c r="U14" s="33">
        <f t="shared" si="16"/>
        <v>70</v>
      </c>
      <c r="V14" s="33">
        <f t="shared" si="3"/>
        <v>3</v>
      </c>
      <c r="W14" s="33">
        <v>0</v>
      </c>
      <c r="X14" s="33">
        <f t="shared" si="4"/>
        <v>299.64256471981656</v>
      </c>
      <c r="Y14" s="38">
        <f t="shared" si="5"/>
        <v>42.975898053149876</v>
      </c>
      <c r="AA14" s="71">
        <v>9</v>
      </c>
      <c r="AB14" s="33">
        <f t="shared" si="6"/>
        <v>0</v>
      </c>
      <c r="AC14" s="308">
        <f t="shared" si="7"/>
        <v>0</v>
      </c>
      <c r="AD14" s="101">
        <f t="shared" si="8"/>
        <v>0</v>
      </c>
      <c r="AE14" s="101">
        <f t="shared" si="9"/>
        <v>0</v>
      </c>
      <c r="AF14" s="197">
        <f t="shared" si="25"/>
        <v>0</v>
      </c>
      <c r="AG14" s="197">
        <f t="shared" si="26"/>
        <v>0</v>
      </c>
      <c r="AH14" s="197">
        <f t="shared" si="27"/>
        <v>0</v>
      </c>
      <c r="AI14" s="202">
        <f t="shared" si="28"/>
        <v>0</v>
      </c>
      <c r="AK14" s="71">
        <v>9</v>
      </c>
      <c r="AL14" s="33">
        <f t="shared" si="10"/>
        <v>0</v>
      </c>
      <c r="AM14" s="33">
        <f t="shared" si="11"/>
        <v>0</v>
      </c>
      <c r="AN14" s="33">
        <f t="shared" si="12"/>
        <v>0</v>
      </c>
      <c r="AO14" s="33">
        <f t="shared" si="13"/>
        <v>0</v>
      </c>
      <c r="AP14" s="33">
        <f t="shared" si="14"/>
        <v>0</v>
      </c>
      <c r="AQ14" s="197">
        <f t="shared" si="17"/>
        <v>0</v>
      </c>
      <c r="AR14" s="197">
        <f t="shared" si="17"/>
        <v>0</v>
      </c>
      <c r="AS14" s="197">
        <f t="shared" si="17"/>
        <v>0</v>
      </c>
      <c r="AT14" s="197">
        <f t="shared" si="17"/>
        <v>0</v>
      </c>
      <c r="AU14" s="33"/>
      <c r="AV14" s="33"/>
      <c r="AW14" s="33"/>
      <c r="AX14" s="33"/>
      <c r="AY14" s="167">
        <f t="shared" si="24"/>
        <v>0</v>
      </c>
      <c r="AZ14" s="201"/>
    </row>
    <row r="15" spans="2:52">
      <c r="B15" s="375"/>
      <c r="C15" s="93" t="s">
        <v>73</v>
      </c>
      <c r="D15" s="371" t="s">
        <v>135</v>
      </c>
      <c r="E15" s="371"/>
      <c r="F15" s="94">
        <f>IF(D15="","",VLOOKUP(D15,$B$97:$C$100,2,0))</f>
        <v>70</v>
      </c>
      <c r="I15" s="55">
        <v>10</v>
      </c>
      <c r="J15" s="33">
        <f t="shared" si="18"/>
        <v>0</v>
      </c>
      <c r="K15" s="33">
        <f t="shared" si="19"/>
        <v>0</v>
      </c>
      <c r="L15" s="33">
        <f t="shared" si="20"/>
        <v>70</v>
      </c>
      <c r="M15" s="33">
        <f t="shared" si="21"/>
        <v>0</v>
      </c>
      <c r="N15" s="33">
        <f t="shared" si="0"/>
        <v>0</v>
      </c>
      <c r="O15" s="34">
        <f t="shared" si="1"/>
        <v>256.66666666666669</v>
      </c>
      <c r="P15" s="55">
        <v>10</v>
      </c>
      <c r="Q15" s="33">
        <f t="shared" si="15"/>
        <v>2.496</v>
      </c>
      <c r="R15" s="33">
        <f t="shared" si="22"/>
        <v>24.959999999999997</v>
      </c>
      <c r="S15" s="33">
        <f t="shared" si="23"/>
        <v>15.225599999999998</v>
      </c>
      <c r="T15" s="33">
        <f t="shared" si="2"/>
        <v>5.1106344584879544</v>
      </c>
      <c r="U15" s="33">
        <f t="shared" si="16"/>
        <v>70</v>
      </c>
      <c r="V15" s="33">
        <f t="shared" si="3"/>
        <v>3.3333333333333335</v>
      </c>
      <c r="W15" s="33">
        <v>0</v>
      </c>
      <c r="X15" s="33">
        <f t="shared" si="4"/>
        <v>304.30783057075541</v>
      </c>
      <c r="Y15" s="38">
        <f t="shared" si="5"/>
        <v>47.641163904088728</v>
      </c>
      <c r="AA15" s="71">
        <v>10</v>
      </c>
      <c r="AB15" s="33">
        <f t="shared" si="6"/>
        <v>0</v>
      </c>
      <c r="AC15" s="308">
        <f t="shared" si="7"/>
        <v>0</v>
      </c>
      <c r="AD15" s="101">
        <f t="shared" si="8"/>
        <v>0</v>
      </c>
      <c r="AE15" s="101">
        <f t="shared" si="9"/>
        <v>0</v>
      </c>
      <c r="AF15" s="197">
        <f t="shared" si="25"/>
        <v>0</v>
      </c>
      <c r="AG15" s="197">
        <f t="shared" si="26"/>
        <v>0</v>
      </c>
      <c r="AH15" s="197">
        <f t="shared" si="27"/>
        <v>0</v>
      </c>
      <c r="AI15" s="202">
        <f t="shared" si="28"/>
        <v>0</v>
      </c>
      <c r="AK15" s="71">
        <v>10</v>
      </c>
      <c r="AL15" s="33">
        <f t="shared" si="10"/>
        <v>0</v>
      </c>
      <c r="AM15" s="33">
        <f t="shared" si="11"/>
        <v>0</v>
      </c>
      <c r="AN15" s="33">
        <f t="shared" si="12"/>
        <v>0</v>
      </c>
      <c r="AO15" s="33">
        <f t="shared" si="13"/>
        <v>0</v>
      </c>
      <c r="AP15" s="33">
        <f t="shared" si="14"/>
        <v>0</v>
      </c>
      <c r="AQ15" s="197">
        <f t="shared" si="17"/>
        <v>0</v>
      </c>
      <c r="AR15" s="197">
        <f t="shared" si="17"/>
        <v>0</v>
      </c>
      <c r="AS15" s="197">
        <f t="shared" si="17"/>
        <v>0</v>
      </c>
      <c r="AT15" s="197">
        <f t="shared" si="17"/>
        <v>0</v>
      </c>
      <c r="AU15" s="33"/>
      <c r="AV15" s="33"/>
      <c r="AW15" s="33"/>
      <c r="AX15" s="33"/>
      <c r="AY15" s="167">
        <f t="shared" si="24"/>
        <v>0</v>
      </c>
      <c r="AZ15" s="201"/>
    </row>
    <row r="16" spans="2:52">
      <c r="B16" s="375"/>
      <c r="C16" s="93" t="s">
        <v>74</v>
      </c>
      <c r="D16" s="367" t="s">
        <v>138</v>
      </c>
      <c r="E16" s="367"/>
      <c r="F16" s="94">
        <v>10</v>
      </c>
      <c r="I16" s="55">
        <v>11</v>
      </c>
      <c r="J16" s="33">
        <f t="shared" si="18"/>
        <v>0</v>
      </c>
      <c r="K16" s="33">
        <f t="shared" si="19"/>
        <v>0</v>
      </c>
      <c r="L16" s="33">
        <f t="shared" si="20"/>
        <v>70</v>
      </c>
      <c r="M16" s="33">
        <f t="shared" si="21"/>
        <v>0</v>
      </c>
      <c r="N16" s="33">
        <f t="shared" si="0"/>
        <v>0</v>
      </c>
      <c r="O16" s="34">
        <f t="shared" si="1"/>
        <v>256.66666666666669</v>
      </c>
      <c r="P16" s="55">
        <v>11</v>
      </c>
      <c r="Q16" s="33">
        <f t="shared" si="15"/>
        <v>2.496</v>
      </c>
      <c r="R16" s="33">
        <f t="shared" si="22"/>
        <v>27.455999999999996</v>
      </c>
      <c r="S16" s="33">
        <f t="shared" si="23"/>
        <v>16.748159999999999</v>
      </c>
      <c r="T16" s="33">
        <f t="shared" si="2"/>
        <v>5.5596748790249322</v>
      </c>
      <c r="U16" s="33">
        <f t="shared" si="16"/>
        <v>70</v>
      </c>
      <c r="V16" s="33">
        <f t="shared" si="3"/>
        <v>3.6666666666666665</v>
      </c>
      <c r="W16" s="33">
        <v>0</v>
      </c>
      <c r="X16" s="33">
        <f t="shared" si="4"/>
        <v>308.96392352541289</v>
      </c>
      <c r="Y16" s="38">
        <f t="shared" si="5"/>
        <v>52.297256858746209</v>
      </c>
      <c r="AA16" s="71">
        <v>11</v>
      </c>
      <c r="AB16" s="33">
        <f t="shared" si="6"/>
        <v>0</v>
      </c>
      <c r="AC16" s="308">
        <f t="shared" si="7"/>
        <v>0</v>
      </c>
      <c r="AD16" s="101">
        <f t="shared" si="8"/>
        <v>0</v>
      </c>
      <c r="AE16" s="101">
        <f t="shared" si="9"/>
        <v>0</v>
      </c>
      <c r="AF16" s="197">
        <f t="shared" si="25"/>
        <v>0</v>
      </c>
      <c r="AG16" s="197">
        <f t="shared" si="26"/>
        <v>0</v>
      </c>
      <c r="AH16" s="197">
        <f t="shared" si="27"/>
        <v>0</v>
      </c>
      <c r="AI16" s="202">
        <f t="shared" si="28"/>
        <v>0</v>
      </c>
      <c r="AK16" s="71">
        <v>11</v>
      </c>
      <c r="AL16" s="33">
        <f t="shared" si="10"/>
        <v>0</v>
      </c>
      <c r="AM16" s="33">
        <f t="shared" si="11"/>
        <v>0</v>
      </c>
      <c r="AN16" s="33">
        <f t="shared" si="12"/>
        <v>0</v>
      </c>
      <c r="AO16" s="33">
        <f t="shared" si="13"/>
        <v>0</v>
      </c>
      <c r="AP16" s="33">
        <f t="shared" si="14"/>
        <v>0</v>
      </c>
      <c r="AQ16" s="197">
        <f t="shared" si="17"/>
        <v>0</v>
      </c>
      <c r="AR16" s="197">
        <f t="shared" si="17"/>
        <v>0</v>
      </c>
      <c r="AS16" s="197">
        <f t="shared" si="17"/>
        <v>0</v>
      </c>
      <c r="AT16" s="197">
        <f t="shared" si="17"/>
        <v>0</v>
      </c>
      <c r="AU16" s="33"/>
      <c r="AV16" s="33"/>
      <c r="AW16" s="33"/>
      <c r="AX16" s="33"/>
      <c r="AY16" s="167">
        <f t="shared" si="24"/>
        <v>0</v>
      </c>
      <c r="AZ16" s="201"/>
    </row>
    <row r="17" spans="2:55" ht="16">
      <c r="B17" s="375"/>
      <c r="C17" s="369" t="s">
        <v>124</v>
      </c>
      <c r="D17" s="364" t="s">
        <v>131</v>
      </c>
      <c r="E17" s="364"/>
      <c r="F17" s="96" t="s">
        <v>12</v>
      </c>
      <c r="I17" s="55">
        <v>12</v>
      </c>
      <c r="J17" s="33">
        <f t="shared" si="18"/>
        <v>0</v>
      </c>
      <c r="K17" s="33">
        <f t="shared" si="19"/>
        <v>0</v>
      </c>
      <c r="L17" s="33">
        <f t="shared" si="20"/>
        <v>70</v>
      </c>
      <c r="M17" s="33">
        <f t="shared" si="21"/>
        <v>0</v>
      </c>
      <c r="N17" s="33">
        <f t="shared" si="0"/>
        <v>0</v>
      </c>
      <c r="O17" s="34">
        <f t="shared" si="1"/>
        <v>256.66666666666669</v>
      </c>
      <c r="P17" s="55">
        <v>12</v>
      </c>
      <c r="Q17" s="33">
        <f t="shared" si="15"/>
        <v>2.496</v>
      </c>
      <c r="R17" s="33">
        <f t="shared" si="22"/>
        <v>29.951999999999995</v>
      </c>
      <c r="S17" s="33">
        <f t="shared" si="23"/>
        <v>18.270719999999997</v>
      </c>
      <c r="T17" s="33">
        <f t="shared" si="2"/>
        <v>6.003981810873932</v>
      </c>
      <c r="U17" s="33">
        <f t="shared" si="16"/>
        <v>70</v>
      </c>
      <c r="V17" s="33">
        <f t="shared" si="3"/>
        <v>4</v>
      </c>
      <c r="W17" s="33">
        <v>0</v>
      </c>
      <c r="X17" s="33">
        <f t="shared" si="4"/>
        <v>313.61177232060544</v>
      </c>
      <c r="Y17" s="38">
        <f t="shared" si="5"/>
        <v>56.945105653938754</v>
      </c>
      <c r="AA17" s="71">
        <v>12</v>
      </c>
      <c r="AB17" s="33">
        <f t="shared" si="6"/>
        <v>0</v>
      </c>
      <c r="AC17" s="308">
        <f t="shared" si="7"/>
        <v>0</v>
      </c>
      <c r="AD17" s="101">
        <f t="shared" si="8"/>
        <v>0</v>
      </c>
      <c r="AE17" s="101">
        <f t="shared" si="9"/>
        <v>0</v>
      </c>
      <c r="AF17" s="197">
        <f t="shared" si="25"/>
        <v>0</v>
      </c>
      <c r="AG17" s="197">
        <f t="shared" si="26"/>
        <v>0</v>
      </c>
      <c r="AH17" s="197">
        <f t="shared" si="27"/>
        <v>0</v>
      </c>
      <c r="AI17" s="202">
        <f t="shared" si="28"/>
        <v>0</v>
      </c>
      <c r="AK17" s="71">
        <v>12</v>
      </c>
      <c r="AL17" s="33">
        <f t="shared" si="10"/>
        <v>0</v>
      </c>
      <c r="AM17" s="33">
        <f t="shared" si="11"/>
        <v>0</v>
      </c>
      <c r="AN17" s="33">
        <f t="shared" si="12"/>
        <v>0</v>
      </c>
      <c r="AO17" s="33">
        <f t="shared" si="13"/>
        <v>0</v>
      </c>
      <c r="AP17" s="33">
        <f t="shared" si="14"/>
        <v>0</v>
      </c>
      <c r="AQ17" s="197">
        <f t="shared" si="17"/>
        <v>0</v>
      </c>
      <c r="AR17" s="197">
        <f t="shared" si="17"/>
        <v>0</v>
      </c>
      <c r="AS17" s="197">
        <f t="shared" si="17"/>
        <v>0</v>
      </c>
      <c r="AT17" s="197">
        <f t="shared" si="17"/>
        <v>0</v>
      </c>
      <c r="AU17" s="33"/>
      <c r="AV17" s="33"/>
      <c r="AW17" s="33"/>
      <c r="AX17" s="33"/>
      <c r="AY17" s="167">
        <f t="shared" si="24"/>
        <v>0</v>
      </c>
      <c r="AZ17" s="201"/>
    </row>
    <row r="18" spans="2:55">
      <c r="B18" s="375"/>
      <c r="C18" s="369"/>
      <c r="D18" s="364" t="s">
        <v>136</v>
      </c>
      <c r="E18" s="364"/>
      <c r="F18" s="97">
        <v>100</v>
      </c>
      <c r="I18" s="55">
        <v>13</v>
      </c>
      <c r="J18" s="33">
        <f t="shared" si="18"/>
        <v>0</v>
      </c>
      <c r="K18" s="33">
        <f t="shared" si="19"/>
        <v>0</v>
      </c>
      <c r="L18" s="33">
        <f t="shared" si="20"/>
        <v>70</v>
      </c>
      <c r="M18" s="33">
        <f t="shared" si="21"/>
        <v>0</v>
      </c>
      <c r="N18" s="33">
        <f t="shared" si="0"/>
        <v>0</v>
      </c>
      <c r="O18" s="34">
        <f t="shared" si="1"/>
        <v>256.66666666666669</v>
      </c>
      <c r="P18" s="55">
        <v>13</v>
      </c>
      <c r="Q18" s="33">
        <f t="shared" si="15"/>
        <v>2.496</v>
      </c>
      <c r="R18" s="33">
        <f t="shared" si="22"/>
        <v>32.447999999999993</v>
      </c>
      <c r="S18" s="33">
        <f t="shared" si="23"/>
        <v>19.793279999999996</v>
      </c>
      <c r="T18" s="33">
        <f t="shared" si="2"/>
        <v>6.4439945577278426</v>
      </c>
      <c r="U18" s="33">
        <f t="shared" si="16"/>
        <v>70</v>
      </c>
      <c r="V18" s="33">
        <f t="shared" si="3"/>
        <v>4.333333333333333</v>
      </c>
      <c r="W18" s="33">
        <v>0</v>
      </c>
      <c r="X18" s="33">
        <f t="shared" si="4"/>
        <v>318.25214207693153</v>
      </c>
      <c r="Y18" s="38">
        <f t="shared" si="5"/>
        <v>61.585475410264849</v>
      </c>
      <c r="AA18" s="71">
        <v>13</v>
      </c>
      <c r="AB18" s="33">
        <f t="shared" si="6"/>
        <v>0</v>
      </c>
      <c r="AC18" s="308">
        <f t="shared" si="7"/>
        <v>0</v>
      </c>
      <c r="AD18" s="101">
        <f t="shared" si="8"/>
        <v>0</v>
      </c>
      <c r="AE18" s="101">
        <f t="shared" si="9"/>
        <v>0</v>
      </c>
      <c r="AF18" s="197">
        <f t="shared" si="25"/>
        <v>0</v>
      </c>
      <c r="AG18" s="197">
        <f t="shared" si="26"/>
        <v>0</v>
      </c>
      <c r="AH18" s="197">
        <f t="shared" si="27"/>
        <v>0</v>
      </c>
      <c r="AI18" s="202">
        <f t="shared" si="28"/>
        <v>0</v>
      </c>
      <c r="AK18" s="71">
        <v>13</v>
      </c>
      <c r="AL18" s="33">
        <f t="shared" si="10"/>
        <v>0</v>
      </c>
      <c r="AM18" s="33">
        <f t="shared" si="11"/>
        <v>0</v>
      </c>
      <c r="AN18" s="33">
        <f t="shared" si="12"/>
        <v>0</v>
      </c>
      <c r="AO18" s="33">
        <f t="shared" si="13"/>
        <v>0</v>
      </c>
      <c r="AP18" s="33">
        <f t="shared" si="14"/>
        <v>0</v>
      </c>
      <c r="AQ18" s="197">
        <f t="shared" si="17"/>
        <v>0</v>
      </c>
      <c r="AR18" s="197">
        <f t="shared" si="17"/>
        <v>0</v>
      </c>
      <c r="AS18" s="197">
        <f t="shared" si="17"/>
        <v>0</v>
      </c>
      <c r="AT18" s="197">
        <f t="shared" si="17"/>
        <v>0</v>
      </c>
      <c r="AU18" s="33"/>
      <c r="AV18" s="33"/>
      <c r="AW18" s="33"/>
      <c r="AX18" s="33"/>
      <c r="AY18" s="167">
        <f t="shared" si="24"/>
        <v>0</v>
      </c>
      <c r="AZ18" s="201"/>
    </row>
    <row r="19" spans="2:55">
      <c r="B19" s="375"/>
      <c r="C19" s="369"/>
      <c r="D19" s="367" t="s">
        <v>155</v>
      </c>
      <c r="E19" s="367"/>
      <c r="F19" s="36">
        <f>IF(ISBLANK(F$17),,VLOOKUP(F$17,C131:D195,2,FALSE))</f>
        <v>0.61</v>
      </c>
      <c r="I19" s="55">
        <v>14</v>
      </c>
      <c r="J19" s="33">
        <f t="shared" si="18"/>
        <v>0</v>
      </c>
      <c r="K19" s="33">
        <f t="shared" si="19"/>
        <v>0</v>
      </c>
      <c r="L19" s="33">
        <f t="shared" si="20"/>
        <v>70</v>
      </c>
      <c r="M19" s="33">
        <f t="shared" si="21"/>
        <v>0</v>
      </c>
      <c r="N19" s="33">
        <f t="shared" si="0"/>
        <v>0</v>
      </c>
      <c r="O19" s="34">
        <f t="shared" si="1"/>
        <v>256.66666666666669</v>
      </c>
      <c r="P19" s="55">
        <v>14</v>
      </c>
      <c r="Q19" s="33">
        <f t="shared" si="15"/>
        <v>2.496</v>
      </c>
      <c r="R19" s="33">
        <f t="shared" si="22"/>
        <v>34.943999999999996</v>
      </c>
      <c r="S19" s="33">
        <f t="shared" si="23"/>
        <v>21.315839999999998</v>
      </c>
      <c r="T19" s="33">
        <f t="shared" si="2"/>
        <v>6.8800809988227236</v>
      </c>
      <c r="U19" s="33">
        <f t="shared" si="16"/>
        <v>70</v>
      </c>
      <c r="V19" s="33">
        <f t="shared" si="3"/>
        <v>4.666666666666667</v>
      </c>
      <c r="W19" s="33">
        <v>0</v>
      </c>
      <c r="X19" s="33">
        <f t="shared" si="4"/>
        <v>322.88567351739408</v>
      </c>
      <c r="Y19" s="38">
        <f t="shared" si="5"/>
        <v>66.219006850727396</v>
      </c>
      <c r="AA19" s="71">
        <v>14</v>
      </c>
      <c r="AB19" s="33">
        <f t="shared" si="6"/>
        <v>0</v>
      </c>
      <c r="AC19" s="308">
        <f t="shared" si="7"/>
        <v>0</v>
      </c>
      <c r="AD19" s="101">
        <f t="shared" si="8"/>
        <v>0</v>
      </c>
      <c r="AE19" s="101">
        <f t="shared" si="9"/>
        <v>0</v>
      </c>
      <c r="AF19" s="197">
        <f t="shared" si="25"/>
        <v>0</v>
      </c>
      <c r="AG19" s="197">
        <f t="shared" si="26"/>
        <v>0</v>
      </c>
      <c r="AH19" s="197">
        <f t="shared" si="27"/>
        <v>0</v>
      </c>
      <c r="AI19" s="202">
        <f t="shared" si="28"/>
        <v>0</v>
      </c>
      <c r="AK19" s="71">
        <v>14</v>
      </c>
      <c r="AL19" s="33">
        <f t="shared" si="10"/>
        <v>0</v>
      </c>
      <c r="AM19" s="33">
        <f t="shared" si="11"/>
        <v>0</v>
      </c>
      <c r="AN19" s="33">
        <f t="shared" si="12"/>
        <v>0</v>
      </c>
      <c r="AO19" s="33">
        <f t="shared" si="13"/>
        <v>0</v>
      </c>
      <c r="AP19" s="33">
        <f t="shared" si="14"/>
        <v>0</v>
      </c>
      <c r="AQ19" s="197">
        <f t="shared" si="17"/>
        <v>0</v>
      </c>
      <c r="AR19" s="197">
        <f t="shared" si="17"/>
        <v>0</v>
      </c>
      <c r="AS19" s="197">
        <f t="shared" si="17"/>
        <v>0</v>
      </c>
      <c r="AT19" s="197">
        <f t="shared" si="17"/>
        <v>0</v>
      </c>
      <c r="AU19" s="33"/>
      <c r="AV19" s="33"/>
      <c r="AW19" s="33"/>
      <c r="AX19" s="33"/>
      <c r="AY19" s="167">
        <f t="shared" si="24"/>
        <v>0</v>
      </c>
      <c r="AZ19" s="201"/>
    </row>
    <row r="20" spans="2:55">
      <c r="B20" s="375"/>
      <c r="C20" s="369"/>
      <c r="D20" s="367" t="s">
        <v>140</v>
      </c>
      <c r="E20" s="367"/>
      <c r="F20" s="98">
        <v>1.56</v>
      </c>
      <c r="I20" s="55">
        <v>15</v>
      </c>
      <c r="J20" s="33">
        <f t="shared" si="18"/>
        <v>0</v>
      </c>
      <c r="K20" s="33">
        <f t="shared" si="19"/>
        <v>0</v>
      </c>
      <c r="L20" s="33">
        <f t="shared" si="20"/>
        <v>70</v>
      </c>
      <c r="M20" s="33">
        <f t="shared" si="21"/>
        <v>0</v>
      </c>
      <c r="N20" s="33">
        <f t="shared" si="0"/>
        <v>0</v>
      </c>
      <c r="O20" s="34">
        <f t="shared" si="1"/>
        <v>256.66666666666669</v>
      </c>
      <c r="P20" s="55">
        <v>15</v>
      </c>
      <c r="Q20" s="33">
        <f t="shared" si="15"/>
        <v>2.496</v>
      </c>
      <c r="R20" s="33">
        <f t="shared" si="22"/>
        <v>37.44</v>
      </c>
      <c r="S20" s="33">
        <f t="shared" si="23"/>
        <v>22.838399999999996</v>
      </c>
      <c r="T20" s="33">
        <f t="shared" si="2"/>
        <v>7.3125534812505473</v>
      </c>
      <c r="U20" s="33">
        <f t="shared" si="16"/>
        <v>70</v>
      </c>
      <c r="V20" s="33">
        <f t="shared" si="3"/>
        <v>5</v>
      </c>
      <c r="W20" s="33">
        <v>0</v>
      </c>
      <c r="X20" s="33">
        <f t="shared" si="4"/>
        <v>327.51291064651133</v>
      </c>
      <c r="Y20" s="38">
        <f t="shared" si="5"/>
        <v>70.846243979844644</v>
      </c>
      <c r="AA20" s="71">
        <v>15</v>
      </c>
      <c r="AB20" s="33">
        <f t="shared" si="6"/>
        <v>0</v>
      </c>
      <c r="AC20" s="308">
        <f t="shared" si="7"/>
        <v>0</v>
      </c>
      <c r="AD20" s="101">
        <f t="shared" si="8"/>
        <v>0</v>
      </c>
      <c r="AE20" s="101">
        <f t="shared" si="9"/>
        <v>0</v>
      </c>
      <c r="AF20" s="197">
        <f t="shared" si="25"/>
        <v>0</v>
      </c>
      <c r="AG20" s="197">
        <f t="shared" si="26"/>
        <v>0</v>
      </c>
      <c r="AH20" s="197">
        <f t="shared" si="27"/>
        <v>0</v>
      </c>
      <c r="AI20" s="202">
        <f t="shared" si="28"/>
        <v>0</v>
      </c>
      <c r="AK20" s="71">
        <v>15</v>
      </c>
      <c r="AL20" s="33">
        <f t="shared" si="10"/>
        <v>0</v>
      </c>
      <c r="AM20" s="33">
        <f t="shared" si="11"/>
        <v>0</v>
      </c>
      <c r="AN20" s="33">
        <f t="shared" si="12"/>
        <v>0</v>
      </c>
      <c r="AO20" s="33">
        <f t="shared" si="13"/>
        <v>0</v>
      </c>
      <c r="AP20" s="33">
        <f t="shared" si="14"/>
        <v>0</v>
      </c>
      <c r="AQ20" s="197">
        <f t="shared" si="17"/>
        <v>0</v>
      </c>
      <c r="AR20" s="197">
        <f t="shared" si="17"/>
        <v>0</v>
      </c>
      <c r="AS20" s="197">
        <f t="shared" si="17"/>
        <v>0</v>
      </c>
      <c r="AT20" s="197">
        <f t="shared" si="17"/>
        <v>0</v>
      </c>
      <c r="AU20" s="33"/>
      <c r="AV20" s="33"/>
      <c r="AW20" s="33"/>
      <c r="AX20" s="33"/>
      <c r="AY20" s="167">
        <f t="shared" si="24"/>
        <v>0</v>
      </c>
      <c r="AZ20" s="201"/>
    </row>
    <row r="21" spans="2:55">
      <c r="B21" s="366"/>
      <c r="C21" s="370"/>
      <c r="D21" s="368" t="s">
        <v>143</v>
      </c>
      <c r="E21" s="368"/>
      <c r="F21" s="103">
        <f>7.2</f>
        <v>7.2</v>
      </c>
      <c r="I21" s="55">
        <v>16</v>
      </c>
      <c r="J21" s="33">
        <f t="shared" si="18"/>
        <v>0</v>
      </c>
      <c r="K21" s="33">
        <f t="shared" si="19"/>
        <v>0</v>
      </c>
      <c r="L21" s="33">
        <f t="shared" si="20"/>
        <v>70</v>
      </c>
      <c r="M21" s="33">
        <f t="shared" si="21"/>
        <v>0</v>
      </c>
      <c r="N21" s="33">
        <f t="shared" si="0"/>
        <v>0</v>
      </c>
      <c r="O21" s="34">
        <f t="shared" si="1"/>
        <v>256.66666666666669</v>
      </c>
      <c r="P21" s="55">
        <v>16</v>
      </c>
      <c r="Q21" s="33">
        <f t="shared" si="15"/>
        <v>2.496</v>
      </c>
      <c r="R21" s="33">
        <f t="shared" si="22"/>
        <v>39.936</v>
      </c>
      <c r="S21" s="33">
        <f t="shared" si="23"/>
        <v>24.360959999999999</v>
      </c>
      <c r="T21" s="33">
        <f t="shared" si="2"/>
        <v>7.7416803497020927</v>
      </c>
      <c r="U21" s="33">
        <f t="shared" si="16"/>
        <v>70</v>
      </c>
      <c r="V21" s="33">
        <f t="shared" si="3"/>
        <v>5.333333333333333</v>
      </c>
      <c r="W21" s="33">
        <v>0</v>
      </c>
      <c r="X21" s="33">
        <f t="shared" si="4"/>
        <v>332.13432083128669</v>
      </c>
      <c r="Y21" s="38">
        <f t="shared" si="5"/>
        <v>75.467654164620001</v>
      </c>
      <c r="AA21" s="71">
        <v>16</v>
      </c>
      <c r="AB21" s="33">
        <f t="shared" si="6"/>
        <v>0</v>
      </c>
      <c r="AC21" s="308">
        <f t="shared" si="7"/>
        <v>0</v>
      </c>
      <c r="AD21" s="101">
        <f t="shared" si="8"/>
        <v>0</v>
      </c>
      <c r="AE21" s="101">
        <f t="shared" si="9"/>
        <v>0</v>
      </c>
      <c r="AF21" s="197">
        <f t="shared" si="25"/>
        <v>0</v>
      </c>
      <c r="AG21" s="197">
        <f t="shared" si="26"/>
        <v>0</v>
      </c>
      <c r="AH21" s="197">
        <f t="shared" si="27"/>
        <v>0</v>
      </c>
      <c r="AI21" s="202">
        <f t="shared" si="28"/>
        <v>0</v>
      </c>
      <c r="AK21" s="71">
        <v>16</v>
      </c>
      <c r="AL21" s="33">
        <f t="shared" si="10"/>
        <v>0</v>
      </c>
      <c r="AM21" s="33">
        <f t="shared" si="11"/>
        <v>0</v>
      </c>
      <c r="AN21" s="33">
        <f t="shared" si="12"/>
        <v>0</v>
      </c>
      <c r="AO21" s="33">
        <f t="shared" si="13"/>
        <v>0</v>
      </c>
      <c r="AP21" s="33">
        <f t="shared" si="14"/>
        <v>0</v>
      </c>
      <c r="AQ21" s="197">
        <f t="shared" si="17"/>
        <v>0</v>
      </c>
      <c r="AR21" s="197">
        <f t="shared" si="17"/>
        <v>0</v>
      </c>
      <c r="AS21" s="197">
        <f t="shared" si="17"/>
        <v>0</v>
      </c>
      <c r="AT21" s="197">
        <f t="shared" si="17"/>
        <v>0</v>
      </c>
      <c r="AU21" s="33"/>
      <c r="AV21" s="33"/>
      <c r="AW21" s="33"/>
      <c r="AX21" s="33"/>
      <c r="AY21" s="167">
        <f t="shared" si="24"/>
        <v>0</v>
      </c>
      <c r="AZ21" s="201"/>
    </row>
    <row r="22" spans="2:55">
      <c r="E22" s="6"/>
      <c r="I22" s="55">
        <v>17</v>
      </c>
      <c r="J22" s="33">
        <f t="shared" si="18"/>
        <v>0</v>
      </c>
      <c r="K22" s="33">
        <f t="shared" si="19"/>
        <v>0</v>
      </c>
      <c r="L22" s="33">
        <f t="shared" si="20"/>
        <v>70</v>
      </c>
      <c r="M22" s="33">
        <f t="shared" si="21"/>
        <v>0</v>
      </c>
      <c r="N22" s="33">
        <f t="shared" si="0"/>
        <v>0</v>
      </c>
      <c r="O22" s="34">
        <f t="shared" si="1"/>
        <v>256.66666666666669</v>
      </c>
      <c r="P22" s="55">
        <v>17</v>
      </c>
      <c r="Q22" s="33">
        <f t="shared" si="15"/>
        <v>2.496</v>
      </c>
      <c r="R22" s="33">
        <f t="shared" si="22"/>
        <v>42.432000000000002</v>
      </c>
      <c r="S22" s="33">
        <f t="shared" si="23"/>
        <v>25.883520000000001</v>
      </c>
      <c r="T22" s="33">
        <f t="shared" si="2"/>
        <v>8.1676945099204428</v>
      </c>
      <c r="U22" s="33">
        <f t="shared" si="16"/>
        <v>70</v>
      </c>
      <c r="V22" s="33">
        <f t="shared" si="3"/>
        <v>5.666666666666667</v>
      </c>
      <c r="W22" s="33">
        <v>0</v>
      </c>
      <c r="X22" s="33">
        <f t="shared" si="4"/>
        <v>336.75030971588922</v>
      </c>
      <c r="Y22" s="38">
        <f t="shared" si="5"/>
        <v>80.08364304922253</v>
      </c>
      <c r="AA22" s="71">
        <v>17</v>
      </c>
      <c r="AB22" s="33">
        <f t="shared" si="6"/>
        <v>0</v>
      </c>
      <c r="AC22" s="308">
        <f t="shared" si="7"/>
        <v>0</v>
      </c>
      <c r="AD22" s="101">
        <f t="shared" si="8"/>
        <v>0</v>
      </c>
      <c r="AE22" s="101">
        <f t="shared" si="9"/>
        <v>0</v>
      </c>
      <c r="AF22" s="197">
        <f t="shared" si="25"/>
        <v>0</v>
      </c>
      <c r="AG22" s="197">
        <f t="shared" si="26"/>
        <v>0</v>
      </c>
      <c r="AH22" s="197">
        <f t="shared" si="27"/>
        <v>0</v>
      </c>
      <c r="AI22" s="202">
        <f t="shared" si="28"/>
        <v>0</v>
      </c>
      <c r="AK22" s="71">
        <v>17</v>
      </c>
      <c r="AL22" s="33">
        <f t="shared" si="10"/>
        <v>0</v>
      </c>
      <c r="AM22" s="33">
        <f t="shared" si="11"/>
        <v>0</v>
      </c>
      <c r="AN22" s="33">
        <f t="shared" si="12"/>
        <v>0</v>
      </c>
      <c r="AO22" s="33">
        <f t="shared" si="13"/>
        <v>0</v>
      </c>
      <c r="AP22" s="33">
        <f t="shared" si="14"/>
        <v>0</v>
      </c>
      <c r="AQ22" s="197">
        <f t="shared" si="17"/>
        <v>0</v>
      </c>
      <c r="AR22" s="197">
        <f t="shared" si="17"/>
        <v>0</v>
      </c>
      <c r="AS22" s="197">
        <f t="shared" si="17"/>
        <v>0</v>
      </c>
      <c r="AT22" s="197">
        <f t="shared" si="17"/>
        <v>0</v>
      </c>
      <c r="AU22" s="33"/>
      <c r="AV22" s="33"/>
      <c r="AW22" s="33"/>
      <c r="AX22" s="33"/>
      <c r="AY22" s="167">
        <f t="shared" si="24"/>
        <v>0</v>
      </c>
      <c r="AZ22" s="201"/>
    </row>
    <row r="23" spans="2:55">
      <c r="B23" s="387" t="s">
        <v>142</v>
      </c>
      <c r="C23" s="388"/>
      <c r="D23" s="388"/>
      <c r="E23" s="388"/>
      <c r="F23" s="388"/>
      <c r="G23" s="389"/>
      <c r="I23" s="55">
        <v>18</v>
      </c>
      <c r="J23" s="33">
        <f t="shared" si="18"/>
        <v>0</v>
      </c>
      <c r="K23" s="33">
        <f t="shared" si="19"/>
        <v>0</v>
      </c>
      <c r="L23" s="33">
        <f t="shared" si="20"/>
        <v>70</v>
      </c>
      <c r="M23" s="33">
        <f t="shared" si="21"/>
        <v>0</v>
      </c>
      <c r="N23" s="33">
        <f t="shared" si="0"/>
        <v>0</v>
      </c>
      <c r="O23" s="34">
        <f t="shared" si="1"/>
        <v>256.66666666666669</v>
      </c>
      <c r="P23" s="55">
        <v>18</v>
      </c>
      <c r="Q23" s="33">
        <f t="shared" si="15"/>
        <v>2.496</v>
      </c>
      <c r="R23" s="33">
        <f t="shared" si="22"/>
        <v>44.928000000000004</v>
      </c>
      <c r="S23" s="33">
        <f t="shared" si="23"/>
        <v>27.406080000000003</v>
      </c>
      <c r="T23" s="33">
        <f t="shared" si="2"/>
        <v>8.5907999190888766</v>
      </c>
      <c r="U23" s="33">
        <f t="shared" si="16"/>
        <v>70</v>
      </c>
      <c r="V23" s="33">
        <f t="shared" si="3"/>
        <v>6</v>
      </c>
      <c r="W23" s="33">
        <v>0</v>
      </c>
      <c r="X23" s="33">
        <f t="shared" si="4"/>
        <v>341.3612325257464</v>
      </c>
      <c r="Y23" s="38">
        <f t="shared" si="5"/>
        <v>84.694565859079717</v>
      </c>
      <c r="AA23" s="71">
        <v>18</v>
      </c>
      <c r="AB23" s="33">
        <f t="shared" si="6"/>
        <v>0</v>
      </c>
      <c r="AC23" s="308">
        <f t="shared" si="7"/>
        <v>0</v>
      </c>
      <c r="AD23" s="101">
        <f t="shared" si="8"/>
        <v>0</v>
      </c>
      <c r="AE23" s="101">
        <f t="shared" si="9"/>
        <v>0</v>
      </c>
      <c r="AF23" s="197">
        <f t="shared" si="25"/>
        <v>0</v>
      </c>
      <c r="AG23" s="197">
        <f t="shared" si="26"/>
        <v>0</v>
      </c>
      <c r="AH23" s="197">
        <f t="shared" si="27"/>
        <v>0</v>
      </c>
      <c r="AI23" s="202">
        <f t="shared" si="28"/>
        <v>0</v>
      </c>
      <c r="AK23" s="71">
        <v>18</v>
      </c>
      <c r="AL23" s="33">
        <f t="shared" si="10"/>
        <v>0</v>
      </c>
      <c r="AM23" s="33">
        <f t="shared" si="11"/>
        <v>0</v>
      </c>
      <c r="AN23" s="33">
        <f t="shared" si="12"/>
        <v>0</v>
      </c>
      <c r="AO23" s="33">
        <f t="shared" si="13"/>
        <v>0</v>
      </c>
      <c r="AP23" s="33">
        <f t="shared" si="14"/>
        <v>0</v>
      </c>
      <c r="AQ23" s="197">
        <f t="shared" si="17"/>
        <v>0</v>
      </c>
      <c r="AR23" s="197">
        <f t="shared" si="17"/>
        <v>0</v>
      </c>
      <c r="AS23" s="197">
        <f t="shared" si="17"/>
        <v>0</v>
      </c>
      <c r="AT23" s="197">
        <f t="shared" si="17"/>
        <v>0</v>
      </c>
      <c r="AU23" s="33"/>
      <c r="AV23" s="33"/>
      <c r="AW23" s="33"/>
      <c r="AX23" s="33"/>
      <c r="AY23" s="167">
        <f t="shared" si="24"/>
        <v>0</v>
      </c>
      <c r="AZ23" s="201"/>
    </row>
    <row r="24" spans="2:55">
      <c r="B24" s="47" t="s">
        <v>114</v>
      </c>
      <c r="C24" s="48" t="s">
        <v>115</v>
      </c>
      <c r="D24" s="48" t="s">
        <v>83</v>
      </c>
      <c r="E24" s="48" t="s">
        <v>117</v>
      </c>
      <c r="F24" s="48" t="s">
        <v>116</v>
      </c>
      <c r="G24" s="49" t="s">
        <v>141</v>
      </c>
      <c r="I24" s="55">
        <v>19</v>
      </c>
      <c r="J24" s="33">
        <f t="shared" si="18"/>
        <v>0</v>
      </c>
      <c r="K24" s="33">
        <f t="shared" si="19"/>
        <v>0</v>
      </c>
      <c r="L24" s="33">
        <f t="shared" si="20"/>
        <v>70</v>
      </c>
      <c r="M24" s="33">
        <f t="shared" si="21"/>
        <v>0</v>
      </c>
      <c r="N24" s="33">
        <f t="shared" si="0"/>
        <v>0</v>
      </c>
      <c r="O24" s="34">
        <f t="shared" si="1"/>
        <v>256.66666666666669</v>
      </c>
      <c r="P24" s="55">
        <v>19</v>
      </c>
      <c r="Q24" s="33">
        <f t="shared" si="15"/>
        <v>2.496</v>
      </c>
      <c r="R24" s="33">
        <f t="shared" si="22"/>
        <v>47.424000000000007</v>
      </c>
      <c r="S24" s="33">
        <f t="shared" si="23"/>
        <v>28.928640000000005</v>
      </c>
      <c r="T24" s="33">
        <f t="shared" si="2"/>
        <v>9.0111765925606715</v>
      </c>
      <c r="U24" s="33">
        <f t="shared" si="16"/>
        <v>70</v>
      </c>
      <c r="V24" s="33">
        <f t="shared" si="3"/>
        <v>6.333333333333333</v>
      </c>
      <c r="W24" s="33">
        <v>0</v>
      </c>
      <c r="X24" s="33">
        <f t="shared" si="4"/>
        <v>345.9674027875987</v>
      </c>
      <c r="Y24" s="38">
        <f t="shared" si="5"/>
        <v>89.300736120932015</v>
      </c>
      <c r="AA24" s="71">
        <v>19</v>
      </c>
      <c r="AB24" s="33">
        <f t="shared" si="6"/>
        <v>0</v>
      </c>
      <c r="AC24" s="308">
        <f t="shared" si="7"/>
        <v>0</v>
      </c>
      <c r="AD24" s="101">
        <f t="shared" si="8"/>
        <v>0</v>
      </c>
      <c r="AE24" s="101">
        <f t="shared" si="9"/>
        <v>0</v>
      </c>
      <c r="AF24" s="197">
        <f t="shared" si="25"/>
        <v>0</v>
      </c>
      <c r="AG24" s="197">
        <f t="shared" si="26"/>
        <v>0</v>
      </c>
      <c r="AH24" s="197">
        <f t="shared" si="27"/>
        <v>0</v>
      </c>
      <c r="AI24" s="202">
        <f t="shared" si="28"/>
        <v>0</v>
      </c>
      <c r="AK24" s="71">
        <v>19</v>
      </c>
      <c r="AL24" s="33">
        <f t="shared" si="10"/>
        <v>0</v>
      </c>
      <c r="AM24" s="33">
        <f t="shared" si="11"/>
        <v>0</v>
      </c>
      <c r="AN24" s="33">
        <f t="shared" si="12"/>
        <v>0</v>
      </c>
      <c r="AO24" s="33">
        <f t="shared" si="13"/>
        <v>0</v>
      </c>
      <c r="AP24" s="33">
        <f t="shared" si="14"/>
        <v>0</v>
      </c>
      <c r="AQ24" s="197">
        <f t="shared" si="17"/>
        <v>0</v>
      </c>
      <c r="AR24" s="197">
        <f t="shared" si="17"/>
        <v>0</v>
      </c>
      <c r="AS24" s="197">
        <f t="shared" si="17"/>
        <v>0</v>
      </c>
      <c r="AT24" s="197">
        <f t="shared" si="17"/>
        <v>0</v>
      </c>
      <c r="AU24" s="33"/>
      <c r="AV24" s="33"/>
      <c r="AW24" s="33"/>
      <c r="AX24" s="33"/>
      <c r="AY24" s="167">
        <f t="shared" si="24"/>
        <v>0</v>
      </c>
      <c r="AZ24" s="201"/>
      <c r="BA24" s="5"/>
      <c r="BB24" s="5"/>
      <c r="BC24" s="5"/>
    </row>
    <row r="25" spans="2:55">
      <c r="B25" s="45">
        <v>0</v>
      </c>
      <c r="C25" s="337">
        <v>20</v>
      </c>
      <c r="D25" s="139">
        <f>D26+0</f>
        <v>32</v>
      </c>
      <c r="E25" s="143">
        <f t="shared" ref="E25:E78" si="29">$F$20</f>
        <v>1.56</v>
      </c>
      <c r="F25" s="46">
        <f t="shared" ref="F25:F47" si="30">D25*E25</f>
        <v>49.92</v>
      </c>
      <c r="G25" s="50">
        <f>F25/(C25-B25)</f>
        <v>2.496</v>
      </c>
      <c r="I25" s="55">
        <v>20</v>
      </c>
      <c r="J25" s="33">
        <f t="shared" si="18"/>
        <v>0</v>
      </c>
      <c r="K25" s="33">
        <f t="shared" si="19"/>
        <v>0</v>
      </c>
      <c r="L25" s="33">
        <f t="shared" si="20"/>
        <v>70</v>
      </c>
      <c r="M25" s="33">
        <f t="shared" si="21"/>
        <v>0</v>
      </c>
      <c r="N25" s="33">
        <f t="shared" si="0"/>
        <v>0</v>
      </c>
      <c r="O25" s="34">
        <f t="shared" si="1"/>
        <v>256.66666666666669</v>
      </c>
      <c r="P25" s="55">
        <v>20</v>
      </c>
      <c r="Q25" s="33">
        <f t="shared" si="15"/>
        <v>2.496</v>
      </c>
      <c r="R25" s="33">
        <f t="shared" si="22"/>
        <v>49.920000000000009</v>
      </c>
      <c r="S25" s="33">
        <f t="shared" si="23"/>
        <v>30.451200000000004</v>
      </c>
      <c r="T25" s="33">
        <f t="shared" si="2"/>
        <v>9.4289845264708934</v>
      </c>
      <c r="U25" s="33">
        <f t="shared" si="16"/>
        <v>70</v>
      </c>
      <c r="V25" s="33">
        <f t="shared" si="3"/>
        <v>6.666666666666667</v>
      </c>
      <c r="W25" s="33">
        <v>0</v>
      </c>
      <c r="X25" s="33">
        <f t="shared" si="4"/>
        <v>350.5690991613813</v>
      </c>
      <c r="Y25" s="38">
        <f t="shared" si="5"/>
        <v>93.902432494714617</v>
      </c>
      <c r="AA25" s="71">
        <v>20</v>
      </c>
      <c r="AB25" s="33">
        <f t="shared" si="6"/>
        <v>0</v>
      </c>
      <c r="AC25" s="308">
        <f t="shared" si="7"/>
        <v>0</v>
      </c>
      <c r="AD25" s="101">
        <f t="shared" si="8"/>
        <v>0</v>
      </c>
      <c r="AE25" s="101">
        <f t="shared" si="9"/>
        <v>0</v>
      </c>
      <c r="AF25" s="197">
        <f>IF(OR(AA25&lt;=$F$18,AA25&lt;=30),EXP(-LN(2)/$D$104)*AF24+((1-EXP(-LN(2)/$D$104))/(LN(2)/$D$104))*$AB25*AC25*0.475*$F$19*44/12,)</f>
        <v>0</v>
      </c>
      <c r="AG25" s="197">
        <f>IF(OR(AA25&lt;=$F$18,AA25&lt;=30),EXP(-LN(2)/$D$106)*AG24+((1-EXP(-LN(2)/$D$106))/(LN(2)/$D$106))*$AB25*AD25*0.475*$F$19*44/12,)</f>
        <v>0</v>
      </c>
      <c r="AH25" s="197">
        <f>IF(OR(AA25&lt;=$F$18,AA25&lt;=30),EXP(-LN(2)/$D$105)*AH24+((1-EXP(-LN(2)/$D$105))/(LN(2)/$D$105))*$AB25*AE25*0.475*$F$19*44/12,)</f>
        <v>0</v>
      </c>
      <c r="AI25" s="202">
        <f>IF(OR(AA25&lt;=$F$18,AA25&lt;=30),SUM(AF25:AH25),)</f>
        <v>0</v>
      </c>
      <c r="AK25" s="71">
        <v>20</v>
      </c>
      <c r="AL25" s="33">
        <f t="shared" si="10"/>
        <v>0</v>
      </c>
      <c r="AM25" s="33">
        <f t="shared" si="11"/>
        <v>0</v>
      </c>
      <c r="AN25" s="33">
        <f t="shared" si="12"/>
        <v>0</v>
      </c>
      <c r="AO25" s="33">
        <f t="shared" si="13"/>
        <v>0</v>
      </c>
      <c r="AP25" s="33">
        <f t="shared" si="14"/>
        <v>0</v>
      </c>
      <c r="AQ25" s="197">
        <f>IF($AK25&lt;=$F$18,$AL25*AM25,)</f>
        <v>0</v>
      </c>
      <c r="AR25" s="197">
        <f>IF($AK25&lt;=$F$18,$AL25*AN25,)</f>
        <v>0</v>
      </c>
      <c r="AS25" s="197">
        <f>IF($AK25&lt;=$F$18,$AL25*AO25,)</f>
        <v>0</v>
      </c>
      <c r="AT25" s="197">
        <f>IF($AK25&lt;=$F$18,$AL25*AP25,)</f>
        <v>0</v>
      </c>
      <c r="AU25" s="33"/>
      <c r="AV25" s="33"/>
      <c r="AW25" s="33"/>
      <c r="AX25" s="33"/>
      <c r="AY25" s="167">
        <f t="shared" si="24"/>
        <v>0</v>
      </c>
      <c r="AZ25" s="201"/>
      <c r="BA25" s="5"/>
      <c r="BB25" s="5"/>
      <c r="BC25" s="5"/>
    </row>
    <row r="26" spans="2:55">
      <c r="B26" s="40">
        <f t="shared" ref="B26:B78" si="31">C25</f>
        <v>20</v>
      </c>
      <c r="C26" s="41">
        <f>B26+1</f>
        <v>21</v>
      </c>
      <c r="D26" s="140">
        <v>32</v>
      </c>
      <c r="E26" s="144">
        <f t="shared" si="29"/>
        <v>1.56</v>
      </c>
      <c r="F26" s="42">
        <f t="shared" si="30"/>
        <v>49.92</v>
      </c>
      <c r="G26" s="145">
        <f>(F26-F25)/(C26-B26)</f>
        <v>0</v>
      </c>
      <c r="I26" s="55">
        <v>21</v>
      </c>
      <c r="J26" s="33">
        <f t="shared" si="18"/>
        <v>0</v>
      </c>
      <c r="K26" s="33">
        <f t="shared" si="19"/>
        <v>0</v>
      </c>
      <c r="L26" s="33">
        <f t="shared" si="20"/>
        <v>70</v>
      </c>
      <c r="M26" s="33">
        <f t="shared" si="21"/>
        <v>0</v>
      </c>
      <c r="N26" s="33">
        <f t="shared" si="0"/>
        <v>0</v>
      </c>
      <c r="O26" s="34">
        <f t="shared" si="1"/>
        <v>256.66666666666669</v>
      </c>
      <c r="P26" s="55">
        <v>21</v>
      </c>
      <c r="Q26" s="33">
        <f t="shared" si="15"/>
        <v>0</v>
      </c>
      <c r="R26" s="33">
        <f t="shared" si="22"/>
        <v>49.920000000000009</v>
      </c>
      <c r="S26" s="33">
        <f t="shared" si="23"/>
        <v>30.451200000000004</v>
      </c>
      <c r="T26" s="33">
        <f t="shared" si="2"/>
        <v>9.4289845264708934</v>
      </c>
      <c r="U26" s="33">
        <f t="shared" si="16"/>
        <v>70</v>
      </c>
      <c r="V26" s="33">
        <f t="shared" si="3"/>
        <v>7</v>
      </c>
      <c r="W26" s="33">
        <v>0</v>
      </c>
      <c r="X26" s="33">
        <f t="shared" si="4"/>
        <v>351.79132138360347</v>
      </c>
      <c r="Y26" s="38">
        <f t="shared" si="5"/>
        <v>95.124654716936789</v>
      </c>
      <c r="AA26" s="71">
        <v>21</v>
      </c>
      <c r="AB26" s="33">
        <f t="shared" si="6"/>
        <v>0</v>
      </c>
      <c r="AC26" s="308">
        <f t="shared" si="7"/>
        <v>0</v>
      </c>
      <c r="AD26" s="101">
        <f t="shared" si="8"/>
        <v>0</v>
      </c>
      <c r="AE26" s="101">
        <f t="shared" si="9"/>
        <v>0</v>
      </c>
      <c r="AF26" s="197">
        <f>IF(OR(AA26&lt;=$F$18,AA26&lt;=30),EXP(-LN(2)/$D$104)*AF25+((1-EXP(-LN(2)/$D$104))/(LN(2)/$D$104))*$AB26*AC26*0.475*$F$19*44/12,)</f>
        <v>0</v>
      </c>
      <c r="AG26" s="197">
        <f>IF(OR(AA26&lt;=$F$18,AA26&lt;=30),EXP(-LN(2)/$D$106)*AG25+((1-EXP(-LN(2)/$D$106))/(LN(2)/$D$106))*$AB26*AD26*0.475*$F$19*44/12,)</f>
        <v>0</v>
      </c>
      <c r="AH26" s="197">
        <f>IF(OR(AA26&lt;=$F$18,AA26&lt;=30),EXP(-LN(2)/$D$105)*AH25+((1-EXP(-LN(2)/$D$105))/(LN(2)/$D$105))*$AB26*AE26*0.475*$F$19*44/12,)</f>
        <v>0</v>
      </c>
      <c r="AI26" s="202">
        <f>IF(OR(AA26&lt;=$F$18,AA26&lt;=30),SUM(AF26:AH26),)</f>
        <v>0</v>
      </c>
      <c r="AK26" s="71">
        <v>21</v>
      </c>
      <c r="AL26" s="33">
        <f t="shared" si="10"/>
        <v>0</v>
      </c>
      <c r="AM26" s="33">
        <f t="shared" si="11"/>
        <v>0</v>
      </c>
      <c r="AN26" s="33">
        <f t="shared" si="12"/>
        <v>0</v>
      </c>
      <c r="AO26" s="33">
        <f t="shared" si="13"/>
        <v>0</v>
      </c>
      <c r="AP26" s="33">
        <f t="shared" si="14"/>
        <v>1</v>
      </c>
      <c r="AQ26" s="197">
        <f t="shared" ref="AQ26:AT41" si="32">IF($AK26&lt;=$F$18,$AL26*AM26,)</f>
        <v>0</v>
      </c>
      <c r="AR26" s="197">
        <f t="shared" si="32"/>
        <v>0</v>
      </c>
      <c r="AS26" s="197">
        <f t="shared" si="32"/>
        <v>0</v>
      </c>
      <c r="AT26" s="197">
        <f t="shared" si="32"/>
        <v>0</v>
      </c>
      <c r="AU26" s="33"/>
      <c r="AV26" s="33"/>
      <c r="AW26" s="33"/>
      <c r="AX26" s="33"/>
      <c r="AY26" s="167">
        <f t="shared" si="24"/>
        <v>0</v>
      </c>
      <c r="AZ26" s="201"/>
      <c r="BA26" s="5"/>
      <c r="BB26" s="5"/>
      <c r="BC26" s="161"/>
    </row>
    <row r="27" spans="2:55">
      <c r="B27" s="40">
        <f t="shared" si="31"/>
        <v>21</v>
      </c>
      <c r="C27" s="155">
        <f>C25+5</f>
        <v>25</v>
      </c>
      <c r="D27" s="140">
        <f>D28+7</f>
        <v>76</v>
      </c>
      <c r="E27" s="144">
        <f t="shared" si="29"/>
        <v>1.56</v>
      </c>
      <c r="F27" s="42">
        <f t="shared" si="30"/>
        <v>118.56</v>
      </c>
      <c r="G27" s="51">
        <f t="shared" ref="G27:G47" si="33">(F27-F26)/(C27-B27)</f>
        <v>17.16</v>
      </c>
      <c r="I27" s="55">
        <v>22</v>
      </c>
      <c r="J27" s="33">
        <f t="shared" si="18"/>
        <v>0</v>
      </c>
      <c r="K27" s="33">
        <f t="shared" si="19"/>
        <v>0</v>
      </c>
      <c r="L27" s="33">
        <f t="shared" si="20"/>
        <v>70</v>
      </c>
      <c r="M27" s="33">
        <f t="shared" si="21"/>
        <v>0</v>
      </c>
      <c r="N27" s="33">
        <f t="shared" si="0"/>
        <v>0</v>
      </c>
      <c r="O27" s="34">
        <f t="shared" si="1"/>
        <v>256.66666666666669</v>
      </c>
      <c r="P27" s="55">
        <v>22</v>
      </c>
      <c r="Q27" s="33">
        <f t="shared" si="15"/>
        <v>17.16</v>
      </c>
      <c r="R27" s="33">
        <f t="shared" si="22"/>
        <v>67.080000000000013</v>
      </c>
      <c r="S27" s="33">
        <f t="shared" si="23"/>
        <v>40.918800000000005</v>
      </c>
      <c r="T27" s="33">
        <f t="shared" si="2"/>
        <v>12.241852136006502</v>
      </c>
      <c r="U27" s="33">
        <f t="shared" si="16"/>
        <v>70</v>
      </c>
      <c r="V27" s="33">
        <f t="shared" si="3"/>
        <v>7.333333333333333</v>
      </c>
      <c r="W27" s="33">
        <v>0</v>
      </c>
      <c r="X27" s="33">
        <f t="shared" si="4"/>
        <v>376.14369135910016</v>
      </c>
      <c r="Y27" s="38">
        <f t="shared" si="5"/>
        <v>119.47702469243347</v>
      </c>
      <c r="AA27" s="71">
        <v>22</v>
      </c>
      <c r="AB27" s="33">
        <f t="shared" si="6"/>
        <v>0</v>
      </c>
      <c r="AC27" s="308">
        <f t="shared" si="7"/>
        <v>0</v>
      </c>
      <c r="AD27" s="101">
        <f t="shared" si="8"/>
        <v>0</v>
      </c>
      <c r="AE27" s="101">
        <f t="shared" si="9"/>
        <v>0</v>
      </c>
      <c r="AF27" s="197">
        <f t="shared" ref="AF27:AF90" si="34">IF(OR(AA27&lt;=$F$18,AA27&lt;=30),EXP(-LN(2)/$D$104)*AF26+((1-EXP(-LN(2)/$D$104))/(LN(2)/$D$104))*$AB27*AC27*0.475*$F$19*44/12,)</f>
        <v>0</v>
      </c>
      <c r="AG27" s="197">
        <f t="shared" ref="AG27:AG90" si="35">IF(OR(AA27&lt;=$F$18,AA27&lt;=30),EXP(-LN(2)/$D$106)*AG26+((1-EXP(-LN(2)/$D$106))/(LN(2)/$D$106))*$AB27*AD27*0.475*$F$19*44/12,)</f>
        <v>0</v>
      </c>
      <c r="AH27" s="197">
        <f t="shared" ref="AH27:AH90" si="36">IF(OR(AA27&lt;=$F$18,AA27&lt;=30),EXP(-LN(2)/$D$105)*AH26+((1-EXP(-LN(2)/$D$105))/(LN(2)/$D$105))*$AB27*AE27*0.475*$F$19*44/12,)</f>
        <v>0</v>
      </c>
      <c r="AI27" s="202">
        <f t="shared" ref="AI27:AI90" si="37">IF(OR(AA27&lt;=$F$18,AA27&lt;=30),SUM(AF27:AH27),)</f>
        <v>0</v>
      </c>
      <c r="AK27" s="71">
        <v>22</v>
      </c>
      <c r="AL27" s="33">
        <f t="shared" si="10"/>
        <v>0</v>
      </c>
      <c r="AM27" s="33">
        <f t="shared" si="11"/>
        <v>0</v>
      </c>
      <c r="AN27" s="33">
        <f t="shared" si="12"/>
        <v>0</v>
      </c>
      <c r="AO27" s="33">
        <f t="shared" si="13"/>
        <v>0</v>
      </c>
      <c r="AP27" s="33">
        <f t="shared" si="14"/>
        <v>0</v>
      </c>
      <c r="AQ27" s="197">
        <f t="shared" si="32"/>
        <v>0</v>
      </c>
      <c r="AR27" s="197">
        <f t="shared" si="32"/>
        <v>0</v>
      </c>
      <c r="AS27" s="197">
        <f t="shared" si="32"/>
        <v>0</v>
      </c>
      <c r="AT27" s="197">
        <f t="shared" si="32"/>
        <v>0</v>
      </c>
      <c r="AU27" s="33"/>
      <c r="AV27" s="33"/>
      <c r="AW27" s="33"/>
      <c r="AX27" s="33"/>
      <c r="AY27" s="167">
        <f t="shared" si="24"/>
        <v>0</v>
      </c>
      <c r="AZ27" s="201"/>
    </row>
    <row r="28" spans="2:55">
      <c r="B28" s="40">
        <f t="shared" si="31"/>
        <v>25</v>
      </c>
      <c r="C28" s="155">
        <f>C26+5</f>
        <v>26</v>
      </c>
      <c r="D28" s="140">
        <v>69</v>
      </c>
      <c r="E28" s="144">
        <f t="shared" si="29"/>
        <v>1.56</v>
      </c>
      <c r="F28" s="42">
        <f t="shared" si="30"/>
        <v>107.64</v>
      </c>
      <c r="G28" s="51">
        <f t="shared" si="33"/>
        <v>-10.920000000000002</v>
      </c>
      <c r="I28" s="55">
        <v>23</v>
      </c>
      <c r="J28" s="33">
        <f t="shared" si="18"/>
        <v>0</v>
      </c>
      <c r="K28" s="33">
        <f t="shared" si="19"/>
        <v>0</v>
      </c>
      <c r="L28" s="33">
        <f t="shared" si="20"/>
        <v>70</v>
      </c>
      <c r="M28" s="33">
        <f t="shared" si="21"/>
        <v>0</v>
      </c>
      <c r="N28" s="33">
        <f t="shared" si="0"/>
        <v>0</v>
      </c>
      <c r="O28" s="34">
        <f t="shared" si="1"/>
        <v>256.66666666666669</v>
      </c>
      <c r="P28" s="55">
        <v>23</v>
      </c>
      <c r="Q28" s="33">
        <f t="shared" si="15"/>
        <v>17.16</v>
      </c>
      <c r="R28" s="33">
        <f t="shared" si="22"/>
        <v>84.240000000000009</v>
      </c>
      <c r="S28" s="33">
        <f t="shared" si="23"/>
        <v>51.386400000000002</v>
      </c>
      <c r="T28" s="33">
        <f t="shared" si="2"/>
        <v>14.971231585009825</v>
      </c>
      <c r="U28" s="33">
        <f t="shared" si="16"/>
        <v>70</v>
      </c>
      <c r="V28" s="33">
        <f t="shared" si="3"/>
        <v>7.666666666666667</v>
      </c>
      <c r="W28" s="33">
        <v>0</v>
      </c>
      <c r="X28" s="33">
        <f t="shared" si="4"/>
        <v>400.35065278833662</v>
      </c>
      <c r="Y28" s="38">
        <f t="shared" si="5"/>
        <v>143.68398612166993</v>
      </c>
      <c r="AA28" s="71">
        <v>23</v>
      </c>
      <c r="AB28" s="33">
        <f t="shared" si="6"/>
        <v>0</v>
      </c>
      <c r="AC28" s="308">
        <f t="shared" si="7"/>
        <v>0</v>
      </c>
      <c r="AD28" s="101">
        <f t="shared" si="8"/>
        <v>0</v>
      </c>
      <c r="AE28" s="101">
        <f t="shared" si="9"/>
        <v>0</v>
      </c>
      <c r="AF28" s="197">
        <f t="shared" si="34"/>
        <v>0</v>
      </c>
      <c r="AG28" s="197">
        <f t="shared" si="35"/>
        <v>0</v>
      </c>
      <c r="AH28" s="197">
        <f t="shared" si="36"/>
        <v>0</v>
      </c>
      <c r="AI28" s="202">
        <f t="shared" si="37"/>
        <v>0</v>
      </c>
      <c r="AK28" s="71">
        <v>23</v>
      </c>
      <c r="AL28" s="33">
        <f t="shared" si="10"/>
        <v>0</v>
      </c>
      <c r="AM28" s="33">
        <f t="shared" si="11"/>
        <v>0</v>
      </c>
      <c r="AN28" s="33">
        <f t="shared" si="12"/>
        <v>0</v>
      </c>
      <c r="AO28" s="33">
        <f t="shared" si="13"/>
        <v>0</v>
      </c>
      <c r="AP28" s="33">
        <f t="shared" si="14"/>
        <v>0</v>
      </c>
      <c r="AQ28" s="197">
        <f t="shared" si="32"/>
        <v>0</v>
      </c>
      <c r="AR28" s="197">
        <f t="shared" si="32"/>
        <v>0</v>
      </c>
      <c r="AS28" s="197">
        <f t="shared" si="32"/>
        <v>0</v>
      </c>
      <c r="AT28" s="197">
        <f t="shared" si="32"/>
        <v>0</v>
      </c>
      <c r="AU28" s="33"/>
      <c r="AV28" s="33"/>
      <c r="AW28" s="33"/>
      <c r="AX28" s="33"/>
      <c r="AY28" s="167">
        <f t="shared" si="24"/>
        <v>0</v>
      </c>
      <c r="AZ28" s="201"/>
    </row>
    <row r="29" spans="2:55">
      <c r="B29" s="40">
        <f t="shared" si="31"/>
        <v>26</v>
      </c>
      <c r="C29" s="155">
        <f t="shared" ref="C29:C78" si="38">C27+5</f>
        <v>30</v>
      </c>
      <c r="D29" s="140">
        <f>D30+28</f>
        <v>116</v>
      </c>
      <c r="E29" s="144">
        <f t="shared" si="29"/>
        <v>1.56</v>
      </c>
      <c r="F29" s="42">
        <f t="shared" si="30"/>
        <v>180.96</v>
      </c>
      <c r="G29" s="51">
        <f t="shared" si="33"/>
        <v>18.330000000000002</v>
      </c>
      <c r="I29" s="55">
        <v>24</v>
      </c>
      <c r="J29" s="33">
        <f t="shared" si="18"/>
        <v>0</v>
      </c>
      <c r="K29" s="33">
        <f t="shared" si="19"/>
        <v>0</v>
      </c>
      <c r="L29" s="33">
        <f t="shared" si="20"/>
        <v>70</v>
      </c>
      <c r="M29" s="33">
        <f t="shared" si="21"/>
        <v>0</v>
      </c>
      <c r="N29" s="33">
        <f t="shared" si="0"/>
        <v>0</v>
      </c>
      <c r="O29" s="34">
        <f t="shared" si="1"/>
        <v>256.66666666666669</v>
      </c>
      <c r="P29" s="55">
        <v>24</v>
      </c>
      <c r="Q29" s="33">
        <f t="shared" si="15"/>
        <v>17.16</v>
      </c>
      <c r="R29" s="33">
        <f t="shared" si="22"/>
        <v>101.4</v>
      </c>
      <c r="S29" s="33">
        <f t="shared" si="23"/>
        <v>61.853999999999999</v>
      </c>
      <c r="T29" s="33">
        <f t="shared" si="2"/>
        <v>17.63618493021675</v>
      </c>
      <c r="U29" s="33">
        <f t="shared" si="16"/>
        <v>70</v>
      </c>
      <c r="V29" s="33">
        <f t="shared" si="3"/>
        <v>8</v>
      </c>
      <c r="W29" s="33">
        <v>0</v>
      </c>
      <c r="X29" s="33">
        <f t="shared" si="4"/>
        <v>424.44540542012754</v>
      </c>
      <c r="Y29" s="38">
        <f t="shared" si="5"/>
        <v>167.77873875346086</v>
      </c>
      <c r="AA29" s="71">
        <v>24</v>
      </c>
      <c r="AB29" s="33">
        <f t="shared" si="6"/>
        <v>0</v>
      </c>
      <c r="AC29" s="308">
        <f t="shared" si="7"/>
        <v>0</v>
      </c>
      <c r="AD29" s="101">
        <f t="shared" si="8"/>
        <v>0</v>
      </c>
      <c r="AE29" s="101">
        <f t="shared" si="9"/>
        <v>0</v>
      </c>
      <c r="AF29" s="197">
        <f t="shared" si="34"/>
        <v>0</v>
      </c>
      <c r="AG29" s="197">
        <f t="shared" si="35"/>
        <v>0</v>
      </c>
      <c r="AH29" s="197">
        <f t="shared" si="36"/>
        <v>0</v>
      </c>
      <c r="AI29" s="202">
        <f t="shared" si="37"/>
        <v>0</v>
      </c>
      <c r="AK29" s="71">
        <v>24</v>
      </c>
      <c r="AL29" s="33">
        <f t="shared" si="10"/>
        <v>0</v>
      </c>
      <c r="AM29" s="33">
        <f t="shared" si="11"/>
        <v>0</v>
      </c>
      <c r="AN29" s="33">
        <f t="shared" si="12"/>
        <v>0</v>
      </c>
      <c r="AO29" s="33">
        <f t="shared" si="13"/>
        <v>0</v>
      </c>
      <c r="AP29" s="33">
        <f t="shared" si="14"/>
        <v>0</v>
      </c>
      <c r="AQ29" s="197">
        <f t="shared" si="32"/>
        <v>0</v>
      </c>
      <c r="AR29" s="197">
        <f t="shared" si="32"/>
        <v>0</v>
      </c>
      <c r="AS29" s="197">
        <f t="shared" si="32"/>
        <v>0</v>
      </c>
      <c r="AT29" s="197">
        <f t="shared" si="32"/>
        <v>0</v>
      </c>
      <c r="AU29" s="33"/>
      <c r="AV29" s="33"/>
      <c r="AW29" s="33"/>
      <c r="AX29" s="33"/>
      <c r="AY29" s="167">
        <f t="shared" si="24"/>
        <v>0</v>
      </c>
      <c r="AZ29" s="201"/>
    </row>
    <row r="30" spans="2:55">
      <c r="B30" s="40">
        <f t="shared" si="31"/>
        <v>30</v>
      </c>
      <c r="C30" s="155">
        <f t="shared" si="38"/>
        <v>31</v>
      </c>
      <c r="D30" s="140">
        <v>88</v>
      </c>
      <c r="E30" s="144">
        <f t="shared" si="29"/>
        <v>1.56</v>
      </c>
      <c r="F30" s="42">
        <f t="shared" si="30"/>
        <v>137.28</v>
      </c>
      <c r="G30" s="51">
        <f t="shared" si="33"/>
        <v>-43.680000000000007</v>
      </c>
      <c r="I30" s="55">
        <v>25</v>
      </c>
      <c r="J30" s="33">
        <f t="shared" si="18"/>
        <v>0</v>
      </c>
      <c r="K30" s="33">
        <f t="shared" si="19"/>
        <v>0</v>
      </c>
      <c r="L30" s="33">
        <f t="shared" si="20"/>
        <v>70</v>
      </c>
      <c r="M30" s="33">
        <f t="shared" si="21"/>
        <v>0</v>
      </c>
      <c r="N30" s="33">
        <f t="shared" si="0"/>
        <v>0</v>
      </c>
      <c r="O30" s="34">
        <f t="shared" si="1"/>
        <v>256.66666666666669</v>
      </c>
      <c r="P30" s="55">
        <v>25</v>
      </c>
      <c r="Q30" s="33">
        <f t="shared" si="15"/>
        <v>17.16</v>
      </c>
      <c r="R30" s="33">
        <f t="shared" si="22"/>
        <v>118.56</v>
      </c>
      <c r="S30" s="33">
        <f t="shared" si="23"/>
        <v>72.321600000000004</v>
      </c>
      <c r="T30" s="33">
        <f t="shared" si="2"/>
        <v>20.248893319861061</v>
      </c>
      <c r="U30" s="33">
        <f t="shared" si="16"/>
        <v>70</v>
      </c>
      <c r="V30" s="33">
        <f t="shared" si="3"/>
        <v>8.3333333333333339</v>
      </c>
      <c r="W30" s="33">
        <v>0</v>
      </c>
      <c r="X30" s="33">
        <f t="shared" si="4"/>
        <v>448.44916475431359</v>
      </c>
      <c r="Y30" s="38">
        <f t="shared" si="5"/>
        <v>191.7824980876469</v>
      </c>
      <c r="AA30" s="71">
        <v>25</v>
      </c>
      <c r="AB30" s="33">
        <f t="shared" si="6"/>
        <v>0</v>
      </c>
      <c r="AC30" s="308">
        <f>IF(AA30&lt;=$F$18,IFERROR(VLOOKUP($AA30,$B$82:$G$94,3,FALSE),0),)*50%</f>
        <v>0</v>
      </c>
      <c r="AD30" s="101">
        <f t="shared" si="8"/>
        <v>0</v>
      </c>
      <c r="AE30" s="101">
        <f t="shared" si="9"/>
        <v>0</v>
      </c>
      <c r="AF30" s="197">
        <f t="shared" si="34"/>
        <v>0</v>
      </c>
      <c r="AG30" s="197">
        <f t="shared" si="35"/>
        <v>0</v>
      </c>
      <c r="AH30" s="197">
        <f t="shared" si="36"/>
        <v>0</v>
      </c>
      <c r="AI30" s="202">
        <f t="shared" si="37"/>
        <v>0</v>
      </c>
      <c r="AK30" s="71">
        <v>25</v>
      </c>
      <c r="AL30" s="33">
        <f t="shared" si="10"/>
        <v>0</v>
      </c>
      <c r="AM30" s="33">
        <f t="shared" si="11"/>
        <v>0</v>
      </c>
      <c r="AN30" s="33">
        <f t="shared" si="12"/>
        <v>0</v>
      </c>
      <c r="AO30" s="33">
        <f t="shared" si="13"/>
        <v>0</v>
      </c>
      <c r="AP30" s="33">
        <f t="shared" si="14"/>
        <v>0</v>
      </c>
      <c r="AQ30" s="197">
        <f t="shared" si="32"/>
        <v>0</v>
      </c>
      <c r="AR30" s="197">
        <f t="shared" si="32"/>
        <v>0</v>
      </c>
      <c r="AS30" s="197">
        <f t="shared" si="32"/>
        <v>0</v>
      </c>
      <c r="AT30" s="197">
        <f t="shared" si="32"/>
        <v>0</v>
      </c>
      <c r="AU30" s="33"/>
      <c r="AV30" s="33"/>
      <c r="AW30" s="33"/>
      <c r="AX30" s="33"/>
      <c r="AY30" s="167">
        <f t="shared" si="24"/>
        <v>0</v>
      </c>
      <c r="AZ30" s="201"/>
    </row>
    <row r="31" spans="2:55">
      <c r="B31" s="40">
        <f t="shared" si="31"/>
        <v>31</v>
      </c>
      <c r="C31" s="155">
        <f t="shared" si="38"/>
        <v>35</v>
      </c>
      <c r="D31" s="140">
        <f>D32+28</f>
        <v>139</v>
      </c>
      <c r="E31" s="144">
        <f t="shared" si="29"/>
        <v>1.56</v>
      </c>
      <c r="F31" s="42">
        <f t="shared" si="30"/>
        <v>216.84</v>
      </c>
      <c r="G31" s="51">
        <f t="shared" si="33"/>
        <v>19.89</v>
      </c>
      <c r="I31" s="55">
        <v>26</v>
      </c>
      <c r="J31" s="33">
        <f t="shared" si="18"/>
        <v>0</v>
      </c>
      <c r="K31" s="33">
        <f t="shared" si="19"/>
        <v>0</v>
      </c>
      <c r="L31" s="33">
        <f t="shared" si="20"/>
        <v>70</v>
      </c>
      <c r="M31" s="33">
        <f t="shared" si="21"/>
        <v>0</v>
      </c>
      <c r="N31" s="33">
        <f t="shared" si="0"/>
        <v>0</v>
      </c>
      <c r="O31" s="34">
        <f t="shared" si="1"/>
        <v>256.66666666666669</v>
      </c>
      <c r="P31" s="55">
        <v>26</v>
      </c>
      <c r="Q31" s="33">
        <f t="shared" si="15"/>
        <v>-10.920000000000002</v>
      </c>
      <c r="R31" s="33">
        <f t="shared" si="22"/>
        <v>107.64</v>
      </c>
      <c r="S31" s="33">
        <f t="shared" si="23"/>
        <v>65.660399999999996</v>
      </c>
      <c r="T31" s="33">
        <f t="shared" si="2"/>
        <v>18.591800852927584</v>
      </c>
      <c r="U31" s="33">
        <f t="shared" si="16"/>
        <v>70</v>
      </c>
      <c r="V31" s="33">
        <f t="shared" si="3"/>
        <v>8.6666666666666661</v>
      </c>
      <c r="W31" s="33">
        <v>0</v>
      </c>
      <c r="X31" s="33">
        <f t="shared" si="4"/>
        <v>435.18369426329332</v>
      </c>
      <c r="Y31" s="38">
        <f t="shared" si="5"/>
        <v>178.51702759662663</v>
      </c>
      <c r="AA31" s="71">
        <v>26</v>
      </c>
      <c r="AB31" s="33">
        <f t="shared" si="6"/>
        <v>7</v>
      </c>
      <c r="AC31" s="308">
        <f t="shared" ref="AC31:AC94" si="39">IF(AA31&lt;=$F$18,IFERROR(VLOOKUP($AA31,$B$82:$G$94,3,FALSE),0),)*50%</f>
        <v>0</v>
      </c>
      <c r="AD31" s="101">
        <f t="shared" si="8"/>
        <v>0</v>
      </c>
      <c r="AE31" s="101">
        <f t="shared" si="9"/>
        <v>0</v>
      </c>
      <c r="AF31" s="197">
        <f t="shared" si="34"/>
        <v>0</v>
      </c>
      <c r="AG31" s="197">
        <f t="shared" si="35"/>
        <v>0</v>
      </c>
      <c r="AH31" s="197">
        <f t="shared" si="36"/>
        <v>0</v>
      </c>
      <c r="AI31" s="202">
        <f t="shared" si="37"/>
        <v>0</v>
      </c>
      <c r="AK31" s="71">
        <v>26</v>
      </c>
      <c r="AL31" s="33">
        <f t="shared" si="10"/>
        <v>7</v>
      </c>
      <c r="AM31" s="33">
        <f t="shared" si="11"/>
        <v>0</v>
      </c>
      <c r="AN31" s="33">
        <f t="shared" si="12"/>
        <v>0</v>
      </c>
      <c r="AO31" s="33">
        <f t="shared" si="13"/>
        <v>0</v>
      </c>
      <c r="AP31" s="33">
        <f t="shared" si="14"/>
        <v>1</v>
      </c>
      <c r="AQ31" s="197">
        <f t="shared" si="32"/>
        <v>0</v>
      </c>
      <c r="AR31" s="197">
        <f t="shared" si="32"/>
        <v>0</v>
      </c>
      <c r="AS31" s="197">
        <f t="shared" si="32"/>
        <v>0</v>
      </c>
      <c r="AT31" s="197">
        <f t="shared" si="32"/>
        <v>7</v>
      </c>
      <c r="AU31" s="33"/>
      <c r="AV31" s="33"/>
      <c r="AW31" s="33"/>
      <c r="AX31" s="33"/>
      <c r="AY31" s="167">
        <f t="shared" si="24"/>
        <v>1.75</v>
      </c>
      <c r="AZ31" s="201"/>
    </row>
    <row r="32" spans="2:55">
      <c r="B32" s="40">
        <f t="shared" si="31"/>
        <v>35</v>
      </c>
      <c r="C32" s="155">
        <f t="shared" si="38"/>
        <v>36</v>
      </c>
      <c r="D32" s="140">
        <v>111</v>
      </c>
      <c r="E32" s="144">
        <f t="shared" si="29"/>
        <v>1.56</v>
      </c>
      <c r="F32" s="42">
        <f t="shared" si="30"/>
        <v>173.16</v>
      </c>
      <c r="G32" s="51">
        <f t="shared" si="33"/>
        <v>-43.680000000000007</v>
      </c>
      <c r="I32" s="55">
        <v>27</v>
      </c>
      <c r="J32" s="33">
        <f t="shared" si="18"/>
        <v>0</v>
      </c>
      <c r="K32" s="33">
        <f t="shared" si="19"/>
        <v>0</v>
      </c>
      <c r="L32" s="33">
        <f t="shared" si="20"/>
        <v>70</v>
      </c>
      <c r="M32" s="33">
        <f t="shared" si="21"/>
        <v>0</v>
      </c>
      <c r="N32" s="33">
        <f t="shared" si="0"/>
        <v>0</v>
      </c>
      <c r="O32" s="34">
        <f t="shared" si="1"/>
        <v>256.66666666666669</v>
      </c>
      <c r="P32" s="55">
        <v>27</v>
      </c>
      <c r="Q32" s="33">
        <f t="shared" si="15"/>
        <v>18.330000000000002</v>
      </c>
      <c r="R32" s="33">
        <f t="shared" si="22"/>
        <v>125.97</v>
      </c>
      <c r="S32" s="33">
        <f t="shared" si="23"/>
        <v>76.841700000000003</v>
      </c>
      <c r="T32" s="33">
        <f t="shared" si="2"/>
        <v>21.363162431132679</v>
      </c>
      <c r="U32" s="33">
        <f t="shared" si="16"/>
        <v>70</v>
      </c>
      <c r="V32" s="33">
        <f t="shared" si="3"/>
        <v>9</v>
      </c>
      <c r="W32" s="33">
        <v>0</v>
      </c>
      <c r="X32" s="33">
        <f t="shared" si="4"/>
        <v>460.70680206755605</v>
      </c>
      <c r="Y32" s="38">
        <f t="shared" si="5"/>
        <v>204.04013540088937</v>
      </c>
      <c r="AA32" s="71">
        <v>27</v>
      </c>
      <c r="AB32" s="33">
        <f t="shared" si="6"/>
        <v>0</v>
      </c>
      <c r="AC32" s="308">
        <f t="shared" si="39"/>
        <v>0</v>
      </c>
      <c r="AD32" s="101">
        <f t="shared" si="8"/>
        <v>0</v>
      </c>
      <c r="AE32" s="101">
        <f t="shared" si="9"/>
        <v>0</v>
      </c>
      <c r="AF32" s="197">
        <f t="shared" si="34"/>
        <v>0</v>
      </c>
      <c r="AG32" s="197">
        <f t="shared" si="35"/>
        <v>0</v>
      </c>
      <c r="AH32" s="197">
        <f t="shared" si="36"/>
        <v>0</v>
      </c>
      <c r="AI32" s="202">
        <f t="shared" si="37"/>
        <v>0</v>
      </c>
      <c r="AK32" s="71">
        <v>27</v>
      </c>
      <c r="AL32" s="33">
        <f t="shared" si="10"/>
        <v>0</v>
      </c>
      <c r="AM32" s="33">
        <f t="shared" si="11"/>
        <v>0</v>
      </c>
      <c r="AN32" s="33">
        <f t="shared" si="12"/>
        <v>0</v>
      </c>
      <c r="AO32" s="33">
        <f t="shared" si="13"/>
        <v>0</v>
      </c>
      <c r="AP32" s="33">
        <f t="shared" si="14"/>
        <v>0</v>
      </c>
      <c r="AQ32" s="197">
        <f t="shared" si="32"/>
        <v>0</v>
      </c>
      <c r="AR32" s="197">
        <f t="shared" si="32"/>
        <v>0</v>
      </c>
      <c r="AS32" s="197">
        <f t="shared" si="32"/>
        <v>0</v>
      </c>
      <c r="AT32" s="197">
        <f t="shared" si="32"/>
        <v>0</v>
      </c>
      <c r="AU32" s="33"/>
      <c r="AV32" s="33"/>
      <c r="AW32" s="33"/>
      <c r="AX32" s="33"/>
      <c r="AY32" s="167">
        <f t="shared" si="24"/>
        <v>1.75</v>
      </c>
      <c r="AZ32" s="201"/>
    </row>
    <row r="33" spans="2:52">
      <c r="B33" s="40">
        <f t="shared" si="31"/>
        <v>36</v>
      </c>
      <c r="C33" s="155">
        <f t="shared" si="38"/>
        <v>40</v>
      </c>
      <c r="D33" s="140">
        <f>D34+28</f>
        <v>163</v>
      </c>
      <c r="E33" s="144">
        <f t="shared" si="29"/>
        <v>1.56</v>
      </c>
      <c r="F33" s="42">
        <f t="shared" si="30"/>
        <v>254.28</v>
      </c>
      <c r="G33" s="51">
        <f t="shared" si="33"/>
        <v>20.28</v>
      </c>
      <c r="I33" s="55">
        <v>28</v>
      </c>
      <c r="J33" s="33">
        <f t="shared" si="18"/>
        <v>0</v>
      </c>
      <c r="K33" s="33">
        <f t="shared" si="19"/>
        <v>0</v>
      </c>
      <c r="L33" s="33">
        <f t="shared" si="20"/>
        <v>70</v>
      </c>
      <c r="M33" s="33">
        <f t="shared" si="21"/>
        <v>0</v>
      </c>
      <c r="N33" s="33">
        <f t="shared" si="0"/>
        <v>0</v>
      </c>
      <c r="O33" s="34">
        <f t="shared" si="1"/>
        <v>256.66666666666669</v>
      </c>
      <c r="P33" s="55">
        <v>28</v>
      </c>
      <c r="Q33" s="33">
        <f t="shared" si="15"/>
        <v>18.330000000000002</v>
      </c>
      <c r="R33" s="33">
        <f t="shared" si="22"/>
        <v>144.30000000000001</v>
      </c>
      <c r="S33" s="33">
        <f t="shared" si="23"/>
        <v>88.02300000000001</v>
      </c>
      <c r="T33" s="33">
        <f t="shared" si="2"/>
        <v>24.087805582395426</v>
      </c>
      <c r="U33" s="33">
        <f t="shared" si="16"/>
        <v>70</v>
      </c>
      <c r="V33" s="33">
        <f t="shared" si="3"/>
        <v>9.3333333333333339</v>
      </c>
      <c r="W33" s="33">
        <v>0</v>
      </c>
      <c r="X33" s="33">
        <f t="shared" si="4"/>
        <v>486.1485419448943</v>
      </c>
      <c r="Y33" s="38">
        <f t="shared" si="5"/>
        <v>229.48187527822762</v>
      </c>
      <c r="AA33" s="71">
        <v>28</v>
      </c>
      <c r="AB33" s="33">
        <f t="shared" si="6"/>
        <v>0</v>
      </c>
      <c r="AC33" s="308">
        <f t="shared" si="39"/>
        <v>0</v>
      </c>
      <c r="AD33" s="101">
        <f t="shared" si="8"/>
        <v>0</v>
      </c>
      <c r="AE33" s="101">
        <f t="shared" si="9"/>
        <v>0</v>
      </c>
      <c r="AF33" s="197">
        <f t="shared" si="34"/>
        <v>0</v>
      </c>
      <c r="AG33" s="197">
        <f t="shared" si="35"/>
        <v>0</v>
      </c>
      <c r="AH33" s="197">
        <f t="shared" si="36"/>
        <v>0</v>
      </c>
      <c r="AI33" s="202">
        <f t="shared" si="37"/>
        <v>0</v>
      </c>
      <c r="AK33" s="71">
        <v>28</v>
      </c>
      <c r="AL33" s="33">
        <f t="shared" si="10"/>
        <v>0</v>
      </c>
      <c r="AM33" s="33">
        <f t="shared" si="11"/>
        <v>0</v>
      </c>
      <c r="AN33" s="33">
        <f t="shared" si="12"/>
        <v>0</v>
      </c>
      <c r="AO33" s="33">
        <f t="shared" si="13"/>
        <v>0</v>
      </c>
      <c r="AP33" s="33">
        <f t="shared" si="14"/>
        <v>0</v>
      </c>
      <c r="AQ33" s="197">
        <f t="shared" si="32"/>
        <v>0</v>
      </c>
      <c r="AR33" s="197">
        <f t="shared" si="32"/>
        <v>0</v>
      </c>
      <c r="AS33" s="197">
        <f t="shared" si="32"/>
        <v>0</v>
      </c>
      <c r="AT33" s="197">
        <f t="shared" si="32"/>
        <v>0</v>
      </c>
      <c r="AU33" s="33"/>
      <c r="AV33" s="33"/>
      <c r="AW33" s="33"/>
      <c r="AX33" s="33"/>
      <c r="AY33" s="167">
        <f t="shared" si="24"/>
        <v>1.75</v>
      </c>
      <c r="AZ33" s="201"/>
    </row>
    <row r="34" spans="2:52" ht="16" thickBot="1">
      <c r="B34" s="40">
        <f t="shared" si="31"/>
        <v>40</v>
      </c>
      <c r="C34" s="155">
        <f t="shared" si="38"/>
        <v>41</v>
      </c>
      <c r="D34" s="140">
        <v>135</v>
      </c>
      <c r="E34" s="144">
        <f t="shared" si="29"/>
        <v>1.56</v>
      </c>
      <c r="F34" s="42">
        <f t="shared" si="30"/>
        <v>210.6</v>
      </c>
      <c r="G34" s="51">
        <f t="shared" si="33"/>
        <v>-43.680000000000007</v>
      </c>
      <c r="I34" s="55">
        <v>29</v>
      </c>
      <c r="J34" s="33">
        <f t="shared" si="18"/>
        <v>0</v>
      </c>
      <c r="K34" s="33">
        <f t="shared" si="19"/>
        <v>0</v>
      </c>
      <c r="L34" s="33">
        <f t="shared" si="20"/>
        <v>70</v>
      </c>
      <c r="M34" s="33">
        <f t="shared" si="21"/>
        <v>0</v>
      </c>
      <c r="N34" s="33">
        <f t="shared" si="0"/>
        <v>0</v>
      </c>
      <c r="O34" s="34">
        <f t="shared" si="1"/>
        <v>256.66666666666669</v>
      </c>
      <c r="P34" s="55">
        <v>29</v>
      </c>
      <c r="Q34" s="35">
        <f t="shared" si="15"/>
        <v>18.330000000000002</v>
      </c>
      <c r="R34" s="33">
        <f t="shared" si="22"/>
        <v>162.63000000000002</v>
      </c>
      <c r="S34" s="33">
        <f t="shared" si="23"/>
        <v>99.204300000000018</v>
      </c>
      <c r="T34" s="33">
        <f t="shared" si="2"/>
        <v>26.772344947891842</v>
      </c>
      <c r="U34" s="33">
        <f t="shared" si="16"/>
        <v>70</v>
      </c>
      <c r="V34" s="33">
        <f t="shared" si="3"/>
        <v>9.6666666666666661</v>
      </c>
      <c r="W34" s="33">
        <v>0</v>
      </c>
      <c r="X34" s="33">
        <f t="shared" si="4"/>
        <v>511.52043439535606</v>
      </c>
      <c r="Y34" s="38">
        <f t="shared" si="5"/>
        <v>254.85376772868938</v>
      </c>
      <c r="AA34" s="71">
        <v>29</v>
      </c>
      <c r="AB34" s="146">
        <f t="shared" si="6"/>
        <v>0</v>
      </c>
      <c r="AC34" s="308">
        <f t="shared" si="39"/>
        <v>0</v>
      </c>
      <c r="AD34" s="102">
        <f t="shared" si="8"/>
        <v>0</v>
      </c>
      <c r="AE34" s="102">
        <f t="shared" si="9"/>
        <v>0</v>
      </c>
      <c r="AF34" s="199">
        <f t="shared" si="34"/>
        <v>0</v>
      </c>
      <c r="AG34" s="199">
        <f t="shared" si="35"/>
        <v>0</v>
      </c>
      <c r="AH34" s="197">
        <f t="shared" si="36"/>
        <v>0</v>
      </c>
      <c r="AI34" s="202">
        <f t="shared" si="37"/>
        <v>0</v>
      </c>
      <c r="AK34" s="71">
        <v>29</v>
      </c>
      <c r="AL34" s="146">
        <f t="shared" si="10"/>
        <v>0</v>
      </c>
      <c r="AM34" s="35">
        <f t="shared" si="11"/>
        <v>0</v>
      </c>
      <c r="AN34" s="35">
        <f t="shared" si="12"/>
        <v>0</v>
      </c>
      <c r="AO34" s="35">
        <f t="shared" si="13"/>
        <v>0</v>
      </c>
      <c r="AP34" s="35">
        <f t="shared" si="14"/>
        <v>0</v>
      </c>
      <c r="AQ34" s="197">
        <f t="shared" si="32"/>
        <v>0</v>
      </c>
      <c r="AR34" s="197">
        <f t="shared" si="32"/>
        <v>0</v>
      </c>
      <c r="AS34" s="197">
        <f t="shared" si="32"/>
        <v>0</v>
      </c>
      <c r="AT34" s="197">
        <f t="shared" si="32"/>
        <v>0</v>
      </c>
      <c r="AU34" s="33"/>
      <c r="AV34" s="33"/>
      <c r="AW34" s="33"/>
      <c r="AX34" s="33"/>
      <c r="AY34" s="167">
        <f t="shared" si="24"/>
        <v>1.75</v>
      </c>
      <c r="AZ34" s="201"/>
    </row>
    <row r="35" spans="2:52" ht="16" thickBot="1">
      <c r="B35" s="40">
        <f t="shared" si="31"/>
        <v>41</v>
      </c>
      <c r="C35" s="155">
        <f t="shared" si="38"/>
        <v>45</v>
      </c>
      <c r="D35" s="140">
        <f>D36+28</f>
        <v>190</v>
      </c>
      <c r="E35" s="144">
        <f t="shared" si="29"/>
        <v>1.56</v>
      </c>
      <c r="F35" s="42">
        <f t="shared" si="30"/>
        <v>296.40000000000003</v>
      </c>
      <c r="G35" s="51">
        <f t="shared" si="33"/>
        <v>21.45000000000001</v>
      </c>
      <c r="I35" s="87">
        <v>30</v>
      </c>
      <c r="J35" s="162">
        <f>IF($I35&lt;=$F$10,IF(AND(D8=B100,F12=C194),($F$11*$F$13+J34*50%),$F$11*$F$13+J34),)</f>
        <v>0</v>
      </c>
      <c r="K35" s="53">
        <f t="shared" si="19"/>
        <v>0</v>
      </c>
      <c r="L35" s="53">
        <f t="shared" si="20"/>
        <v>70</v>
      </c>
      <c r="M35" s="53">
        <f t="shared" si="21"/>
        <v>0</v>
      </c>
      <c r="N35" s="54">
        <f t="shared" si="0"/>
        <v>0</v>
      </c>
      <c r="O35" s="69">
        <f t="shared" si="1"/>
        <v>256.66666666666669</v>
      </c>
      <c r="P35" s="87">
        <v>30</v>
      </c>
      <c r="Q35" s="53">
        <f t="shared" si="15"/>
        <v>18.330000000000002</v>
      </c>
      <c r="R35" s="54">
        <f t="shared" si="22"/>
        <v>180.96000000000004</v>
      </c>
      <c r="S35" s="53">
        <f t="shared" si="23"/>
        <v>110.38560000000003</v>
      </c>
      <c r="T35" s="54">
        <f t="shared" si="2"/>
        <v>29.421816429201407</v>
      </c>
      <c r="U35" s="54">
        <f t="shared" si="16"/>
        <v>70</v>
      </c>
      <c r="V35" s="53">
        <f t="shared" si="3"/>
        <v>10</v>
      </c>
      <c r="W35" s="54">
        <v>0</v>
      </c>
      <c r="X35" s="69">
        <f t="shared" si="4"/>
        <v>536.83125028085908</v>
      </c>
      <c r="Y35" s="65">
        <f t="shared" si="5"/>
        <v>280.1645836141924</v>
      </c>
      <c r="AA35" s="73">
        <v>30</v>
      </c>
      <c r="AB35" s="146">
        <f t="shared" si="6"/>
        <v>0</v>
      </c>
      <c r="AC35" s="308">
        <f t="shared" si="39"/>
        <v>0</v>
      </c>
      <c r="AD35" s="102">
        <f t="shared" si="8"/>
        <v>0</v>
      </c>
      <c r="AE35" s="102">
        <f t="shared" si="9"/>
        <v>0</v>
      </c>
      <c r="AF35" s="203">
        <f t="shared" si="34"/>
        <v>0</v>
      </c>
      <c r="AG35" s="198">
        <f t="shared" si="35"/>
        <v>0</v>
      </c>
      <c r="AH35" s="204">
        <f t="shared" si="36"/>
        <v>0</v>
      </c>
      <c r="AI35" s="205">
        <f t="shared" si="37"/>
        <v>0</v>
      </c>
      <c r="AJ35" s="8"/>
      <c r="AK35" s="73">
        <v>30</v>
      </c>
      <c r="AL35" s="146">
        <f t="shared" si="10"/>
        <v>0</v>
      </c>
      <c r="AM35" s="35">
        <f t="shared" si="11"/>
        <v>0</v>
      </c>
      <c r="AN35" s="35">
        <f t="shared" si="12"/>
        <v>0</v>
      </c>
      <c r="AO35" s="35">
        <f t="shared" si="13"/>
        <v>0</v>
      </c>
      <c r="AP35" s="35">
        <f t="shared" si="14"/>
        <v>0</v>
      </c>
      <c r="AQ35" s="198">
        <f t="shared" si="32"/>
        <v>0</v>
      </c>
      <c r="AR35" s="198">
        <f t="shared" si="32"/>
        <v>0</v>
      </c>
      <c r="AS35" s="198">
        <f t="shared" si="32"/>
        <v>0</v>
      </c>
      <c r="AT35" s="198">
        <f t="shared" si="32"/>
        <v>0</v>
      </c>
      <c r="AU35" s="53"/>
      <c r="AV35" s="53"/>
      <c r="AW35" s="53"/>
      <c r="AX35" s="53"/>
      <c r="AY35" s="168">
        <f t="shared" si="24"/>
        <v>1.75</v>
      </c>
      <c r="AZ35" s="201"/>
    </row>
    <row r="36" spans="2:52">
      <c r="B36" s="40">
        <f t="shared" si="31"/>
        <v>45</v>
      </c>
      <c r="C36" s="155">
        <f t="shared" si="38"/>
        <v>46</v>
      </c>
      <c r="D36" s="140">
        <v>162</v>
      </c>
      <c r="E36" s="144">
        <f t="shared" si="29"/>
        <v>1.56</v>
      </c>
      <c r="F36" s="42">
        <f t="shared" si="30"/>
        <v>252.72</v>
      </c>
      <c r="G36" s="51">
        <f t="shared" si="33"/>
        <v>-43.680000000000035</v>
      </c>
      <c r="I36" s="55">
        <v>31</v>
      </c>
      <c r="J36" s="33">
        <f t="shared" si="18"/>
        <v>0</v>
      </c>
      <c r="K36" s="33">
        <f t="shared" si="19"/>
        <v>0</v>
      </c>
      <c r="L36" s="33">
        <f t="shared" si="20"/>
        <v>70</v>
      </c>
      <c r="M36" s="33">
        <f t="shared" si="21"/>
        <v>0</v>
      </c>
      <c r="N36" s="33">
        <f t="shared" si="0"/>
        <v>0</v>
      </c>
      <c r="O36" s="34">
        <f t="shared" si="1"/>
        <v>256.66666666666669</v>
      </c>
      <c r="P36" s="55">
        <v>31</v>
      </c>
      <c r="Q36" s="33">
        <f t="shared" si="15"/>
        <v>-43.680000000000007</v>
      </c>
      <c r="R36" s="33">
        <f t="shared" si="22"/>
        <v>137.28000000000003</v>
      </c>
      <c r="S36" s="33">
        <f t="shared" si="23"/>
        <v>83.740800000000021</v>
      </c>
      <c r="T36" s="33">
        <f t="shared" si="2"/>
        <v>23.049382303805039</v>
      </c>
      <c r="U36" s="33">
        <f t="shared" si="16"/>
        <v>70</v>
      </c>
      <c r="V36" s="33">
        <f t="shared" si="3"/>
        <v>10</v>
      </c>
      <c r="W36" s="33">
        <v>0</v>
      </c>
      <c r="X36" s="33">
        <f t="shared" si="4"/>
        <v>479.32623417912714</v>
      </c>
      <c r="Y36" s="38">
        <f t="shared" si="5"/>
        <v>222.65956751246046</v>
      </c>
      <c r="AA36" s="71">
        <v>31</v>
      </c>
      <c r="AB36" s="33">
        <f t="shared" si="6"/>
        <v>28</v>
      </c>
      <c r="AC36" s="308">
        <f t="shared" si="39"/>
        <v>0</v>
      </c>
      <c r="AD36" s="101">
        <f t="shared" si="8"/>
        <v>0</v>
      </c>
      <c r="AE36" s="101">
        <f t="shared" si="9"/>
        <v>0</v>
      </c>
      <c r="AF36" s="197">
        <f t="shared" si="34"/>
        <v>0</v>
      </c>
      <c r="AG36" s="197">
        <f t="shared" si="35"/>
        <v>0</v>
      </c>
      <c r="AH36" s="197">
        <f t="shared" si="36"/>
        <v>0</v>
      </c>
      <c r="AI36" s="202">
        <f t="shared" si="37"/>
        <v>0</v>
      </c>
      <c r="AK36" s="71">
        <v>31</v>
      </c>
      <c r="AL36" s="33">
        <f t="shared" si="10"/>
        <v>28</v>
      </c>
      <c r="AM36" s="33">
        <f t="shared" si="11"/>
        <v>0</v>
      </c>
      <c r="AN36" s="33">
        <f t="shared" si="12"/>
        <v>0</v>
      </c>
      <c r="AO36" s="33">
        <f t="shared" si="13"/>
        <v>0</v>
      </c>
      <c r="AP36" s="33">
        <f t="shared" si="14"/>
        <v>1</v>
      </c>
      <c r="AQ36" s="197">
        <f t="shared" si="32"/>
        <v>0</v>
      </c>
      <c r="AR36" s="197">
        <f t="shared" si="32"/>
        <v>0</v>
      </c>
      <c r="AS36" s="197">
        <f t="shared" si="32"/>
        <v>0</v>
      </c>
      <c r="AT36" s="197">
        <f t="shared" si="32"/>
        <v>28</v>
      </c>
      <c r="AU36" s="33"/>
      <c r="AV36" s="33"/>
      <c r="AW36" s="33"/>
      <c r="AX36" s="33"/>
      <c r="AY36" s="76"/>
    </row>
    <row r="37" spans="2:52">
      <c r="B37" s="40">
        <f t="shared" si="31"/>
        <v>46</v>
      </c>
      <c r="C37" s="155">
        <f t="shared" si="38"/>
        <v>50</v>
      </c>
      <c r="D37" s="140">
        <f>D38+28</f>
        <v>217</v>
      </c>
      <c r="E37" s="144">
        <f t="shared" si="29"/>
        <v>1.56</v>
      </c>
      <c r="F37" s="42">
        <f t="shared" si="30"/>
        <v>338.52000000000004</v>
      </c>
      <c r="G37" s="51">
        <f t="shared" si="33"/>
        <v>21.45000000000001</v>
      </c>
      <c r="I37" s="55">
        <v>32</v>
      </c>
      <c r="J37" s="33">
        <f t="shared" si="18"/>
        <v>0</v>
      </c>
      <c r="K37" s="33">
        <f t="shared" si="19"/>
        <v>0</v>
      </c>
      <c r="L37" s="33">
        <f t="shared" si="20"/>
        <v>70</v>
      </c>
      <c r="M37" s="33">
        <f t="shared" si="21"/>
        <v>0</v>
      </c>
      <c r="N37" s="33">
        <f t="shared" si="0"/>
        <v>0</v>
      </c>
      <c r="O37" s="34">
        <f t="shared" si="1"/>
        <v>256.66666666666669</v>
      </c>
      <c r="P37" s="55">
        <v>32</v>
      </c>
      <c r="Q37" s="33">
        <f t="shared" si="15"/>
        <v>19.89</v>
      </c>
      <c r="R37" s="33">
        <f t="shared" si="22"/>
        <v>157.17000000000002</v>
      </c>
      <c r="S37" s="33">
        <f t="shared" si="23"/>
        <v>95.873700000000014</v>
      </c>
      <c r="T37" s="33">
        <f t="shared" si="2"/>
        <v>25.97656564813332</v>
      </c>
      <c r="U37" s="33">
        <f t="shared" si="16"/>
        <v>70</v>
      </c>
      <c r="V37" s="33">
        <f t="shared" si="3"/>
        <v>10</v>
      </c>
      <c r="W37" s="33">
        <v>0</v>
      </c>
      <c r="X37" s="33">
        <f t="shared" si="4"/>
        <v>505.55587933716561</v>
      </c>
      <c r="Y37" s="38">
        <f t="shared" si="5"/>
        <v>248.88921267049892</v>
      </c>
      <c r="AA37" s="71">
        <v>32</v>
      </c>
      <c r="AB37" s="33">
        <f t="shared" si="6"/>
        <v>0</v>
      </c>
      <c r="AC37" s="308">
        <f t="shared" si="39"/>
        <v>0</v>
      </c>
      <c r="AD37" s="101">
        <f t="shared" si="8"/>
        <v>0</v>
      </c>
      <c r="AE37" s="101">
        <f t="shared" si="9"/>
        <v>0</v>
      </c>
      <c r="AF37" s="197">
        <f t="shared" si="34"/>
        <v>0</v>
      </c>
      <c r="AG37" s="197">
        <f t="shared" si="35"/>
        <v>0</v>
      </c>
      <c r="AH37" s="197">
        <f t="shared" si="36"/>
        <v>0</v>
      </c>
      <c r="AI37" s="202">
        <f t="shared" si="37"/>
        <v>0</v>
      </c>
      <c r="AK37" s="71">
        <v>32</v>
      </c>
      <c r="AL37" s="33">
        <f t="shared" si="10"/>
        <v>0</v>
      </c>
      <c r="AM37" s="33">
        <f t="shared" si="11"/>
        <v>0</v>
      </c>
      <c r="AN37" s="33">
        <f t="shared" si="12"/>
        <v>0</v>
      </c>
      <c r="AO37" s="33">
        <f t="shared" si="13"/>
        <v>0</v>
      </c>
      <c r="AP37" s="33">
        <f t="shared" si="14"/>
        <v>0</v>
      </c>
      <c r="AQ37" s="197">
        <f t="shared" si="32"/>
        <v>0</v>
      </c>
      <c r="AR37" s="197">
        <f t="shared" si="32"/>
        <v>0</v>
      </c>
      <c r="AS37" s="197">
        <f t="shared" si="32"/>
        <v>0</v>
      </c>
      <c r="AT37" s="197">
        <f t="shared" si="32"/>
        <v>0</v>
      </c>
      <c r="AU37" s="33"/>
      <c r="AV37" s="33"/>
      <c r="AW37" s="33"/>
      <c r="AX37" s="33"/>
      <c r="AY37" s="76"/>
    </row>
    <row r="38" spans="2:52">
      <c r="B38" s="40">
        <f t="shared" si="31"/>
        <v>50</v>
      </c>
      <c r="C38" s="155">
        <f t="shared" si="38"/>
        <v>51</v>
      </c>
      <c r="D38" s="140">
        <v>189</v>
      </c>
      <c r="E38" s="144">
        <f t="shared" si="29"/>
        <v>1.56</v>
      </c>
      <c r="F38" s="42">
        <f t="shared" si="30"/>
        <v>294.84000000000003</v>
      </c>
      <c r="G38" s="51">
        <f t="shared" si="33"/>
        <v>-43.680000000000007</v>
      </c>
      <c r="I38" s="55">
        <v>33</v>
      </c>
      <c r="J38" s="33">
        <f t="shared" si="18"/>
        <v>0</v>
      </c>
      <c r="K38" s="33">
        <f t="shared" si="19"/>
        <v>0</v>
      </c>
      <c r="L38" s="33">
        <f t="shared" si="20"/>
        <v>70</v>
      </c>
      <c r="M38" s="33">
        <f t="shared" si="21"/>
        <v>0</v>
      </c>
      <c r="N38" s="33">
        <f t="shared" si="0"/>
        <v>0</v>
      </c>
      <c r="O38" s="34">
        <f t="shared" si="1"/>
        <v>256.66666666666669</v>
      </c>
      <c r="P38" s="55">
        <v>33</v>
      </c>
      <c r="Q38" s="33">
        <f t="shared" si="15"/>
        <v>19.89</v>
      </c>
      <c r="R38" s="33">
        <f t="shared" si="22"/>
        <v>177.06</v>
      </c>
      <c r="S38" s="33">
        <f t="shared" si="23"/>
        <v>108.00660000000001</v>
      </c>
      <c r="T38" s="33">
        <f t="shared" si="2"/>
        <v>28.860825265494842</v>
      </c>
      <c r="U38" s="33">
        <f t="shared" si="16"/>
        <v>70</v>
      </c>
      <c r="V38" s="33">
        <f t="shared" si="3"/>
        <v>10</v>
      </c>
      <c r="W38" s="33">
        <v>0</v>
      </c>
      <c r="X38" s="33">
        <f t="shared" si="4"/>
        <v>531.71076567073681</v>
      </c>
      <c r="Y38" s="38">
        <f t="shared" si="5"/>
        <v>275.04409900407012</v>
      </c>
      <c r="AA38" s="71">
        <v>33</v>
      </c>
      <c r="AB38" s="33">
        <f t="shared" si="6"/>
        <v>0</v>
      </c>
      <c r="AC38" s="308">
        <f t="shared" si="39"/>
        <v>0</v>
      </c>
      <c r="AD38" s="101">
        <f t="shared" si="8"/>
        <v>0</v>
      </c>
      <c r="AE38" s="101">
        <f t="shared" si="9"/>
        <v>0</v>
      </c>
      <c r="AF38" s="197">
        <f t="shared" si="34"/>
        <v>0</v>
      </c>
      <c r="AG38" s="197">
        <f t="shared" si="35"/>
        <v>0</v>
      </c>
      <c r="AH38" s="197">
        <f t="shared" si="36"/>
        <v>0</v>
      </c>
      <c r="AI38" s="202">
        <f t="shared" si="37"/>
        <v>0</v>
      </c>
      <c r="AK38" s="71">
        <v>33</v>
      </c>
      <c r="AL38" s="33">
        <f t="shared" si="10"/>
        <v>0</v>
      </c>
      <c r="AM38" s="33">
        <f t="shared" si="11"/>
        <v>0</v>
      </c>
      <c r="AN38" s="33">
        <f t="shared" si="12"/>
        <v>0</v>
      </c>
      <c r="AO38" s="33">
        <f t="shared" si="13"/>
        <v>0</v>
      </c>
      <c r="AP38" s="33">
        <f t="shared" si="14"/>
        <v>0</v>
      </c>
      <c r="AQ38" s="197">
        <f t="shared" si="32"/>
        <v>0</v>
      </c>
      <c r="AR38" s="197">
        <f t="shared" si="32"/>
        <v>0</v>
      </c>
      <c r="AS38" s="197">
        <f t="shared" si="32"/>
        <v>0</v>
      </c>
      <c r="AT38" s="197">
        <f t="shared" si="32"/>
        <v>0</v>
      </c>
      <c r="AU38" s="33"/>
      <c r="AV38" s="33"/>
      <c r="AW38" s="33"/>
      <c r="AX38" s="33"/>
      <c r="AY38" s="76"/>
    </row>
    <row r="39" spans="2:52">
      <c r="B39" s="40">
        <f t="shared" si="31"/>
        <v>51</v>
      </c>
      <c r="C39" s="155">
        <f t="shared" si="38"/>
        <v>55</v>
      </c>
      <c r="D39" s="140">
        <f>D40+28</f>
        <v>244</v>
      </c>
      <c r="E39" s="144">
        <f t="shared" si="29"/>
        <v>1.56</v>
      </c>
      <c r="F39" s="42">
        <f t="shared" si="30"/>
        <v>380.64</v>
      </c>
      <c r="G39" s="51">
        <f t="shared" si="33"/>
        <v>21.449999999999989</v>
      </c>
      <c r="I39" s="55">
        <v>34</v>
      </c>
      <c r="J39" s="33">
        <f t="shared" si="18"/>
        <v>0</v>
      </c>
      <c r="K39" s="33">
        <f t="shared" si="19"/>
        <v>0</v>
      </c>
      <c r="L39" s="33">
        <f t="shared" si="20"/>
        <v>70</v>
      </c>
      <c r="M39" s="33">
        <f t="shared" si="21"/>
        <v>0</v>
      </c>
      <c r="N39" s="33">
        <f t="shared" si="0"/>
        <v>0</v>
      </c>
      <c r="O39" s="34">
        <f t="shared" si="1"/>
        <v>256.66666666666669</v>
      </c>
      <c r="P39" s="55">
        <v>34</v>
      </c>
      <c r="Q39" s="33">
        <f t="shared" si="15"/>
        <v>19.89</v>
      </c>
      <c r="R39" s="33">
        <f t="shared" si="22"/>
        <v>196.95</v>
      </c>
      <c r="S39" s="33">
        <f t="shared" si="23"/>
        <v>120.13949999999998</v>
      </c>
      <c r="T39" s="33">
        <f t="shared" si="2"/>
        <v>31.707533177914577</v>
      </c>
      <c r="U39" s="33">
        <f t="shared" si="16"/>
        <v>70</v>
      </c>
      <c r="V39" s="33">
        <f t="shared" si="3"/>
        <v>10</v>
      </c>
      <c r="W39" s="33">
        <v>0</v>
      </c>
      <c r="X39" s="33">
        <f t="shared" si="4"/>
        <v>557.80024945153457</v>
      </c>
      <c r="Y39" s="38">
        <f t="shared" si="5"/>
        <v>301.13358278486788</v>
      </c>
      <c r="AA39" s="71">
        <v>34</v>
      </c>
      <c r="AB39" s="33">
        <f t="shared" si="6"/>
        <v>0</v>
      </c>
      <c r="AC39" s="308">
        <f t="shared" si="39"/>
        <v>0</v>
      </c>
      <c r="AD39" s="101">
        <f t="shared" si="8"/>
        <v>0</v>
      </c>
      <c r="AE39" s="101">
        <f t="shared" si="9"/>
        <v>0</v>
      </c>
      <c r="AF39" s="197">
        <f t="shared" si="34"/>
        <v>0</v>
      </c>
      <c r="AG39" s="197">
        <f t="shared" si="35"/>
        <v>0</v>
      </c>
      <c r="AH39" s="197">
        <f t="shared" si="36"/>
        <v>0</v>
      </c>
      <c r="AI39" s="202">
        <f t="shared" si="37"/>
        <v>0</v>
      </c>
      <c r="AK39" s="71">
        <v>34</v>
      </c>
      <c r="AL39" s="33">
        <f t="shared" si="10"/>
        <v>0</v>
      </c>
      <c r="AM39" s="33">
        <f t="shared" si="11"/>
        <v>0</v>
      </c>
      <c r="AN39" s="33">
        <f t="shared" si="12"/>
        <v>0</v>
      </c>
      <c r="AO39" s="33">
        <f t="shared" si="13"/>
        <v>0</v>
      </c>
      <c r="AP39" s="33">
        <f t="shared" si="14"/>
        <v>0</v>
      </c>
      <c r="AQ39" s="197">
        <f t="shared" si="32"/>
        <v>0</v>
      </c>
      <c r="AR39" s="197">
        <f t="shared" si="32"/>
        <v>0</v>
      </c>
      <c r="AS39" s="197">
        <f t="shared" si="32"/>
        <v>0</v>
      </c>
      <c r="AT39" s="197">
        <f t="shared" si="32"/>
        <v>0</v>
      </c>
      <c r="AU39" s="33"/>
      <c r="AV39" s="33"/>
      <c r="AW39" s="33"/>
      <c r="AX39" s="33"/>
      <c r="AY39" s="76"/>
    </row>
    <row r="40" spans="2:52">
      <c r="B40" s="40">
        <f t="shared" si="31"/>
        <v>55</v>
      </c>
      <c r="C40" s="155">
        <f t="shared" si="38"/>
        <v>56</v>
      </c>
      <c r="D40" s="140">
        <v>216</v>
      </c>
      <c r="E40" s="144">
        <f t="shared" si="29"/>
        <v>1.56</v>
      </c>
      <c r="F40" s="42">
        <f t="shared" si="30"/>
        <v>336.96000000000004</v>
      </c>
      <c r="G40" s="51">
        <f t="shared" si="33"/>
        <v>-43.67999999999995</v>
      </c>
      <c r="I40" s="55">
        <v>35</v>
      </c>
      <c r="J40" s="33">
        <f t="shared" si="18"/>
        <v>0</v>
      </c>
      <c r="K40" s="33">
        <f t="shared" si="19"/>
        <v>0</v>
      </c>
      <c r="L40" s="33">
        <f t="shared" si="20"/>
        <v>70</v>
      </c>
      <c r="M40" s="33">
        <f t="shared" si="21"/>
        <v>0</v>
      </c>
      <c r="N40" s="33">
        <f t="shared" si="0"/>
        <v>0</v>
      </c>
      <c r="O40" s="34">
        <f t="shared" si="1"/>
        <v>256.66666666666669</v>
      </c>
      <c r="P40" s="55">
        <v>35</v>
      </c>
      <c r="Q40" s="33">
        <f t="shared" si="15"/>
        <v>19.89</v>
      </c>
      <c r="R40" s="33">
        <f t="shared" si="22"/>
        <v>216.83999999999997</v>
      </c>
      <c r="S40" s="33">
        <f t="shared" si="23"/>
        <v>132.27239999999998</v>
      </c>
      <c r="T40" s="33">
        <f t="shared" si="2"/>
        <v>34.520913508292487</v>
      </c>
      <c r="U40" s="33">
        <f t="shared" si="16"/>
        <v>70</v>
      </c>
      <c r="V40" s="33">
        <f t="shared" si="3"/>
        <v>10</v>
      </c>
      <c r="W40" s="33">
        <v>0</v>
      </c>
      <c r="X40" s="33">
        <f t="shared" si="4"/>
        <v>583.8316876936093</v>
      </c>
      <c r="Y40" s="38">
        <f t="shared" si="5"/>
        <v>327.16502102694261</v>
      </c>
      <c r="AA40" s="71">
        <v>35</v>
      </c>
      <c r="AB40" s="33">
        <f t="shared" si="6"/>
        <v>0</v>
      </c>
      <c r="AC40" s="308">
        <f t="shared" si="39"/>
        <v>0</v>
      </c>
      <c r="AD40" s="101">
        <f t="shared" si="8"/>
        <v>0</v>
      </c>
      <c r="AE40" s="101">
        <f t="shared" si="9"/>
        <v>0</v>
      </c>
      <c r="AF40" s="197">
        <f t="shared" si="34"/>
        <v>0</v>
      </c>
      <c r="AG40" s="197">
        <f t="shared" si="35"/>
        <v>0</v>
      </c>
      <c r="AH40" s="197">
        <f t="shared" si="36"/>
        <v>0</v>
      </c>
      <c r="AI40" s="202">
        <f t="shared" si="37"/>
        <v>0</v>
      </c>
      <c r="AK40" s="71">
        <v>35</v>
      </c>
      <c r="AL40" s="33">
        <f t="shared" si="10"/>
        <v>0</v>
      </c>
      <c r="AM40" s="33">
        <f t="shared" si="11"/>
        <v>0</v>
      </c>
      <c r="AN40" s="33">
        <f t="shared" si="12"/>
        <v>0</v>
      </c>
      <c r="AO40" s="33">
        <f t="shared" si="13"/>
        <v>0</v>
      </c>
      <c r="AP40" s="33">
        <f t="shared" si="14"/>
        <v>0</v>
      </c>
      <c r="AQ40" s="197">
        <f t="shared" si="32"/>
        <v>0</v>
      </c>
      <c r="AR40" s="197">
        <f t="shared" si="32"/>
        <v>0</v>
      </c>
      <c r="AS40" s="197">
        <f t="shared" si="32"/>
        <v>0</v>
      </c>
      <c r="AT40" s="197">
        <f t="shared" si="32"/>
        <v>0</v>
      </c>
      <c r="AU40" s="33"/>
      <c r="AV40" s="33"/>
      <c r="AW40" s="33"/>
      <c r="AX40" s="33"/>
      <c r="AY40" s="76"/>
    </row>
    <row r="41" spans="2:52">
      <c r="B41" s="40">
        <f t="shared" si="31"/>
        <v>56</v>
      </c>
      <c r="C41" s="155">
        <f t="shared" si="38"/>
        <v>60</v>
      </c>
      <c r="D41" s="140">
        <f>D42+28</f>
        <v>270</v>
      </c>
      <c r="E41" s="144">
        <f t="shared" si="29"/>
        <v>1.56</v>
      </c>
      <c r="F41" s="42">
        <f t="shared" si="30"/>
        <v>421.2</v>
      </c>
      <c r="G41" s="51">
        <f t="shared" si="33"/>
        <v>21.059999999999988</v>
      </c>
      <c r="I41" s="55">
        <v>36</v>
      </c>
      <c r="J41" s="33">
        <f t="shared" si="18"/>
        <v>0</v>
      </c>
      <c r="K41" s="33">
        <f t="shared" si="19"/>
        <v>0</v>
      </c>
      <c r="L41" s="33">
        <f t="shared" si="20"/>
        <v>70</v>
      </c>
      <c r="M41" s="33">
        <f t="shared" si="21"/>
        <v>0</v>
      </c>
      <c r="N41" s="33">
        <f t="shared" si="0"/>
        <v>0</v>
      </c>
      <c r="O41" s="34">
        <f t="shared" si="1"/>
        <v>256.66666666666669</v>
      </c>
      <c r="P41" s="55">
        <v>36</v>
      </c>
      <c r="Q41" s="33">
        <f t="shared" si="15"/>
        <v>-43.680000000000007</v>
      </c>
      <c r="R41" s="33">
        <f t="shared" si="22"/>
        <v>173.15999999999997</v>
      </c>
      <c r="S41" s="33">
        <f t="shared" si="23"/>
        <v>105.62759999999997</v>
      </c>
      <c r="T41" s="33">
        <f t="shared" si="2"/>
        <v>28.298393820824771</v>
      </c>
      <c r="U41" s="33">
        <f t="shared" si="16"/>
        <v>70</v>
      </c>
      <c r="V41" s="33">
        <f t="shared" si="3"/>
        <v>10</v>
      </c>
      <c r="W41" s="33">
        <v>0</v>
      </c>
      <c r="X41" s="33">
        <f t="shared" si="4"/>
        <v>526.58777257126974</v>
      </c>
      <c r="Y41" s="38">
        <f t="shared" si="5"/>
        <v>269.92110590460305</v>
      </c>
      <c r="AA41" s="71">
        <v>36</v>
      </c>
      <c r="AB41" s="33">
        <f t="shared" si="6"/>
        <v>28</v>
      </c>
      <c r="AC41" s="308">
        <f t="shared" si="39"/>
        <v>0.1</v>
      </c>
      <c r="AD41" s="101">
        <f t="shared" si="8"/>
        <v>0</v>
      </c>
      <c r="AE41" s="101">
        <f t="shared" si="9"/>
        <v>0</v>
      </c>
      <c r="AF41" s="197">
        <f t="shared" si="34"/>
        <v>2.9455037168579548</v>
      </c>
      <c r="AG41" s="197">
        <f t="shared" si="35"/>
        <v>0</v>
      </c>
      <c r="AH41" s="197">
        <f t="shared" si="36"/>
        <v>0</v>
      </c>
      <c r="AI41" s="202">
        <f t="shared" si="37"/>
        <v>2.9455037168579548</v>
      </c>
      <c r="AK41" s="71">
        <v>36</v>
      </c>
      <c r="AL41" s="33">
        <f t="shared" si="10"/>
        <v>28</v>
      </c>
      <c r="AM41" s="33">
        <f t="shared" si="11"/>
        <v>0.2</v>
      </c>
      <c r="AN41" s="33">
        <f t="shared" si="12"/>
        <v>0</v>
      </c>
      <c r="AO41" s="33">
        <f t="shared" si="13"/>
        <v>0</v>
      </c>
      <c r="AP41" s="33">
        <f t="shared" si="14"/>
        <v>0.8</v>
      </c>
      <c r="AQ41" s="197">
        <f t="shared" si="32"/>
        <v>5.6000000000000005</v>
      </c>
      <c r="AR41" s="197">
        <f t="shared" si="32"/>
        <v>0</v>
      </c>
      <c r="AS41" s="197">
        <f t="shared" si="32"/>
        <v>0</v>
      </c>
      <c r="AT41" s="197">
        <f t="shared" si="32"/>
        <v>22.400000000000002</v>
      </c>
      <c r="AU41" s="33"/>
      <c r="AV41" s="33"/>
      <c r="AW41" s="33"/>
      <c r="AX41" s="33"/>
      <c r="AY41" s="76"/>
    </row>
    <row r="42" spans="2:52">
      <c r="B42" s="40">
        <f t="shared" si="31"/>
        <v>60</v>
      </c>
      <c r="C42" s="155">
        <f t="shared" si="38"/>
        <v>61</v>
      </c>
      <c r="D42" s="140">
        <v>242</v>
      </c>
      <c r="E42" s="144">
        <f t="shared" si="29"/>
        <v>1.56</v>
      </c>
      <c r="F42" s="42">
        <f t="shared" si="30"/>
        <v>377.52000000000004</v>
      </c>
      <c r="G42" s="51">
        <f t="shared" si="33"/>
        <v>-43.67999999999995</v>
      </c>
      <c r="I42" s="55">
        <v>37</v>
      </c>
      <c r="J42" s="33">
        <f t="shared" si="18"/>
        <v>0</v>
      </c>
      <c r="K42" s="33">
        <f t="shared" si="19"/>
        <v>0</v>
      </c>
      <c r="L42" s="33">
        <f t="shared" si="20"/>
        <v>70</v>
      </c>
      <c r="M42" s="33">
        <f t="shared" si="21"/>
        <v>0</v>
      </c>
      <c r="N42" s="33">
        <f t="shared" si="0"/>
        <v>0</v>
      </c>
      <c r="O42" s="34">
        <f t="shared" si="1"/>
        <v>256.66666666666669</v>
      </c>
      <c r="P42" s="55">
        <v>37</v>
      </c>
      <c r="Q42" s="33">
        <f t="shared" si="15"/>
        <v>20.28</v>
      </c>
      <c r="R42" s="33">
        <f t="shared" si="22"/>
        <v>193.43999999999997</v>
      </c>
      <c r="S42" s="33">
        <f t="shared" si="23"/>
        <v>117.99839999999998</v>
      </c>
      <c r="T42" s="33">
        <f t="shared" si="2"/>
        <v>31.207702928571173</v>
      </c>
      <c r="U42" s="33">
        <f t="shared" si="16"/>
        <v>70</v>
      </c>
      <c r="V42" s="33">
        <f t="shared" si="3"/>
        <v>10</v>
      </c>
      <c r="W42" s="33">
        <v>0</v>
      </c>
      <c r="X42" s="33">
        <f t="shared" si="4"/>
        <v>553.20062926726143</v>
      </c>
      <c r="Y42" s="38">
        <f t="shared" si="5"/>
        <v>296.53396260059475</v>
      </c>
      <c r="AA42" s="71">
        <v>37</v>
      </c>
      <c r="AB42" s="33">
        <f t="shared" si="6"/>
        <v>0</v>
      </c>
      <c r="AC42" s="308">
        <f t="shared" si="39"/>
        <v>0</v>
      </c>
      <c r="AD42" s="101">
        <f t="shared" si="8"/>
        <v>0</v>
      </c>
      <c r="AE42" s="101">
        <f t="shared" si="9"/>
        <v>0</v>
      </c>
      <c r="AF42" s="197">
        <f t="shared" si="34"/>
        <v>2.8877441855502402</v>
      </c>
      <c r="AG42" s="197">
        <f t="shared" si="35"/>
        <v>0</v>
      </c>
      <c r="AH42" s="197">
        <f t="shared" si="36"/>
        <v>0</v>
      </c>
      <c r="AI42" s="202">
        <f t="shared" si="37"/>
        <v>2.8877441855502402</v>
      </c>
      <c r="AK42" s="71">
        <v>37</v>
      </c>
      <c r="AL42" s="33">
        <f t="shared" si="10"/>
        <v>0</v>
      </c>
      <c r="AM42" s="33">
        <f t="shared" si="11"/>
        <v>0</v>
      </c>
      <c r="AN42" s="33">
        <f t="shared" si="12"/>
        <v>0</v>
      </c>
      <c r="AO42" s="33">
        <f t="shared" si="13"/>
        <v>0</v>
      </c>
      <c r="AP42" s="33">
        <f t="shared" si="14"/>
        <v>0</v>
      </c>
      <c r="AQ42" s="197">
        <f t="shared" ref="AQ42:AT105" si="40">IF($AK42&lt;=$F$18,$AL42*AM42,)</f>
        <v>0</v>
      </c>
      <c r="AR42" s="197">
        <f t="shared" si="40"/>
        <v>0</v>
      </c>
      <c r="AS42" s="197">
        <f t="shared" si="40"/>
        <v>0</v>
      </c>
      <c r="AT42" s="197">
        <f t="shared" si="40"/>
        <v>0</v>
      </c>
      <c r="AU42" s="33"/>
      <c r="AV42" s="33"/>
      <c r="AW42" s="33"/>
      <c r="AX42" s="33"/>
      <c r="AY42" s="76"/>
    </row>
    <row r="43" spans="2:52">
      <c r="B43" s="40">
        <f t="shared" si="31"/>
        <v>61</v>
      </c>
      <c r="C43" s="155">
        <f t="shared" si="38"/>
        <v>65</v>
      </c>
      <c r="D43" s="140">
        <f>D44+28</f>
        <v>294</v>
      </c>
      <c r="E43" s="144">
        <f t="shared" si="29"/>
        <v>1.56</v>
      </c>
      <c r="F43" s="42">
        <f t="shared" si="30"/>
        <v>458.64000000000004</v>
      </c>
      <c r="G43" s="51">
        <f t="shared" si="33"/>
        <v>20.28</v>
      </c>
      <c r="I43" s="55">
        <v>38</v>
      </c>
      <c r="J43" s="33">
        <f t="shared" si="18"/>
        <v>0</v>
      </c>
      <c r="K43" s="33">
        <f t="shared" si="19"/>
        <v>0</v>
      </c>
      <c r="L43" s="33">
        <f t="shared" si="20"/>
        <v>70</v>
      </c>
      <c r="M43" s="33">
        <f t="shared" si="21"/>
        <v>0</v>
      </c>
      <c r="N43" s="33">
        <f t="shared" si="0"/>
        <v>0</v>
      </c>
      <c r="O43" s="34">
        <f t="shared" si="1"/>
        <v>256.66666666666669</v>
      </c>
      <c r="P43" s="55">
        <v>38</v>
      </c>
      <c r="Q43" s="33">
        <f t="shared" si="15"/>
        <v>20.28</v>
      </c>
      <c r="R43" s="33">
        <f t="shared" si="22"/>
        <v>213.71999999999997</v>
      </c>
      <c r="S43" s="33">
        <f t="shared" si="23"/>
        <v>130.36919999999998</v>
      </c>
      <c r="T43" s="33">
        <f t="shared" si="2"/>
        <v>34.081656526320458</v>
      </c>
      <c r="U43" s="33">
        <f t="shared" si="16"/>
        <v>70</v>
      </c>
      <c r="V43" s="33">
        <f t="shared" si="3"/>
        <v>10</v>
      </c>
      <c r="W43" s="33">
        <v>0</v>
      </c>
      <c r="X43" s="33">
        <f t="shared" si="4"/>
        <v>579.75190845000805</v>
      </c>
      <c r="Y43" s="38">
        <f t="shared" si="5"/>
        <v>323.08524178334136</v>
      </c>
      <c r="AA43" s="71">
        <v>38</v>
      </c>
      <c r="AB43" s="33">
        <f t="shared" si="6"/>
        <v>0</v>
      </c>
      <c r="AC43" s="308">
        <f t="shared" si="39"/>
        <v>0</v>
      </c>
      <c r="AD43" s="101">
        <f t="shared" si="8"/>
        <v>0</v>
      </c>
      <c r="AE43" s="101">
        <f t="shared" si="9"/>
        <v>0</v>
      </c>
      <c r="AF43" s="197">
        <f t="shared" si="34"/>
        <v>2.831117283421634</v>
      </c>
      <c r="AG43" s="197">
        <f t="shared" si="35"/>
        <v>0</v>
      </c>
      <c r="AH43" s="197">
        <f t="shared" si="36"/>
        <v>0</v>
      </c>
      <c r="AI43" s="202">
        <f t="shared" si="37"/>
        <v>2.831117283421634</v>
      </c>
      <c r="AK43" s="71">
        <v>38</v>
      </c>
      <c r="AL43" s="33">
        <f t="shared" si="10"/>
        <v>0</v>
      </c>
      <c r="AM43" s="33">
        <f t="shared" si="11"/>
        <v>0</v>
      </c>
      <c r="AN43" s="33">
        <f t="shared" si="12"/>
        <v>0</v>
      </c>
      <c r="AO43" s="33">
        <f t="shared" si="13"/>
        <v>0</v>
      </c>
      <c r="AP43" s="33">
        <f t="shared" si="14"/>
        <v>0</v>
      </c>
      <c r="AQ43" s="197">
        <f t="shared" si="40"/>
        <v>0</v>
      </c>
      <c r="AR43" s="197">
        <f t="shared" si="40"/>
        <v>0</v>
      </c>
      <c r="AS43" s="197">
        <f t="shared" si="40"/>
        <v>0</v>
      </c>
      <c r="AT43" s="197">
        <f t="shared" si="40"/>
        <v>0</v>
      </c>
      <c r="AU43" s="33"/>
      <c r="AV43" s="33"/>
      <c r="AW43" s="33"/>
      <c r="AX43" s="33"/>
      <c r="AY43" s="76"/>
    </row>
    <row r="44" spans="2:52">
      <c r="B44" s="40">
        <f t="shared" si="31"/>
        <v>65</v>
      </c>
      <c r="C44" s="155">
        <f t="shared" si="38"/>
        <v>66</v>
      </c>
      <c r="D44" s="140">
        <v>266</v>
      </c>
      <c r="E44" s="144">
        <f t="shared" si="29"/>
        <v>1.56</v>
      </c>
      <c r="F44" s="42">
        <f t="shared" si="30"/>
        <v>414.96000000000004</v>
      </c>
      <c r="G44" s="51">
        <f t="shared" si="33"/>
        <v>-43.680000000000007</v>
      </c>
      <c r="I44" s="55">
        <v>39</v>
      </c>
      <c r="J44" s="33">
        <f t="shared" si="18"/>
        <v>0</v>
      </c>
      <c r="K44" s="33">
        <f t="shared" si="19"/>
        <v>0</v>
      </c>
      <c r="L44" s="33">
        <f t="shared" si="20"/>
        <v>70</v>
      </c>
      <c r="M44" s="33">
        <f t="shared" si="21"/>
        <v>0</v>
      </c>
      <c r="N44" s="33">
        <f t="shared" si="0"/>
        <v>0</v>
      </c>
      <c r="O44" s="34">
        <f t="shared" si="1"/>
        <v>256.66666666666669</v>
      </c>
      <c r="P44" s="55">
        <v>39</v>
      </c>
      <c r="Q44" s="33">
        <f t="shared" si="15"/>
        <v>20.28</v>
      </c>
      <c r="R44" s="33">
        <f t="shared" si="22"/>
        <v>233.99999999999997</v>
      </c>
      <c r="S44" s="33">
        <f t="shared" si="23"/>
        <v>142.73999999999998</v>
      </c>
      <c r="T44" s="33">
        <f t="shared" si="2"/>
        <v>36.923991191656064</v>
      </c>
      <c r="U44" s="33">
        <f t="shared" si="16"/>
        <v>70</v>
      </c>
      <c r="V44" s="33">
        <f t="shared" si="3"/>
        <v>10</v>
      </c>
      <c r="W44" s="33">
        <v>0</v>
      </c>
      <c r="X44" s="33">
        <f t="shared" si="4"/>
        <v>606.24811799213433</v>
      </c>
      <c r="Y44" s="38">
        <f t="shared" si="5"/>
        <v>349.58145132546764</v>
      </c>
      <c r="AA44" s="71">
        <v>39</v>
      </c>
      <c r="AB44" s="33">
        <f t="shared" si="6"/>
        <v>0</v>
      </c>
      <c r="AC44" s="308">
        <f t="shared" si="39"/>
        <v>0</v>
      </c>
      <c r="AD44" s="101">
        <f t="shared" si="8"/>
        <v>0</v>
      </c>
      <c r="AE44" s="101">
        <f t="shared" si="9"/>
        <v>0</v>
      </c>
      <c r="AF44" s="197">
        <f t="shared" si="34"/>
        <v>2.7756008003047703</v>
      </c>
      <c r="AG44" s="197">
        <f t="shared" si="35"/>
        <v>0</v>
      </c>
      <c r="AH44" s="197">
        <f t="shared" si="36"/>
        <v>0</v>
      </c>
      <c r="AI44" s="202">
        <f t="shared" si="37"/>
        <v>2.7756008003047703</v>
      </c>
      <c r="AK44" s="71">
        <v>39</v>
      </c>
      <c r="AL44" s="33">
        <f t="shared" si="10"/>
        <v>0</v>
      </c>
      <c r="AM44" s="33">
        <f t="shared" si="11"/>
        <v>0</v>
      </c>
      <c r="AN44" s="33">
        <f t="shared" si="12"/>
        <v>0</v>
      </c>
      <c r="AO44" s="33">
        <f t="shared" si="13"/>
        <v>0</v>
      </c>
      <c r="AP44" s="33">
        <f t="shared" si="14"/>
        <v>0</v>
      </c>
      <c r="AQ44" s="197">
        <f t="shared" si="40"/>
        <v>0</v>
      </c>
      <c r="AR44" s="197">
        <f t="shared" si="40"/>
        <v>0</v>
      </c>
      <c r="AS44" s="197">
        <f t="shared" si="40"/>
        <v>0</v>
      </c>
      <c r="AT44" s="197">
        <f t="shared" si="40"/>
        <v>0</v>
      </c>
      <c r="AU44" s="33"/>
      <c r="AV44" s="33"/>
      <c r="AW44" s="33"/>
      <c r="AX44" s="33"/>
      <c r="AY44" s="76"/>
    </row>
    <row r="45" spans="2:52">
      <c r="B45" s="40">
        <f t="shared" si="31"/>
        <v>66</v>
      </c>
      <c r="C45" s="155">
        <f t="shared" si="38"/>
        <v>70</v>
      </c>
      <c r="D45" s="140">
        <f>D46+28</f>
        <v>316</v>
      </c>
      <c r="E45" s="144">
        <f t="shared" si="29"/>
        <v>1.56</v>
      </c>
      <c r="F45" s="42">
        <f t="shared" si="30"/>
        <v>492.96000000000004</v>
      </c>
      <c r="G45" s="51">
        <f t="shared" si="33"/>
        <v>19.5</v>
      </c>
      <c r="I45" s="55">
        <v>40</v>
      </c>
      <c r="J45" s="33">
        <f t="shared" si="18"/>
        <v>0</v>
      </c>
      <c r="K45" s="33">
        <f t="shared" si="19"/>
        <v>0</v>
      </c>
      <c r="L45" s="33">
        <f t="shared" si="20"/>
        <v>70</v>
      </c>
      <c r="M45" s="33">
        <f t="shared" si="21"/>
        <v>0</v>
      </c>
      <c r="N45" s="33">
        <f t="shared" si="0"/>
        <v>0</v>
      </c>
      <c r="O45" s="34">
        <f t="shared" si="1"/>
        <v>256.66666666666669</v>
      </c>
      <c r="P45" s="55">
        <v>40</v>
      </c>
      <c r="Q45" s="33">
        <f t="shared" si="15"/>
        <v>20.28</v>
      </c>
      <c r="R45" s="33">
        <f t="shared" si="22"/>
        <v>254.27999999999997</v>
      </c>
      <c r="S45" s="33">
        <f t="shared" si="23"/>
        <v>155.11079999999998</v>
      </c>
      <c r="T45" s="33">
        <f t="shared" si="2"/>
        <v>39.737758807485029</v>
      </c>
      <c r="U45" s="33">
        <f t="shared" si="16"/>
        <v>70</v>
      </c>
      <c r="V45" s="33">
        <f t="shared" si="3"/>
        <v>10</v>
      </c>
      <c r="W45" s="33">
        <v>0</v>
      </c>
      <c r="X45" s="33">
        <f t="shared" si="4"/>
        <v>632.69457325636984</v>
      </c>
      <c r="Y45" s="38">
        <f t="shared" si="5"/>
        <v>376.02790658970315</v>
      </c>
      <c r="AA45" s="71">
        <v>40</v>
      </c>
      <c r="AB45" s="33">
        <f t="shared" si="6"/>
        <v>0</v>
      </c>
      <c r="AC45" s="308">
        <f t="shared" si="39"/>
        <v>0</v>
      </c>
      <c r="AD45" s="101">
        <f t="shared" si="8"/>
        <v>0</v>
      </c>
      <c r="AE45" s="101">
        <f t="shared" si="9"/>
        <v>0</v>
      </c>
      <c r="AF45" s="197">
        <f t="shared" si="34"/>
        <v>2.721172961560117</v>
      </c>
      <c r="AG45" s="197">
        <f t="shared" si="35"/>
        <v>0</v>
      </c>
      <c r="AH45" s="197">
        <f t="shared" si="36"/>
        <v>0</v>
      </c>
      <c r="AI45" s="202">
        <f t="shared" si="37"/>
        <v>2.721172961560117</v>
      </c>
      <c r="AK45" s="71">
        <v>40</v>
      </c>
      <c r="AL45" s="33">
        <f t="shared" si="10"/>
        <v>0</v>
      </c>
      <c r="AM45" s="33">
        <f t="shared" si="11"/>
        <v>0</v>
      </c>
      <c r="AN45" s="33">
        <f t="shared" si="12"/>
        <v>0</v>
      </c>
      <c r="AO45" s="33">
        <f t="shared" si="13"/>
        <v>0</v>
      </c>
      <c r="AP45" s="33">
        <f t="shared" si="14"/>
        <v>0</v>
      </c>
      <c r="AQ45" s="197">
        <f t="shared" si="40"/>
        <v>0</v>
      </c>
      <c r="AR45" s="197">
        <f t="shared" si="40"/>
        <v>0</v>
      </c>
      <c r="AS45" s="197">
        <f t="shared" si="40"/>
        <v>0</v>
      </c>
      <c r="AT45" s="197">
        <f t="shared" si="40"/>
        <v>0</v>
      </c>
      <c r="AU45" s="33"/>
      <c r="AV45" s="33"/>
      <c r="AW45" s="33"/>
      <c r="AX45" s="33"/>
      <c r="AY45" s="76"/>
    </row>
    <row r="46" spans="2:52">
      <c r="B46" s="40">
        <f t="shared" si="31"/>
        <v>70</v>
      </c>
      <c r="C46" s="155">
        <f t="shared" si="38"/>
        <v>71</v>
      </c>
      <c r="D46" s="140">
        <v>288</v>
      </c>
      <c r="E46" s="144">
        <f t="shared" si="29"/>
        <v>1.56</v>
      </c>
      <c r="F46" s="42">
        <f t="shared" si="30"/>
        <v>449.28000000000003</v>
      </c>
      <c r="G46" s="51">
        <f t="shared" si="33"/>
        <v>-43.680000000000007</v>
      </c>
      <c r="I46" s="55">
        <v>41</v>
      </c>
      <c r="J46" s="33">
        <f t="shared" si="18"/>
        <v>0</v>
      </c>
      <c r="K46" s="33">
        <f t="shared" si="19"/>
        <v>0</v>
      </c>
      <c r="L46" s="33">
        <f t="shared" si="20"/>
        <v>70</v>
      </c>
      <c r="M46" s="33">
        <f t="shared" si="21"/>
        <v>0</v>
      </c>
      <c r="N46" s="33">
        <f t="shared" si="0"/>
        <v>0</v>
      </c>
      <c r="O46" s="34">
        <f t="shared" si="1"/>
        <v>256.66666666666669</v>
      </c>
      <c r="P46" s="55">
        <v>41</v>
      </c>
      <c r="Q46" s="33">
        <f t="shared" si="15"/>
        <v>-43.680000000000007</v>
      </c>
      <c r="R46" s="33">
        <f t="shared" si="22"/>
        <v>210.59999999999997</v>
      </c>
      <c r="S46" s="33">
        <f t="shared" si="23"/>
        <v>128.46599999999998</v>
      </c>
      <c r="T46" s="33">
        <f t="shared" si="2"/>
        <v>33.64165246545825</v>
      </c>
      <c r="U46" s="33">
        <f t="shared" si="16"/>
        <v>70</v>
      </c>
      <c r="V46" s="33">
        <f t="shared" si="3"/>
        <v>10</v>
      </c>
      <c r="W46" s="33">
        <v>0</v>
      </c>
      <c r="X46" s="33">
        <f t="shared" si="4"/>
        <v>575.67082804400638</v>
      </c>
      <c r="Y46" s="38">
        <f t="shared" si="5"/>
        <v>319.0041613773397</v>
      </c>
      <c r="AA46" s="71">
        <v>41</v>
      </c>
      <c r="AB46" s="33">
        <f t="shared" si="6"/>
        <v>28</v>
      </c>
      <c r="AC46" s="308">
        <f t="shared" si="39"/>
        <v>0.15</v>
      </c>
      <c r="AD46" s="101">
        <f t="shared" si="8"/>
        <v>0</v>
      </c>
      <c r="AE46" s="101">
        <f t="shared" si="9"/>
        <v>0</v>
      </c>
      <c r="AF46" s="197">
        <f t="shared" si="34"/>
        <v>7.086067994822475</v>
      </c>
      <c r="AG46" s="197">
        <f t="shared" si="35"/>
        <v>0</v>
      </c>
      <c r="AH46" s="197">
        <f t="shared" si="36"/>
        <v>0</v>
      </c>
      <c r="AI46" s="202">
        <f t="shared" si="37"/>
        <v>7.086067994822475</v>
      </c>
      <c r="AK46" s="71">
        <v>41</v>
      </c>
      <c r="AL46" s="33">
        <f t="shared" si="10"/>
        <v>28</v>
      </c>
      <c r="AM46" s="33">
        <f t="shared" si="11"/>
        <v>0.3</v>
      </c>
      <c r="AN46" s="33">
        <f t="shared" si="12"/>
        <v>0</v>
      </c>
      <c r="AO46" s="33">
        <f t="shared" si="13"/>
        <v>0</v>
      </c>
      <c r="AP46" s="33">
        <f t="shared" si="14"/>
        <v>0.7</v>
      </c>
      <c r="AQ46" s="197">
        <f t="shared" si="40"/>
        <v>8.4</v>
      </c>
      <c r="AR46" s="197">
        <f t="shared" si="40"/>
        <v>0</v>
      </c>
      <c r="AS46" s="197">
        <f t="shared" si="40"/>
        <v>0</v>
      </c>
      <c r="AT46" s="197">
        <f t="shared" si="40"/>
        <v>19.599999999999998</v>
      </c>
      <c r="AU46" s="33"/>
      <c r="AV46" s="33"/>
      <c r="AW46" s="33"/>
      <c r="AX46" s="33"/>
      <c r="AY46" s="76"/>
    </row>
    <row r="47" spans="2:52">
      <c r="B47" s="40">
        <f t="shared" si="31"/>
        <v>71</v>
      </c>
      <c r="C47" s="155">
        <f t="shared" si="38"/>
        <v>75</v>
      </c>
      <c r="D47" s="140">
        <f>D48+28</f>
        <v>335</v>
      </c>
      <c r="E47" s="144">
        <f t="shared" si="29"/>
        <v>1.56</v>
      </c>
      <c r="F47" s="42">
        <f t="shared" si="30"/>
        <v>522.6</v>
      </c>
      <c r="G47" s="51">
        <f t="shared" si="33"/>
        <v>18.329999999999998</v>
      </c>
      <c r="I47" s="55">
        <v>42</v>
      </c>
      <c r="J47" s="33">
        <f t="shared" si="18"/>
        <v>0</v>
      </c>
      <c r="K47" s="33">
        <f t="shared" si="19"/>
        <v>0</v>
      </c>
      <c r="L47" s="33">
        <f t="shared" si="20"/>
        <v>70</v>
      </c>
      <c r="M47" s="33">
        <f t="shared" si="21"/>
        <v>0</v>
      </c>
      <c r="N47" s="33">
        <f t="shared" si="0"/>
        <v>0</v>
      </c>
      <c r="O47" s="34">
        <f t="shared" si="1"/>
        <v>256.66666666666669</v>
      </c>
      <c r="P47" s="55">
        <v>42</v>
      </c>
      <c r="Q47" s="33">
        <f t="shared" si="15"/>
        <v>21.45000000000001</v>
      </c>
      <c r="R47" s="33">
        <f t="shared" si="22"/>
        <v>232.04999999999998</v>
      </c>
      <c r="S47" s="33">
        <f t="shared" si="23"/>
        <v>141.5505</v>
      </c>
      <c r="T47" s="33">
        <f t="shared" si="2"/>
        <v>36.651975262206079</v>
      </c>
      <c r="U47" s="33">
        <f t="shared" si="16"/>
        <v>70</v>
      </c>
      <c r="V47" s="33">
        <f t="shared" si="3"/>
        <v>10</v>
      </c>
      <c r="W47" s="33">
        <v>0</v>
      </c>
      <c r="X47" s="33">
        <f t="shared" si="4"/>
        <v>603.70264441500888</v>
      </c>
      <c r="Y47" s="38">
        <f t="shared" si="5"/>
        <v>347.03597774834219</v>
      </c>
      <c r="AA47" s="71">
        <v>42</v>
      </c>
      <c r="AB47" s="33">
        <f t="shared" si="6"/>
        <v>0</v>
      </c>
      <c r="AC47" s="308">
        <f t="shared" si="39"/>
        <v>0</v>
      </c>
      <c r="AD47" s="101">
        <f t="shared" si="8"/>
        <v>0</v>
      </c>
      <c r="AE47" s="101">
        <f t="shared" si="9"/>
        <v>0</v>
      </c>
      <c r="AF47" s="197">
        <f t="shared" si="34"/>
        <v>6.9471145235187137</v>
      </c>
      <c r="AG47" s="197">
        <f t="shared" si="35"/>
        <v>0</v>
      </c>
      <c r="AH47" s="197">
        <f t="shared" si="36"/>
        <v>0</v>
      </c>
      <c r="AI47" s="202">
        <f t="shared" si="37"/>
        <v>6.9471145235187137</v>
      </c>
      <c r="AK47" s="71">
        <v>42</v>
      </c>
      <c r="AL47" s="33">
        <f t="shared" si="10"/>
        <v>0</v>
      </c>
      <c r="AM47" s="33">
        <f t="shared" si="11"/>
        <v>0</v>
      </c>
      <c r="AN47" s="33">
        <f t="shared" si="12"/>
        <v>0</v>
      </c>
      <c r="AO47" s="33">
        <f t="shared" si="13"/>
        <v>0</v>
      </c>
      <c r="AP47" s="33">
        <f t="shared" si="14"/>
        <v>0</v>
      </c>
      <c r="AQ47" s="197">
        <f t="shared" si="40"/>
        <v>0</v>
      </c>
      <c r="AR47" s="197">
        <f t="shared" si="40"/>
        <v>0</v>
      </c>
      <c r="AS47" s="197">
        <f t="shared" si="40"/>
        <v>0</v>
      </c>
      <c r="AT47" s="197">
        <f t="shared" si="40"/>
        <v>0</v>
      </c>
      <c r="AU47" s="33"/>
      <c r="AV47" s="33"/>
      <c r="AW47" s="33"/>
      <c r="AX47" s="33"/>
      <c r="AY47" s="76"/>
    </row>
    <row r="48" spans="2:52">
      <c r="B48" s="40">
        <f t="shared" si="31"/>
        <v>75</v>
      </c>
      <c r="C48" s="155">
        <f t="shared" si="38"/>
        <v>76</v>
      </c>
      <c r="D48" s="140">
        <v>307</v>
      </c>
      <c r="E48" s="144">
        <f t="shared" si="29"/>
        <v>1.56</v>
      </c>
      <c r="F48" s="42">
        <f t="shared" ref="F48:F78" si="41">D48*E48</f>
        <v>478.92</v>
      </c>
      <c r="G48" s="51">
        <f t="shared" ref="G48:G78" si="42">(F48-F47)/(C48-B48)</f>
        <v>-43.680000000000007</v>
      </c>
      <c r="I48" s="55">
        <v>43</v>
      </c>
      <c r="J48" s="33">
        <f t="shared" si="18"/>
        <v>0</v>
      </c>
      <c r="K48" s="33">
        <f t="shared" si="19"/>
        <v>0</v>
      </c>
      <c r="L48" s="33">
        <f t="shared" si="20"/>
        <v>70</v>
      </c>
      <c r="M48" s="33">
        <f t="shared" si="21"/>
        <v>0</v>
      </c>
      <c r="N48" s="33">
        <f t="shared" si="0"/>
        <v>0</v>
      </c>
      <c r="O48" s="34">
        <f t="shared" si="1"/>
        <v>256.66666666666669</v>
      </c>
      <c r="P48" s="55">
        <v>43</v>
      </c>
      <c r="Q48" s="33">
        <f t="shared" si="15"/>
        <v>21.45000000000001</v>
      </c>
      <c r="R48" s="33">
        <f t="shared" si="22"/>
        <v>253.5</v>
      </c>
      <c r="S48" s="33">
        <f t="shared" si="23"/>
        <v>154.63499999999999</v>
      </c>
      <c r="T48" s="33">
        <f t="shared" si="2"/>
        <v>39.63003316527179</v>
      </c>
      <c r="U48" s="33">
        <f t="shared" si="16"/>
        <v>70</v>
      </c>
      <c r="V48" s="33">
        <f t="shared" si="3"/>
        <v>10</v>
      </c>
      <c r="W48" s="33">
        <v>0</v>
      </c>
      <c r="X48" s="33">
        <f t="shared" si="4"/>
        <v>631.67826609618169</v>
      </c>
      <c r="Y48" s="38">
        <f t="shared" si="5"/>
        <v>375.011599429515</v>
      </c>
      <c r="AA48" s="71">
        <v>43</v>
      </c>
      <c r="AB48" s="33">
        <f t="shared" si="6"/>
        <v>0</v>
      </c>
      <c r="AC48" s="308">
        <f t="shared" si="39"/>
        <v>0</v>
      </c>
      <c r="AD48" s="101">
        <f t="shared" si="8"/>
        <v>0</v>
      </c>
      <c r="AE48" s="101">
        <f t="shared" si="9"/>
        <v>0</v>
      </c>
      <c r="AF48" s="197">
        <f t="shared" si="34"/>
        <v>6.8108858450339707</v>
      </c>
      <c r="AG48" s="197">
        <f t="shared" si="35"/>
        <v>0</v>
      </c>
      <c r="AH48" s="197">
        <f t="shared" si="36"/>
        <v>0</v>
      </c>
      <c r="AI48" s="202">
        <f t="shared" si="37"/>
        <v>6.8108858450339707</v>
      </c>
      <c r="AK48" s="71">
        <v>43</v>
      </c>
      <c r="AL48" s="33">
        <f t="shared" si="10"/>
        <v>0</v>
      </c>
      <c r="AM48" s="33">
        <f t="shared" si="11"/>
        <v>0</v>
      </c>
      <c r="AN48" s="33">
        <f t="shared" si="12"/>
        <v>0</v>
      </c>
      <c r="AO48" s="33">
        <f t="shared" si="13"/>
        <v>0</v>
      </c>
      <c r="AP48" s="33">
        <f t="shared" si="14"/>
        <v>0</v>
      </c>
      <c r="AQ48" s="197">
        <f t="shared" si="40"/>
        <v>0</v>
      </c>
      <c r="AR48" s="197">
        <f t="shared" si="40"/>
        <v>0</v>
      </c>
      <c r="AS48" s="197">
        <f t="shared" si="40"/>
        <v>0</v>
      </c>
      <c r="AT48" s="197">
        <f t="shared" si="40"/>
        <v>0</v>
      </c>
      <c r="AU48" s="33"/>
      <c r="AV48" s="33"/>
      <c r="AW48" s="33"/>
      <c r="AX48" s="33"/>
      <c r="AY48" s="76"/>
    </row>
    <row r="49" spans="2:51">
      <c r="B49" s="40">
        <f t="shared" si="31"/>
        <v>76</v>
      </c>
      <c r="C49" s="155">
        <f t="shared" si="38"/>
        <v>80</v>
      </c>
      <c r="D49" s="140">
        <f>D50+28</f>
        <v>351</v>
      </c>
      <c r="E49" s="144">
        <f t="shared" si="29"/>
        <v>1.56</v>
      </c>
      <c r="F49" s="42">
        <f t="shared" si="41"/>
        <v>547.56000000000006</v>
      </c>
      <c r="G49" s="51">
        <f t="shared" si="42"/>
        <v>17.160000000000011</v>
      </c>
      <c r="I49" s="55">
        <v>44</v>
      </c>
      <c r="J49" s="33">
        <f t="shared" si="18"/>
        <v>0</v>
      </c>
      <c r="K49" s="33">
        <f t="shared" si="19"/>
        <v>0</v>
      </c>
      <c r="L49" s="33">
        <f t="shared" si="20"/>
        <v>70</v>
      </c>
      <c r="M49" s="33">
        <f t="shared" si="21"/>
        <v>0</v>
      </c>
      <c r="N49" s="33">
        <f t="shared" si="0"/>
        <v>0</v>
      </c>
      <c r="O49" s="34">
        <f t="shared" si="1"/>
        <v>256.66666666666669</v>
      </c>
      <c r="P49" s="55">
        <v>44</v>
      </c>
      <c r="Q49" s="33">
        <f t="shared" si="15"/>
        <v>21.45000000000001</v>
      </c>
      <c r="R49" s="33">
        <f t="shared" si="22"/>
        <v>274.95</v>
      </c>
      <c r="S49" s="33">
        <f t="shared" si="23"/>
        <v>167.71949999999998</v>
      </c>
      <c r="T49" s="33">
        <f t="shared" si="2"/>
        <v>42.578866677066557</v>
      </c>
      <c r="U49" s="33">
        <f t="shared" si="16"/>
        <v>70</v>
      </c>
      <c r="V49" s="33">
        <f t="shared" si="3"/>
        <v>10</v>
      </c>
      <c r="W49" s="33">
        <v>0</v>
      </c>
      <c r="X49" s="33">
        <f t="shared" si="4"/>
        <v>659.60298862922411</v>
      </c>
      <c r="Y49" s="38">
        <f t="shared" si="5"/>
        <v>402.93632196255743</v>
      </c>
      <c r="AA49" s="71">
        <v>44</v>
      </c>
      <c r="AB49" s="33">
        <f t="shared" si="6"/>
        <v>0</v>
      </c>
      <c r="AC49" s="308">
        <f t="shared" si="39"/>
        <v>0</v>
      </c>
      <c r="AD49" s="101">
        <f t="shared" si="8"/>
        <v>0</v>
      </c>
      <c r="AE49" s="101">
        <f t="shared" si="9"/>
        <v>0</v>
      </c>
      <c r="AF49" s="197">
        <f t="shared" si="34"/>
        <v>6.6773285278430237</v>
      </c>
      <c r="AG49" s="197">
        <f t="shared" si="35"/>
        <v>0</v>
      </c>
      <c r="AH49" s="197">
        <f t="shared" si="36"/>
        <v>0</v>
      </c>
      <c r="AI49" s="202">
        <f t="shared" si="37"/>
        <v>6.6773285278430237</v>
      </c>
      <c r="AK49" s="71">
        <v>44</v>
      </c>
      <c r="AL49" s="33">
        <f t="shared" si="10"/>
        <v>0</v>
      </c>
      <c r="AM49" s="33">
        <f t="shared" si="11"/>
        <v>0</v>
      </c>
      <c r="AN49" s="33">
        <f t="shared" si="12"/>
        <v>0</v>
      </c>
      <c r="AO49" s="33">
        <f t="shared" si="13"/>
        <v>0</v>
      </c>
      <c r="AP49" s="33">
        <f t="shared" si="14"/>
        <v>0</v>
      </c>
      <c r="AQ49" s="197">
        <f t="shared" si="40"/>
        <v>0</v>
      </c>
      <c r="AR49" s="197">
        <f t="shared" si="40"/>
        <v>0</v>
      </c>
      <c r="AS49" s="197">
        <f t="shared" si="40"/>
        <v>0</v>
      </c>
      <c r="AT49" s="197">
        <f t="shared" si="40"/>
        <v>0</v>
      </c>
      <c r="AU49" s="33"/>
      <c r="AV49" s="33"/>
      <c r="AW49" s="33"/>
      <c r="AX49" s="33"/>
      <c r="AY49" s="76"/>
    </row>
    <row r="50" spans="2:51">
      <c r="B50" s="40">
        <f t="shared" si="31"/>
        <v>80</v>
      </c>
      <c r="C50" s="155">
        <f t="shared" si="38"/>
        <v>81</v>
      </c>
      <c r="D50" s="140">
        <v>323</v>
      </c>
      <c r="E50" s="144">
        <f t="shared" si="29"/>
        <v>1.56</v>
      </c>
      <c r="F50" s="42">
        <f t="shared" si="41"/>
        <v>503.88</v>
      </c>
      <c r="G50" s="51">
        <f t="shared" si="42"/>
        <v>-43.680000000000064</v>
      </c>
      <c r="I50" s="55">
        <v>45</v>
      </c>
      <c r="J50" s="33">
        <f t="shared" si="18"/>
        <v>0</v>
      </c>
      <c r="K50" s="33">
        <f t="shared" si="19"/>
        <v>0</v>
      </c>
      <c r="L50" s="33">
        <f t="shared" si="20"/>
        <v>70</v>
      </c>
      <c r="M50" s="33">
        <f t="shared" si="21"/>
        <v>0</v>
      </c>
      <c r="N50" s="33">
        <f t="shared" si="0"/>
        <v>0</v>
      </c>
      <c r="O50" s="34">
        <f t="shared" si="1"/>
        <v>256.66666666666669</v>
      </c>
      <c r="P50" s="55">
        <v>45</v>
      </c>
      <c r="Q50" s="33">
        <f t="shared" si="15"/>
        <v>21.45000000000001</v>
      </c>
      <c r="R50" s="33">
        <f t="shared" si="22"/>
        <v>296.39999999999998</v>
      </c>
      <c r="S50" s="33">
        <f t="shared" si="23"/>
        <v>180.80399999999997</v>
      </c>
      <c r="T50" s="33">
        <f t="shared" si="2"/>
        <v>45.501014930459895</v>
      </c>
      <c r="U50" s="33">
        <f t="shared" si="16"/>
        <v>70</v>
      </c>
      <c r="V50" s="33">
        <f t="shared" si="3"/>
        <v>10</v>
      </c>
      <c r="W50" s="33">
        <v>0</v>
      </c>
      <c r="X50" s="33">
        <f t="shared" si="4"/>
        <v>687.48123433721764</v>
      </c>
      <c r="Y50" s="38">
        <f t="shared" si="5"/>
        <v>430.81456767055096</v>
      </c>
      <c r="AA50" s="71">
        <v>45</v>
      </c>
      <c r="AB50" s="33">
        <f t="shared" si="6"/>
        <v>0</v>
      </c>
      <c r="AC50" s="308">
        <f t="shared" si="39"/>
        <v>0</v>
      </c>
      <c r="AD50" s="101">
        <f t="shared" si="8"/>
        <v>0</v>
      </c>
      <c r="AE50" s="101">
        <f t="shared" si="9"/>
        <v>0</v>
      </c>
      <c r="AF50" s="197">
        <f t="shared" si="34"/>
        <v>6.5463901881802711</v>
      </c>
      <c r="AG50" s="197">
        <f t="shared" si="35"/>
        <v>0</v>
      </c>
      <c r="AH50" s="197">
        <f t="shared" si="36"/>
        <v>0</v>
      </c>
      <c r="AI50" s="202">
        <f t="shared" si="37"/>
        <v>6.5463901881802711</v>
      </c>
      <c r="AK50" s="71">
        <v>45</v>
      </c>
      <c r="AL50" s="33">
        <f t="shared" si="10"/>
        <v>0</v>
      </c>
      <c r="AM50" s="33">
        <f t="shared" si="11"/>
        <v>0</v>
      </c>
      <c r="AN50" s="33">
        <f t="shared" si="12"/>
        <v>0</v>
      </c>
      <c r="AO50" s="33">
        <f t="shared" si="13"/>
        <v>0</v>
      </c>
      <c r="AP50" s="33">
        <f t="shared" si="14"/>
        <v>0</v>
      </c>
      <c r="AQ50" s="197">
        <f t="shared" si="40"/>
        <v>0</v>
      </c>
      <c r="AR50" s="197">
        <f t="shared" si="40"/>
        <v>0</v>
      </c>
      <c r="AS50" s="197">
        <f t="shared" si="40"/>
        <v>0</v>
      </c>
      <c r="AT50" s="197">
        <f t="shared" si="40"/>
        <v>0</v>
      </c>
      <c r="AU50" s="33"/>
      <c r="AV50" s="33"/>
      <c r="AW50" s="33"/>
      <c r="AX50" s="33"/>
      <c r="AY50" s="76"/>
    </row>
    <row r="51" spans="2:51">
      <c r="B51" s="40">
        <f t="shared" si="31"/>
        <v>81</v>
      </c>
      <c r="C51" s="155">
        <f t="shared" si="38"/>
        <v>85</v>
      </c>
      <c r="D51" s="140">
        <f>D52+27</f>
        <v>365</v>
      </c>
      <c r="E51" s="144">
        <f t="shared" si="29"/>
        <v>1.56</v>
      </c>
      <c r="F51" s="42">
        <f t="shared" si="41"/>
        <v>569.4</v>
      </c>
      <c r="G51" s="51">
        <f t="shared" si="42"/>
        <v>16.379999999999995</v>
      </c>
      <c r="I51" s="55">
        <v>46</v>
      </c>
      <c r="J51" s="33">
        <f t="shared" si="18"/>
        <v>0</v>
      </c>
      <c r="K51" s="33">
        <f t="shared" si="19"/>
        <v>0</v>
      </c>
      <c r="L51" s="33">
        <f t="shared" si="20"/>
        <v>70</v>
      </c>
      <c r="M51" s="33">
        <f t="shared" si="21"/>
        <v>0</v>
      </c>
      <c r="N51" s="33">
        <f t="shared" si="0"/>
        <v>0</v>
      </c>
      <c r="O51" s="34">
        <f t="shared" si="1"/>
        <v>256.66666666666669</v>
      </c>
      <c r="P51" s="55">
        <v>46</v>
      </c>
      <c r="Q51" s="33">
        <f t="shared" si="15"/>
        <v>-43.680000000000035</v>
      </c>
      <c r="R51" s="33">
        <f t="shared" si="22"/>
        <v>252.71999999999994</v>
      </c>
      <c r="S51" s="33">
        <f t="shared" si="23"/>
        <v>154.15919999999997</v>
      </c>
      <c r="T51" s="33">
        <f t="shared" si="2"/>
        <v>39.522268933730984</v>
      </c>
      <c r="U51" s="33">
        <f t="shared" si="16"/>
        <v>70</v>
      </c>
      <c r="V51" s="33">
        <f t="shared" si="3"/>
        <v>10</v>
      </c>
      <c r="W51" s="33">
        <v>0</v>
      </c>
      <c r="X51" s="33">
        <f t="shared" si="4"/>
        <v>630.66189172624809</v>
      </c>
      <c r="Y51" s="38">
        <f t="shared" si="5"/>
        <v>373.9952250595814</v>
      </c>
      <c r="AA51" s="71">
        <v>46</v>
      </c>
      <c r="AB51" s="33">
        <f t="shared" si="6"/>
        <v>28</v>
      </c>
      <c r="AC51" s="308">
        <f t="shared" si="39"/>
        <v>0.2</v>
      </c>
      <c r="AD51" s="101">
        <f t="shared" si="8"/>
        <v>0</v>
      </c>
      <c r="AE51" s="101">
        <f t="shared" si="9"/>
        <v>0</v>
      </c>
      <c r="AF51" s="197">
        <f t="shared" si="34"/>
        <v>12.309026903209713</v>
      </c>
      <c r="AG51" s="197">
        <f t="shared" si="35"/>
        <v>0</v>
      </c>
      <c r="AH51" s="197">
        <f t="shared" si="36"/>
        <v>0</v>
      </c>
      <c r="AI51" s="202">
        <f t="shared" si="37"/>
        <v>12.309026903209713</v>
      </c>
      <c r="AK51" s="71">
        <v>46</v>
      </c>
      <c r="AL51" s="33">
        <f t="shared" si="10"/>
        <v>28</v>
      </c>
      <c r="AM51" s="33">
        <f t="shared" si="11"/>
        <v>0.4</v>
      </c>
      <c r="AN51" s="33">
        <f t="shared" si="12"/>
        <v>0</v>
      </c>
      <c r="AO51" s="33">
        <f t="shared" si="13"/>
        <v>0</v>
      </c>
      <c r="AP51" s="33">
        <f t="shared" si="14"/>
        <v>0.6</v>
      </c>
      <c r="AQ51" s="197">
        <f t="shared" si="40"/>
        <v>11.200000000000001</v>
      </c>
      <c r="AR51" s="197">
        <f t="shared" si="40"/>
        <v>0</v>
      </c>
      <c r="AS51" s="197">
        <f t="shared" si="40"/>
        <v>0</v>
      </c>
      <c r="AT51" s="197">
        <f t="shared" si="40"/>
        <v>16.8</v>
      </c>
      <c r="AU51" s="33"/>
      <c r="AV51" s="33"/>
      <c r="AW51" s="33"/>
      <c r="AX51" s="33"/>
      <c r="AY51" s="76"/>
    </row>
    <row r="52" spans="2:51">
      <c r="B52" s="40">
        <f t="shared" si="31"/>
        <v>85</v>
      </c>
      <c r="C52" s="155">
        <f t="shared" si="38"/>
        <v>86</v>
      </c>
      <c r="D52" s="140">
        <v>338</v>
      </c>
      <c r="E52" s="144">
        <f t="shared" si="29"/>
        <v>1.56</v>
      </c>
      <c r="F52" s="42">
        <f t="shared" si="41"/>
        <v>527.28</v>
      </c>
      <c r="G52" s="51">
        <f t="shared" si="42"/>
        <v>-42.120000000000005</v>
      </c>
      <c r="I52" s="55">
        <v>47</v>
      </c>
      <c r="J52" s="33">
        <f t="shared" si="18"/>
        <v>0</v>
      </c>
      <c r="K52" s="33">
        <f t="shared" si="19"/>
        <v>0</v>
      </c>
      <c r="L52" s="33">
        <f t="shared" si="20"/>
        <v>70</v>
      </c>
      <c r="M52" s="33">
        <f t="shared" si="21"/>
        <v>0</v>
      </c>
      <c r="N52" s="33">
        <f t="shared" si="0"/>
        <v>0</v>
      </c>
      <c r="O52" s="34">
        <f t="shared" si="1"/>
        <v>256.66666666666669</v>
      </c>
      <c r="P52" s="55">
        <v>47</v>
      </c>
      <c r="Q52" s="33">
        <f t="shared" si="15"/>
        <v>21.45000000000001</v>
      </c>
      <c r="R52" s="33">
        <f t="shared" si="22"/>
        <v>274.16999999999996</v>
      </c>
      <c r="S52" s="33">
        <f t="shared" si="23"/>
        <v>167.24369999999996</v>
      </c>
      <c r="T52" s="33">
        <f t="shared" si="2"/>
        <v>42.472118010657631</v>
      </c>
      <c r="U52" s="33">
        <f t="shared" si="16"/>
        <v>70</v>
      </c>
      <c r="V52" s="33">
        <f t="shared" si="3"/>
        <v>10</v>
      </c>
      <c r="W52" s="33">
        <v>0</v>
      </c>
      <c r="X52" s="33">
        <f t="shared" si="4"/>
        <v>658.58838303522862</v>
      </c>
      <c r="Y52" s="38">
        <f t="shared" si="5"/>
        <v>401.92171636856193</v>
      </c>
      <c r="AA52" s="71">
        <v>47</v>
      </c>
      <c r="AB52" s="33">
        <f t="shared" si="6"/>
        <v>0</v>
      </c>
      <c r="AC52" s="308">
        <f t="shared" si="39"/>
        <v>0</v>
      </c>
      <c r="AD52" s="101">
        <f t="shared" si="8"/>
        <v>0</v>
      </c>
      <c r="AE52" s="101">
        <f t="shared" si="9"/>
        <v>0</v>
      </c>
      <c r="AF52" s="197">
        <f t="shared" si="34"/>
        <v>12.067654393402851</v>
      </c>
      <c r="AG52" s="197">
        <f t="shared" si="35"/>
        <v>0</v>
      </c>
      <c r="AH52" s="197">
        <f t="shared" si="36"/>
        <v>0</v>
      </c>
      <c r="AI52" s="202">
        <f t="shared" si="37"/>
        <v>12.067654393402851</v>
      </c>
      <c r="AK52" s="71">
        <v>47</v>
      </c>
      <c r="AL52" s="33">
        <f t="shared" si="10"/>
        <v>0</v>
      </c>
      <c r="AM52" s="33">
        <f t="shared" si="11"/>
        <v>0</v>
      </c>
      <c r="AN52" s="33">
        <f t="shared" si="12"/>
        <v>0</v>
      </c>
      <c r="AO52" s="33">
        <f t="shared" si="13"/>
        <v>0</v>
      </c>
      <c r="AP52" s="33">
        <f t="shared" si="14"/>
        <v>0</v>
      </c>
      <c r="AQ52" s="197">
        <f t="shared" si="40"/>
        <v>0</v>
      </c>
      <c r="AR52" s="197">
        <f t="shared" si="40"/>
        <v>0</v>
      </c>
      <c r="AS52" s="197">
        <f t="shared" si="40"/>
        <v>0</v>
      </c>
      <c r="AT52" s="197">
        <f t="shared" si="40"/>
        <v>0</v>
      </c>
      <c r="AU52" s="33"/>
      <c r="AV52" s="33"/>
      <c r="AW52" s="33"/>
      <c r="AX52" s="33"/>
      <c r="AY52" s="76"/>
    </row>
    <row r="53" spans="2:51">
      <c r="B53" s="40">
        <f t="shared" si="31"/>
        <v>86</v>
      </c>
      <c r="C53" s="155">
        <f t="shared" si="38"/>
        <v>90</v>
      </c>
      <c r="D53" s="140">
        <f>D54+26</f>
        <v>377</v>
      </c>
      <c r="E53" s="144">
        <f t="shared" si="29"/>
        <v>1.56</v>
      </c>
      <c r="F53" s="42">
        <f t="shared" si="41"/>
        <v>588.12</v>
      </c>
      <c r="G53" s="51">
        <f t="shared" si="42"/>
        <v>15.210000000000008</v>
      </c>
      <c r="I53" s="55">
        <v>48</v>
      </c>
      <c r="J53" s="33">
        <f t="shared" si="18"/>
        <v>0</v>
      </c>
      <c r="K53" s="33">
        <f t="shared" si="19"/>
        <v>0</v>
      </c>
      <c r="L53" s="33">
        <f t="shared" si="20"/>
        <v>70</v>
      </c>
      <c r="M53" s="33">
        <f t="shared" si="21"/>
        <v>0</v>
      </c>
      <c r="N53" s="33">
        <f t="shared" si="0"/>
        <v>0</v>
      </c>
      <c r="O53" s="34">
        <f t="shared" si="1"/>
        <v>256.66666666666669</v>
      </c>
      <c r="P53" s="55">
        <v>48</v>
      </c>
      <c r="Q53" s="33">
        <f t="shared" si="15"/>
        <v>21.45000000000001</v>
      </c>
      <c r="R53" s="33">
        <f t="shared" si="22"/>
        <v>295.61999999999995</v>
      </c>
      <c r="S53" s="33">
        <f t="shared" si="23"/>
        <v>180.32819999999995</v>
      </c>
      <c r="T53" s="33">
        <f t="shared" si="2"/>
        <v>45.395196876518106</v>
      </c>
      <c r="U53" s="33">
        <f t="shared" si="16"/>
        <v>70</v>
      </c>
      <c r="V53" s="33">
        <f t="shared" si="3"/>
        <v>10</v>
      </c>
      <c r="W53" s="33">
        <v>0</v>
      </c>
      <c r="X53" s="33">
        <f t="shared" si="4"/>
        <v>686.46824955993554</v>
      </c>
      <c r="Y53" s="38">
        <f t="shared" si="5"/>
        <v>429.80158289326886</v>
      </c>
      <c r="AA53" s="71">
        <v>48</v>
      </c>
      <c r="AB53" s="33">
        <f t="shared" si="6"/>
        <v>0</v>
      </c>
      <c r="AC53" s="308">
        <f t="shared" si="39"/>
        <v>0</v>
      </c>
      <c r="AD53" s="101">
        <f t="shared" si="8"/>
        <v>0</v>
      </c>
      <c r="AE53" s="101">
        <f t="shared" si="9"/>
        <v>0</v>
      </c>
      <c r="AF53" s="197">
        <f t="shared" si="34"/>
        <v>11.831015051290608</v>
      </c>
      <c r="AG53" s="197">
        <f t="shared" si="35"/>
        <v>0</v>
      </c>
      <c r="AH53" s="197">
        <f t="shared" si="36"/>
        <v>0</v>
      </c>
      <c r="AI53" s="202">
        <f t="shared" si="37"/>
        <v>11.831015051290608</v>
      </c>
      <c r="AK53" s="71">
        <v>48</v>
      </c>
      <c r="AL53" s="33">
        <f t="shared" si="10"/>
        <v>0</v>
      </c>
      <c r="AM53" s="33">
        <f t="shared" si="11"/>
        <v>0</v>
      </c>
      <c r="AN53" s="33">
        <f t="shared" si="12"/>
        <v>0</v>
      </c>
      <c r="AO53" s="33">
        <f t="shared" si="13"/>
        <v>0</v>
      </c>
      <c r="AP53" s="33">
        <f t="shared" si="14"/>
        <v>0</v>
      </c>
      <c r="AQ53" s="197">
        <f t="shared" si="40"/>
        <v>0</v>
      </c>
      <c r="AR53" s="197">
        <f t="shared" si="40"/>
        <v>0</v>
      </c>
      <c r="AS53" s="197">
        <f t="shared" si="40"/>
        <v>0</v>
      </c>
      <c r="AT53" s="197">
        <f t="shared" si="40"/>
        <v>0</v>
      </c>
      <c r="AU53" s="33"/>
      <c r="AV53" s="33"/>
      <c r="AW53" s="33"/>
      <c r="AX53" s="33"/>
      <c r="AY53" s="76"/>
    </row>
    <row r="54" spans="2:51">
      <c r="B54" s="40">
        <f t="shared" si="31"/>
        <v>90</v>
      </c>
      <c r="C54" s="155">
        <f t="shared" si="38"/>
        <v>91</v>
      </c>
      <c r="D54" s="140">
        <v>351</v>
      </c>
      <c r="E54" s="144">
        <f t="shared" si="29"/>
        <v>1.56</v>
      </c>
      <c r="F54" s="42">
        <f t="shared" si="41"/>
        <v>547.56000000000006</v>
      </c>
      <c r="G54" s="51">
        <f t="shared" si="42"/>
        <v>-40.559999999999945</v>
      </c>
      <c r="I54" s="55">
        <v>49</v>
      </c>
      <c r="J54" s="33">
        <f t="shared" si="18"/>
        <v>0</v>
      </c>
      <c r="K54" s="33">
        <f t="shared" si="19"/>
        <v>0</v>
      </c>
      <c r="L54" s="33">
        <f t="shared" si="20"/>
        <v>70</v>
      </c>
      <c r="M54" s="33">
        <f t="shared" si="21"/>
        <v>0</v>
      </c>
      <c r="N54" s="33">
        <f t="shared" si="0"/>
        <v>0</v>
      </c>
      <c r="O54" s="34">
        <f t="shared" si="1"/>
        <v>256.66666666666669</v>
      </c>
      <c r="P54" s="55">
        <v>49</v>
      </c>
      <c r="Q54" s="33">
        <f t="shared" si="15"/>
        <v>21.45000000000001</v>
      </c>
      <c r="R54" s="33">
        <f t="shared" si="22"/>
        <v>317.06999999999994</v>
      </c>
      <c r="S54" s="33">
        <f t="shared" si="23"/>
        <v>193.41269999999994</v>
      </c>
      <c r="T54" s="33">
        <f t="shared" si="2"/>
        <v>48.293668862812176</v>
      </c>
      <c r="U54" s="33">
        <f t="shared" si="16"/>
        <v>70</v>
      </c>
      <c r="V54" s="33">
        <f t="shared" si="3"/>
        <v>10</v>
      </c>
      <c r="W54" s="33">
        <v>0</v>
      </c>
      <c r="X54" s="33">
        <f t="shared" si="4"/>
        <v>714.30525910273116</v>
      </c>
      <c r="Y54" s="38">
        <f t="shared" si="5"/>
        <v>457.63859243606447</v>
      </c>
      <c r="AA54" s="71">
        <v>49</v>
      </c>
      <c r="AB54" s="33">
        <f t="shared" si="6"/>
        <v>0</v>
      </c>
      <c r="AC54" s="308">
        <f t="shared" si="39"/>
        <v>0</v>
      </c>
      <c r="AD54" s="101">
        <f t="shared" si="8"/>
        <v>0</v>
      </c>
      <c r="AE54" s="101">
        <f t="shared" si="9"/>
        <v>0</v>
      </c>
      <c r="AF54" s="197">
        <f t="shared" si="34"/>
        <v>11.599016062341439</v>
      </c>
      <c r="AG54" s="197">
        <f t="shared" si="35"/>
        <v>0</v>
      </c>
      <c r="AH54" s="197">
        <f t="shared" si="36"/>
        <v>0</v>
      </c>
      <c r="AI54" s="202">
        <f t="shared" si="37"/>
        <v>11.599016062341439</v>
      </c>
      <c r="AK54" s="71">
        <v>49</v>
      </c>
      <c r="AL54" s="33">
        <f t="shared" si="10"/>
        <v>0</v>
      </c>
      <c r="AM54" s="33">
        <f t="shared" si="11"/>
        <v>0</v>
      </c>
      <c r="AN54" s="33">
        <f t="shared" si="12"/>
        <v>0</v>
      </c>
      <c r="AO54" s="33">
        <f t="shared" si="13"/>
        <v>0</v>
      </c>
      <c r="AP54" s="33">
        <f t="shared" si="14"/>
        <v>0</v>
      </c>
      <c r="AQ54" s="197">
        <f t="shared" si="40"/>
        <v>0</v>
      </c>
      <c r="AR54" s="197">
        <f t="shared" si="40"/>
        <v>0</v>
      </c>
      <c r="AS54" s="197">
        <f t="shared" si="40"/>
        <v>0</v>
      </c>
      <c r="AT54" s="197">
        <f t="shared" si="40"/>
        <v>0</v>
      </c>
      <c r="AU54" s="33"/>
      <c r="AV54" s="33"/>
      <c r="AW54" s="33"/>
      <c r="AX54" s="33"/>
      <c r="AY54" s="76"/>
    </row>
    <row r="55" spans="2:51">
      <c r="B55" s="40">
        <f t="shared" si="31"/>
        <v>91</v>
      </c>
      <c r="C55" s="155">
        <f t="shared" si="38"/>
        <v>95</v>
      </c>
      <c r="D55" s="140">
        <f>D56+25</f>
        <v>389</v>
      </c>
      <c r="E55" s="144">
        <f t="shared" si="29"/>
        <v>1.56</v>
      </c>
      <c r="F55" s="42">
        <f t="shared" si="41"/>
        <v>606.84</v>
      </c>
      <c r="G55" s="51">
        <f t="shared" si="42"/>
        <v>14.819999999999993</v>
      </c>
      <c r="I55" s="55">
        <v>50</v>
      </c>
      <c r="J55" s="33">
        <f t="shared" si="18"/>
        <v>0</v>
      </c>
      <c r="K55" s="33">
        <f t="shared" si="19"/>
        <v>0</v>
      </c>
      <c r="L55" s="33">
        <f t="shared" si="20"/>
        <v>70</v>
      </c>
      <c r="M55" s="33">
        <f t="shared" si="21"/>
        <v>0</v>
      </c>
      <c r="N55" s="33">
        <f t="shared" si="0"/>
        <v>0</v>
      </c>
      <c r="O55" s="34">
        <f t="shared" si="1"/>
        <v>256.66666666666669</v>
      </c>
      <c r="P55" s="55">
        <v>50</v>
      </c>
      <c r="Q55" s="33">
        <f t="shared" si="15"/>
        <v>21.45000000000001</v>
      </c>
      <c r="R55" s="33">
        <f t="shared" si="22"/>
        <v>338.51999999999992</v>
      </c>
      <c r="S55" s="33">
        <f t="shared" si="23"/>
        <v>206.49719999999996</v>
      </c>
      <c r="T55" s="33">
        <f t="shared" si="2"/>
        <v>51.169388035144998</v>
      </c>
      <c r="U55" s="33">
        <f t="shared" si="16"/>
        <v>70</v>
      </c>
      <c r="V55" s="33">
        <f t="shared" si="3"/>
        <v>10</v>
      </c>
      <c r="W55" s="33">
        <v>0</v>
      </c>
      <c r="X55" s="33">
        <f t="shared" si="4"/>
        <v>742.10264082787751</v>
      </c>
      <c r="Y55" s="38">
        <f t="shared" si="5"/>
        <v>485.43597416121082</v>
      </c>
      <c r="AA55" s="71">
        <v>50</v>
      </c>
      <c r="AB55" s="33">
        <f t="shared" si="6"/>
        <v>0</v>
      </c>
      <c r="AC55" s="308">
        <f t="shared" si="39"/>
        <v>0</v>
      </c>
      <c r="AD55" s="101">
        <f t="shared" si="8"/>
        <v>0</v>
      </c>
      <c r="AE55" s="101">
        <f t="shared" si="9"/>
        <v>0</v>
      </c>
      <c r="AF55" s="197">
        <f t="shared" si="34"/>
        <v>11.371566432060153</v>
      </c>
      <c r="AG55" s="197">
        <f t="shared" si="35"/>
        <v>0</v>
      </c>
      <c r="AH55" s="197">
        <f t="shared" si="36"/>
        <v>0</v>
      </c>
      <c r="AI55" s="202">
        <f t="shared" si="37"/>
        <v>11.371566432060153</v>
      </c>
      <c r="AK55" s="71">
        <v>50</v>
      </c>
      <c r="AL55" s="33">
        <f t="shared" si="10"/>
        <v>0</v>
      </c>
      <c r="AM55" s="33">
        <f t="shared" si="11"/>
        <v>0</v>
      </c>
      <c r="AN55" s="33">
        <f t="shared" si="12"/>
        <v>0</v>
      </c>
      <c r="AO55" s="33">
        <f t="shared" si="13"/>
        <v>0</v>
      </c>
      <c r="AP55" s="33">
        <f t="shared" si="14"/>
        <v>0</v>
      </c>
      <c r="AQ55" s="197">
        <f t="shared" si="40"/>
        <v>0</v>
      </c>
      <c r="AR55" s="197">
        <f t="shared" si="40"/>
        <v>0</v>
      </c>
      <c r="AS55" s="197">
        <f t="shared" si="40"/>
        <v>0</v>
      </c>
      <c r="AT55" s="197">
        <f t="shared" si="40"/>
        <v>0</v>
      </c>
      <c r="AU55" s="33"/>
      <c r="AV55" s="33"/>
      <c r="AW55" s="33"/>
      <c r="AX55" s="33"/>
      <c r="AY55" s="76"/>
    </row>
    <row r="56" spans="2:51">
      <c r="B56" s="40">
        <f t="shared" si="31"/>
        <v>95</v>
      </c>
      <c r="C56" s="155">
        <f t="shared" si="38"/>
        <v>96</v>
      </c>
      <c r="D56" s="140">
        <v>364</v>
      </c>
      <c r="E56" s="144">
        <f t="shared" si="29"/>
        <v>1.56</v>
      </c>
      <c r="F56" s="42">
        <f t="shared" si="41"/>
        <v>567.84</v>
      </c>
      <c r="G56" s="51">
        <f t="shared" si="42"/>
        <v>-39</v>
      </c>
      <c r="I56" s="55">
        <v>51</v>
      </c>
      <c r="J56" s="33">
        <f t="shared" si="18"/>
        <v>0</v>
      </c>
      <c r="K56" s="33">
        <f t="shared" si="19"/>
        <v>0</v>
      </c>
      <c r="L56" s="33">
        <f t="shared" si="20"/>
        <v>70</v>
      </c>
      <c r="M56" s="33">
        <f t="shared" si="21"/>
        <v>0</v>
      </c>
      <c r="N56" s="33">
        <f t="shared" si="0"/>
        <v>0</v>
      </c>
      <c r="O56" s="34">
        <f t="shared" si="1"/>
        <v>256.66666666666669</v>
      </c>
      <c r="P56" s="55">
        <v>51</v>
      </c>
      <c r="Q56" s="33">
        <f t="shared" si="15"/>
        <v>-43.680000000000007</v>
      </c>
      <c r="R56" s="33">
        <f t="shared" si="22"/>
        <v>294.83999999999992</v>
      </c>
      <c r="S56" s="33">
        <f t="shared" si="23"/>
        <v>179.85239999999996</v>
      </c>
      <c r="T56" s="33">
        <f t="shared" si="2"/>
        <v>45.289346318280089</v>
      </c>
      <c r="U56" s="33">
        <f t="shared" si="16"/>
        <v>70</v>
      </c>
      <c r="V56" s="33">
        <f t="shared" si="3"/>
        <v>10</v>
      </c>
      <c r="W56" s="33">
        <v>0</v>
      </c>
      <c r="X56" s="33">
        <f t="shared" si="4"/>
        <v>685.4552081710043</v>
      </c>
      <c r="Y56" s="38">
        <f t="shared" si="5"/>
        <v>428.78854150433762</v>
      </c>
      <c r="AA56" s="71">
        <v>51</v>
      </c>
      <c r="AB56" s="33">
        <f t="shared" si="6"/>
        <v>28</v>
      </c>
      <c r="AC56" s="308">
        <f t="shared" si="39"/>
        <v>0.25</v>
      </c>
      <c r="AD56" s="101">
        <f t="shared" si="8"/>
        <v>0</v>
      </c>
      <c r="AE56" s="101">
        <f t="shared" si="9"/>
        <v>0</v>
      </c>
      <c r="AF56" s="197">
        <f t="shared" si="34"/>
        <v>18.512336242442995</v>
      </c>
      <c r="AG56" s="197">
        <f t="shared" si="35"/>
        <v>0</v>
      </c>
      <c r="AH56" s="197">
        <f t="shared" si="36"/>
        <v>0</v>
      </c>
      <c r="AI56" s="202">
        <f t="shared" si="37"/>
        <v>18.512336242442995</v>
      </c>
      <c r="AK56" s="71">
        <v>51</v>
      </c>
      <c r="AL56" s="33">
        <f t="shared" si="10"/>
        <v>28</v>
      </c>
      <c r="AM56" s="33">
        <f t="shared" si="11"/>
        <v>0.5</v>
      </c>
      <c r="AN56" s="33">
        <f t="shared" si="12"/>
        <v>0</v>
      </c>
      <c r="AO56" s="33">
        <f t="shared" si="13"/>
        <v>0</v>
      </c>
      <c r="AP56" s="33">
        <f t="shared" si="14"/>
        <v>0.5</v>
      </c>
      <c r="AQ56" s="197">
        <f t="shared" si="40"/>
        <v>14</v>
      </c>
      <c r="AR56" s="197">
        <f t="shared" si="40"/>
        <v>0</v>
      </c>
      <c r="AS56" s="197">
        <f t="shared" si="40"/>
        <v>0</v>
      </c>
      <c r="AT56" s="197">
        <f t="shared" si="40"/>
        <v>14</v>
      </c>
      <c r="AU56" s="33"/>
      <c r="AV56" s="33"/>
      <c r="AW56" s="33"/>
      <c r="AX56" s="33"/>
      <c r="AY56" s="76"/>
    </row>
    <row r="57" spans="2:51">
      <c r="B57" s="40">
        <f t="shared" si="31"/>
        <v>96</v>
      </c>
      <c r="C57" s="155">
        <f t="shared" si="38"/>
        <v>100</v>
      </c>
      <c r="D57" s="140">
        <f>D58+24</f>
        <v>400</v>
      </c>
      <c r="E57" s="144">
        <f t="shared" si="29"/>
        <v>1.56</v>
      </c>
      <c r="F57" s="42">
        <f t="shared" si="41"/>
        <v>624</v>
      </c>
      <c r="G57" s="51">
        <f t="shared" si="42"/>
        <v>14.039999999999992</v>
      </c>
      <c r="I57" s="55">
        <v>52</v>
      </c>
      <c r="J57" s="33">
        <f t="shared" si="18"/>
        <v>0</v>
      </c>
      <c r="K57" s="33">
        <f t="shared" si="19"/>
        <v>0</v>
      </c>
      <c r="L57" s="33">
        <f t="shared" si="20"/>
        <v>70</v>
      </c>
      <c r="M57" s="33">
        <f t="shared" si="21"/>
        <v>0</v>
      </c>
      <c r="N57" s="33">
        <f t="shared" si="0"/>
        <v>0</v>
      </c>
      <c r="O57" s="34">
        <f t="shared" si="1"/>
        <v>256.66666666666669</v>
      </c>
      <c r="P57" s="55">
        <v>52</v>
      </c>
      <c r="Q57" s="33">
        <f t="shared" si="15"/>
        <v>21.449999999999989</v>
      </c>
      <c r="R57" s="33">
        <f t="shared" si="22"/>
        <v>316.28999999999991</v>
      </c>
      <c r="S57" s="33">
        <f t="shared" si="23"/>
        <v>192.93689999999995</v>
      </c>
      <c r="T57" s="33">
        <f t="shared" si="2"/>
        <v>48.188678946588105</v>
      </c>
      <c r="U57" s="33">
        <f t="shared" si="16"/>
        <v>70</v>
      </c>
      <c r="V57" s="33">
        <f t="shared" si="3"/>
        <v>10</v>
      </c>
      <c r="W57" s="33">
        <v>0</v>
      </c>
      <c r="X57" s="33">
        <f t="shared" si="4"/>
        <v>713.29371666530744</v>
      </c>
      <c r="Y57" s="38">
        <f t="shared" si="5"/>
        <v>456.62704999864076</v>
      </c>
      <c r="AA57" s="71">
        <v>52</v>
      </c>
      <c r="AB57" s="33">
        <f t="shared" si="6"/>
        <v>0</v>
      </c>
      <c r="AC57" s="308">
        <f t="shared" si="39"/>
        <v>0</v>
      </c>
      <c r="AD57" s="101">
        <f t="shared" si="8"/>
        <v>0</v>
      </c>
      <c r="AE57" s="101">
        <f t="shared" si="9"/>
        <v>0</v>
      </c>
      <c r="AF57" s="197">
        <f t="shared" si="34"/>
        <v>18.149320620138862</v>
      </c>
      <c r="AG57" s="197">
        <f t="shared" si="35"/>
        <v>0</v>
      </c>
      <c r="AH57" s="197">
        <f t="shared" si="36"/>
        <v>0</v>
      </c>
      <c r="AI57" s="202">
        <f t="shared" si="37"/>
        <v>18.149320620138862</v>
      </c>
      <c r="AK57" s="71">
        <v>52</v>
      </c>
      <c r="AL57" s="33">
        <f t="shared" si="10"/>
        <v>0</v>
      </c>
      <c r="AM57" s="33">
        <f t="shared" si="11"/>
        <v>0</v>
      </c>
      <c r="AN57" s="33">
        <f t="shared" si="12"/>
        <v>0</v>
      </c>
      <c r="AO57" s="33">
        <f t="shared" si="13"/>
        <v>0</v>
      </c>
      <c r="AP57" s="33">
        <f t="shared" si="14"/>
        <v>0</v>
      </c>
      <c r="AQ57" s="197">
        <f t="shared" si="40"/>
        <v>0</v>
      </c>
      <c r="AR57" s="197">
        <f t="shared" si="40"/>
        <v>0</v>
      </c>
      <c r="AS57" s="197">
        <f t="shared" si="40"/>
        <v>0</v>
      </c>
      <c r="AT57" s="197">
        <f t="shared" si="40"/>
        <v>0</v>
      </c>
      <c r="AU57" s="33"/>
      <c r="AV57" s="33"/>
      <c r="AW57" s="33"/>
      <c r="AX57" s="33"/>
      <c r="AY57" s="76"/>
    </row>
    <row r="58" spans="2:51">
      <c r="B58" s="40">
        <f t="shared" si="31"/>
        <v>100</v>
      </c>
      <c r="C58" s="155">
        <f t="shared" si="38"/>
        <v>101</v>
      </c>
      <c r="D58" s="140">
        <v>376</v>
      </c>
      <c r="E58" s="144">
        <f t="shared" si="29"/>
        <v>1.56</v>
      </c>
      <c r="F58" s="42">
        <f t="shared" si="41"/>
        <v>586.56000000000006</v>
      </c>
      <c r="G58" s="51">
        <f t="shared" si="42"/>
        <v>-37.439999999999941</v>
      </c>
      <c r="I58" s="55">
        <v>53</v>
      </c>
      <c r="J58" s="33">
        <f t="shared" si="18"/>
        <v>0</v>
      </c>
      <c r="K58" s="33">
        <f t="shared" si="19"/>
        <v>0</v>
      </c>
      <c r="L58" s="33">
        <f t="shared" si="20"/>
        <v>70</v>
      </c>
      <c r="M58" s="33">
        <f t="shared" si="21"/>
        <v>0</v>
      </c>
      <c r="N58" s="33">
        <f t="shared" si="0"/>
        <v>0</v>
      </c>
      <c r="O58" s="34">
        <f t="shared" si="1"/>
        <v>256.66666666666669</v>
      </c>
      <c r="P58" s="55">
        <v>53</v>
      </c>
      <c r="Q58" s="33">
        <f t="shared" si="15"/>
        <v>21.449999999999989</v>
      </c>
      <c r="R58" s="33">
        <f t="shared" si="22"/>
        <v>337.7399999999999</v>
      </c>
      <c r="S58" s="33">
        <f t="shared" si="23"/>
        <v>206.02139999999994</v>
      </c>
      <c r="T58" s="33">
        <f t="shared" si="2"/>
        <v>51.065196008335704</v>
      </c>
      <c r="U58" s="33">
        <f t="shared" si="16"/>
        <v>70</v>
      </c>
      <c r="V58" s="33">
        <f t="shared" si="3"/>
        <v>10</v>
      </c>
      <c r="W58" s="33">
        <v>0</v>
      </c>
      <c r="X58" s="33">
        <f t="shared" si="4"/>
        <v>741.09248804785113</v>
      </c>
      <c r="Y58" s="38">
        <f t="shared" si="5"/>
        <v>484.42582138118445</v>
      </c>
      <c r="AA58" s="71">
        <v>53</v>
      </c>
      <c r="AB58" s="33">
        <f t="shared" si="6"/>
        <v>0</v>
      </c>
      <c r="AC58" s="308">
        <f t="shared" si="39"/>
        <v>0</v>
      </c>
      <c r="AD58" s="101">
        <f t="shared" si="8"/>
        <v>0</v>
      </c>
      <c r="AE58" s="101">
        <f t="shared" si="9"/>
        <v>0</v>
      </c>
      <c r="AF58" s="197">
        <f t="shared" si="34"/>
        <v>17.793423512770445</v>
      </c>
      <c r="AG58" s="197">
        <f t="shared" si="35"/>
        <v>0</v>
      </c>
      <c r="AH58" s="197">
        <f t="shared" si="36"/>
        <v>0</v>
      </c>
      <c r="AI58" s="202">
        <f t="shared" si="37"/>
        <v>17.793423512770445</v>
      </c>
      <c r="AK58" s="71">
        <v>53</v>
      </c>
      <c r="AL58" s="33">
        <f t="shared" si="10"/>
        <v>0</v>
      </c>
      <c r="AM58" s="33">
        <f t="shared" si="11"/>
        <v>0</v>
      </c>
      <c r="AN58" s="33">
        <f t="shared" si="12"/>
        <v>0</v>
      </c>
      <c r="AO58" s="33">
        <f t="shared" si="13"/>
        <v>0</v>
      </c>
      <c r="AP58" s="33">
        <f t="shared" si="14"/>
        <v>0</v>
      </c>
      <c r="AQ58" s="197">
        <f t="shared" si="40"/>
        <v>0</v>
      </c>
      <c r="AR58" s="197">
        <f t="shared" si="40"/>
        <v>0</v>
      </c>
      <c r="AS58" s="197">
        <f t="shared" si="40"/>
        <v>0</v>
      </c>
      <c r="AT58" s="197">
        <f t="shared" si="40"/>
        <v>0</v>
      </c>
      <c r="AU58" s="33"/>
      <c r="AV58" s="33"/>
      <c r="AW58" s="33"/>
      <c r="AX58" s="33"/>
      <c r="AY58" s="76"/>
    </row>
    <row r="59" spans="2:51">
      <c r="B59" s="40">
        <f t="shared" si="31"/>
        <v>101</v>
      </c>
      <c r="C59" s="155">
        <f t="shared" si="38"/>
        <v>105</v>
      </c>
      <c r="D59" s="140">
        <f>D60+23</f>
        <v>409</v>
      </c>
      <c r="E59" s="144">
        <f t="shared" si="29"/>
        <v>1.56</v>
      </c>
      <c r="F59" s="42">
        <f t="shared" si="41"/>
        <v>638.04000000000008</v>
      </c>
      <c r="G59" s="51">
        <f t="shared" si="42"/>
        <v>12.870000000000005</v>
      </c>
      <c r="I59" s="55">
        <v>54</v>
      </c>
      <c r="J59" s="33">
        <f t="shared" si="18"/>
        <v>0</v>
      </c>
      <c r="K59" s="33">
        <f t="shared" si="19"/>
        <v>0</v>
      </c>
      <c r="L59" s="33">
        <f t="shared" si="20"/>
        <v>70</v>
      </c>
      <c r="M59" s="33">
        <f t="shared" si="21"/>
        <v>0</v>
      </c>
      <c r="N59" s="33">
        <f t="shared" si="0"/>
        <v>0</v>
      </c>
      <c r="O59" s="34">
        <f t="shared" si="1"/>
        <v>256.66666666666669</v>
      </c>
      <c r="P59" s="55">
        <v>54</v>
      </c>
      <c r="Q59" s="33">
        <f t="shared" si="15"/>
        <v>21.449999999999989</v>
      </c>
      <c r="R59" s="33">
        <f t="shared" si="22"/>
        <v>359.18999999999988</v>
      </c>
      <c r="S59" s="33">
        <f t="shared" si="23"/>
        <v>219.10589999999993</v>
      </c>
      <c r="T59" s="33">
        <f t="shared" si="2"/>
        <v>53.920511469033769</v>
      </c>
      <c r="U59" s="33">
        <f t="shared" si="16"/>
        <v>70</v>
      </c>
      <c r="V59" s="33">
        <f t="shared" si="3"/>
        <v>10</v>
      </c>
      <c r="W59" s="33">
        <v>0</v>
      </c>
      <c r="X59" s="33">
        <f t="shared" si="4"/>
        <v>768.85433330856688</v>
      </c>
      <c r="Y59" s="38">
        <f t="shared" si="5"/>
        <v>512.18766664190025</v>
      </c>
      <c r="AA59" s="71">
        <v>54</v>
      </c>
      <c r="AB59" s="33">
        <f t="shared" si="6"/>
        <v>0</v>
      </c>
      <c r="AC59" s="308">
        <f t="shared" si="39"/>
        <v>0</v>
      </c>
      <c r="AD59" s="101">
        <f t="shared" si="8"/>
        <v>0</v>
      </c>
      <c r="AE59" s="101">
        <f t="shared" si="9"/>
        <v>0</v>
      </c>
      <c r="AF59" s="197">
        <f t="shared" si="34"/>
        <v>17.444505330601725</v>
      </c>
      <c r="AG59" s="197">
        <f t="shared" si="35"/>
        <v>0</v>
      </c>
      <c r="AH59" s="197">
        <f t="shared" si="36"/>
        <v>0</v>
      </c>
      <c r="AI59" s="202">
        <f t="shared" si="37"/>
        <v>17.444505330601725</v>
      </c>
      <c r="AK59" s="71">
        <v>54</v>
      </c>
      <c r="AL59" s="33">
        <f t="shared" si="10"/>
        <v>0</v>
      </c>
      <c r="AM59" s="33">
        <f t="shared" si="11"/>
        <v>0</v>
      </c>
      <c r="AN59" s="33">
        <f t="shared" si="12"/>
        <v>0</v>
      </c>
      <c r="AO59" s="33">
        <f t="shared" si="13"/>
        <v>0</v>
      </c>
      <c r="AP59" s="33">
        <f t="shared" si="14"/>
        <v>0</v>
      </c>
      <c r="AQ59" s="197">
        <f t="shared" si="40"/>
        <v>0</v>
      </c>
      <c r="AR59" s="197">
        <f t="shared" si="40"/>
        <v>0</v>
      </c>
      <c r="AS59" s="197">
        <f t="shared" si="40"/>
        <v>0</v>
      </c>
      <c r="AT59" s="197">
        <f t="shared" si="40"/>
        <v>0</v>
      </c>
      <c r="AU59" s="33"/>
      <c r="AV59" s="33"/>
      <c r="AW59" s="33"/>
      <c r="AX59" s="33"/>
      <c r="AY59" s="76"/>
    </row>
    <row r="60" spans="2:51">
      <c r="B60" s="40">
        <f t="shared" si="31"/>
        <v>105</v>
      </c>
      <c r="C60" s="155">
        <f t="shared" si="38"/>
        <v>106</v>
      </c>
      <c r="D60" s="140">
        <v>386</v>
      </c>
      <c r="E60" s="144">
        <f t="shared" si="29"/>
        <v>1.56</v>
      </c>
      <c r="F60" s="42">
        <f t="shared" si="41"/>
        <v>602.16</v>
      </c>
      <c r="G60" s="51">
        <f t="shared" si="42"/>
        <v>-35.880000000000109</v>
      </c>
      <c r="I60" s="55">
        <v>55</v>
      </c>
      <c r="J60" s="33">
        <f t="shared" si="18"/>
        <v>0</v>
      </c>
      <c r="K60" s="33">
        <f t="shared" si="19"/>
        <v>0</v>
      </c>
      <c r="L60" s="33">
        <f t="shared" si="20"/>
        <v>70</v>
      </c>
      <c r="M60" s="33">
        <f t="shared" si="21"/>
        <v>0</v>
      </c>
      <c r="N60" s="33">
        <f t="shared" si="0"/>
        <v>0</v>
      </c>
      <c r="O60" s="34">
        <f t="shared" si="1"/>
        <v>256.66666666666669</v>
      </c>
      <c r="P60" s="55">
        <v>55</v>
      </c>
      <c r="Q60" s="33">
        <f t="shared" si="15"/>
        <v>21.449999999999989</v>
      </c>
      <c r="R60" s="33">
        <f t="shared" si="22"/>
        <v>380.63999999999987</v>
      </c>
      <c r="S60" s="33">
        <f t="shared" si="23"/>
        <v>232.19039999999993</v>
      </c>
      <c r="T60" s="33">
        <f t="shared" si="2"/>
        <v>56.756035639094556</v>
      </c>
      <c r="U60" s="33">
        <f t="shared" si="16"/>
        <v>70</v>
      </c>
      <c r="V60" s="33">
        <f t="shared" si="3"/>
        <v>10</v>
      </c>
      <c r="W60" s="33">
        <v>0</v>
      </c>
      <c r="X60" s="33">
        <f t="shared" si="4"/>
        <v>796.58170873808956</v>
      </c>
      <c r="Y60" s="38">
        <f t="shared" si="5"/>
        <v>539.91504207142293</v>
      </c>
      <c r="AA60" s="71">
        <v>55</v>
      </c>
      <c r="AB60" s="33">
        <f t="shared" si="6"/>
        <v>0</v>
      </c>
      <c r="AC60" s="308">
        <f t="shared" si="39"/>
        <v>0</v>
      </c>
      <c r="AD60" s="101">
        <f t="shared" si="8"/>
        <v>0</v>
      </c>
      <c r="AE60" s="101">
        <f t="shared" si="9"/>
        <v>0</v>
      </c>
      <c r="AF60" s="197">
        <f t="shared" si="34"/>
        <v>17.102429221166254</v>
      </c>
      <c r="AG60" s="197">
        <f t="shared" si="35"/>
        <v>0</v>
      </c>
      <c r="AH60" s="197">
        <f t="shared" si="36"/>
        <v>0</v>
      </c>
      <c r="AI60" s="202">
        <f t="shared" si="37"/>
        <v>17.102429221166254</v>
      </c>
      <c r="AK60" s="71">
        <v>55</v>
      </c>
      <c r="AL60" s="33">
        <f t="shared" si="10"/>
        <v>0</v>
      </c>
      <c r="AM60" s="33">
        <f t="shared" si="11"/>
        <v>0</v>
      </c>
      <c r="AN60" s="33">
        <f t="shared" si="12"/>
        <v>0</v>
      </c>
      <c r="AO60" s="33">
        <f t="shared" si="13"/>
        <v>0</v>
      </c>
      <c r="AP60" s="33">
        <f t="shared" si="14"/>
        <v>0</v>
      </c>
      <c r="AQ60" s="197">
        <f t="shared" si="40"/>
        <v>0</v>
      </c>
      <c r="AR60" s="197">
        <f t="shared" si="40"/>
        <v>0</v>
      </c>
      <c r="AS60" s="197">
        <f t="shared" si="40"/>
        <v>0</v>
      </c>
      <c r="AT60" s="197">
        <f t="shared" si="40"/>
        <v>0</v>
      </c>
      <c r="AU60" s="33"/>
      <c r="AV60" s="33"/>
      <c r="AW60" s="33"/>
      <c r="AX60" s="33"/>
      <c r="AY60" s="76"/>
    </row>
    <row r="61" spans="2:51">
      <c r="B61" s="40">
        <f t="shared" si="31"/>
        <v>106</v>
      </c>
      <c r="C61" s="155">
        <f t="shared" si="38"/>
        <v>110</v>
      </c>
      <c r="D61" s="140">
        <f>D62+22</f>
        <v>418</v>
      </c>
      <c r="E61" s="144">
        <f t="shared" si="29"/>
        <v>1.56</v>
      </c>
      <c r="F61" s="42">
        <f t="shared" si="41"/>
        <v>652.08000000000004</v>
      </c>
      <c r="G61" s="51">
        <f t="shared" si="42"/>
        <v>12.480000000000018</v>
      </c>
      <c r="I61" s="55">
        <v>56</v>
      </c>
      <c r="J61" s="33">
        <f t="shared" si="18"/>
        <v>0</v>
      </c>
      <c r="K61" s="33">
        <f t="shared" si="19"/>
        <v>0</v>
      </c>
      <c r="L61" s="33">
        <f t="shared" si="20"/>
        <v>70</v>
      </c>
      <c r="M61" s="33">
        <f t="shared" si="21"/>
        <v>0</v>
      </c>
      <c r="N61" s="33">
        <f t="shared" si="0"/>
        <v>0</v>
      </c>
      <c r="O61" s="34">
        <f t="shared" si="1"/>
        <v>256.66666666666669</v>
      </c>
      <c r="P61" s="55">
        <v>56</v>
      </c>
      <c r="Q61" s="33">
        <f t="shared" si="15"/>
        <v>-43.67999999999995</v>
      </c>
      <c r="R61" s="33">
        <f t="shared" si="22"/>
        <v>336.95999999999992</v>
      </c>
      <c r="S61" s="33">
        <f t="shared" si="23"/>
        <v>205.54559999999995</v>
      </c>
      <c r="T61" s="33">
        <f t="shared" si="2"/>
        <v>50.960975968608096</v>
      </c>
      <c r="U61" s="33">
        <f t="shared" si="16"/>
        <v>70</v>
      </c>
      <c r="V61" s="33">
        <f t="shared" si="3"/>
        <v>10</v>
      </c>
      <c r="W61" s="33">
        <v>0</v>
      </c>
      <c r="X61" s="33">
        <f t="shared" si="4"/>
        <v>740.08228647865906</v>
      </c>
      <c r="Y61" s="38">
        <f t="shared" si="5"/>
        <v>483.41561981199237</v>
      </c>
      <c r="AA61" s="71">
        <v>56</v>
      </c>
      <c r="AB61" s="33">
        <f t="shared" si="6"/>
        <v>28</v>
      </c>
      <c r="AC61" s="308">
        <f t="shared" si="39"/>
        <v>0.3</v>
      </c>
      <c r="AD61" s="101">
        <f t="shared" si="8"/>
        <v>0</v>
      </c>
      <c r="AE61" s="101">
        <f t="shared" si="9"/>
        <v>0</v>
      </c>
      <c r="AF61" s="197">
        <f t="shared" si="34"/>
        <v>25.603572166164852</v>
      </c>
      <c r="AG61" s="197">
        <f t="shared" si="35"/>
        <v>0</v>
      </c>
      <c r="AH61" s="197">
        <f t="shared" si="36"/>
        <v>0</v>
      </c>
      <c r="AI61" s="202">
        <f t="shared" si="37"/>
        <v>25.603572166164852</v>
      </c>
      <c r="AK61" s="71">
        <v>56</v>
      </c>
      <c r="AL61" s="33">
        <f t="shared" si="10"/>
        <v>28</v>
      </c>
      <c r="AM61" s="33">
        <f t="shared" si="11"/>
        <v>0.6</v>
      </c>
      <c r="AN61" s="33">
        <f t="shared" si="12"/>
        <v>0</v>
      </c>
      <c r="AO61" s="33">
        <f t="shared" si="13"/>
        <v>0</v>
      </c>
      <c r="AP61" s="33">
        <f t="shared" si="14"/>
        <v>0.4</v>
      </c>
      <c r="AQ61" s="197">
        <f t="shared" si="40"/>
        <v>16.8</v>
      </c>
      <c r="AR61" s="197">
        <f t="shared" si="40"/>
        <v>0</v>
      </c>
      <c r="AS61" s="197">
        <f t="shared" si="40"/>
        <v>0</v>
      </c>
      <c r="AT61" s="197">
        <f t="shared" si="40"/>
        <v>11.200000000000001</v>
      </c>
      <c r="AU61" s="33"/>
      <c r="AV61" s="33"/>
      <c r="AW61" s="33"/>
      <c r="AX61" s="33"/>
      <c r="AY61" s="76"/>
    </row>
    <row r="62" spans="2:51">
      <c r="B62" s="40">
        <f t="shared" si="31"/>
        <v>110</v>
      </c>
      <c r="C62" s="155">
        <f t="shared" si="38"/>
        <v>111</v>
      </c>
      <c r="D62" s="140">
        <v>396</v>
      </c>
      <c r="E62" s="144">
        <f t="shared" si="29"/>
        <v>1.56</v>
      </c>
      <c r="F62" s="42">
        <f t="shared" si="41"/>
        <v>617.76</v>
      </c>
      <c r="G62" s="51">
        <f t="shared" si="42"/>
        <v>-34.32000000000005</v>
      </c>
      <c r="I62" s="55">
        <v>57</v>
      </c>
      <c r="J62" s="33">
        <f t="shared" si="18"/>
        <v>0</v>
      </c>
      <c r="K62" s="33">
        <f t="shared" si="19"/>
        <v>0</v>
      </c>
      <c r="L62" s="33">
        <f t="shared" si="20"/>
        <v>70</v>
      </c>
      <c r="M62" s="33">
        <f t="shared" si="21"/>
        <v>0</v>
      </c>
      <c r="N62" s="33">
        <f t="shared" si="0"/>
        <v>0</v>
      </c>
      <c r="O62" s="34">
        <f t="shared" si="1"/>
        <v>256.66666666666669</v>
      </c>
      <c r="P62" s="55">
        <v>57</v>
      </c>
      <c r="Q62" s="33">
        <f t="shared" si="15"/>
        <v>21.059999999999988</v>
      </c>
      <c r="R62" s="33">
        <f t="shared" si="22"/>
        <v>358.01999999999992</v>
      </c>
      <c r="S62" s="33">
        <f t="shared" si="23"/>
        <v>218.39219999999995</v>
      </c>
      <c r="T62" s="33">
        <f t="shared" si="2"/>
        <v>53.765289296012469</v>
      </c>
      <c r="U62" s="33">
        <f t="shared" si="16"/>
        <v>70</v>
      </c>
      <c r="V62" s="33">
        <f t="shared" si="3"/>
        <v>10</v>
      </c>
      <c r="W62" s="33">
        <v>0</v>
      </c>
      <c r="X62" s="33">
        <f t="shared" si="4"/>
        <v>767.34096052388816</v>
      </c>
      <c r="Y62" s="38">
        <f t="shared" si="5"/>
        <v>510.67429385722147</v>
      </c>
      <c r="AA62" s="71">
        <v>57</v>
      </c>
      <c r="AB62" s="33">
        <f t="shared" si="6"/>
        <v>0</v>
      </c>
      <c r="AC62" s="308">
        <f t="shared" si="39"/>
        <v>0</v>
      </c>
      <c r="AD62" s="101">
        <f t="shared" si="8"/>
        <v>0</v>
      </c>
      <c r="AE62" s="101">
        <f t="shared" si="9"/>
        <v>0</v>
      </c>
      <c r="AF62" s="197">
        <f t="shared" si="34"/>
        <v>25.101501732623365</v>
      </c>
      <c r="AG62" s="197">
        <f t="shared" si="35"/>
        <v>0</v>
      </c>
      <c r="AH62" s="197">
        <f t="shared" si="36"/>
        <v>0</v>
      </c>
      <c r="AI62" s="202">
        <f t="shared" si="37"/>
        <v>25.101501732623365</v>
      </c>
      <c r="AK62" s="71">
        <v>57</v>
      </c>
      <c r="AL62" s="33">
        <f t="shared" si="10"/>
        <v>0</v>
      </c>
      <c r="AM62" s="33">
        <f t="shared" si="11"/>
        <v>0</v>
      </c>
      <c r="AN62" s="33">
        <f t="shared" si="12"/>
        <v>0</v>
      </c>
      <c r="AO62" s="33">
        <f t="shared" si="13"/>
        <v>0</v>
      </c>
      <c r="AP62" s="33">
        <f t="shared" si="14"/>
        <v>0</v>
      </c>
      <c r="AQ62" s="197">
        <f t="shared" si="40"/>
        <v>0</v>
      </c>
      <c r="AR62" s="197">
        <f t="shared" si="40"/>
        <v>0</v>
      </c>
      <c r="AS62" s="197">
        <f t="shared" si="40"/>
        <v>0</v>
      </c>
      <c r="AT62" s="197">
        <f t="shared" si="40"/>
        <v>0</v>
      </c>
      <c r="AU62" s="33"/>
      <c r="AV62" s="33"/>
      <c r="AW62" s="33"/>
      <c r="AX62" s="33"/>
      <c r="AY62" s="76"/>
    </row>
    <row r="63" spans="2:51">
      <c r="B63" s="40">
        <f t="shared" si="31"/>
        <v>111</v>
      </c>
      <c r="C63" s="155">
        <f t="shared" si="38"/>
        <v>115</v>
      </c>
      <c r="D63" s="140">
        <f>D64+22</f>
        <v>426</v>
      </c>
      <c r="E63" s="144">
        <f t="shared" si="29"/>
        <v>1.56</v>
      </c>
      <c r="F63" s="42">
        <f t="shared" si="41"/>
        <v>664.56000000000006</v>
      </c>
      <c r="G63" s="51">
        <f t="shared" si="42"/>
        <v>11.700000000000017</v>
      </c>
      <c r="I63" s="55">
        <v>58</v>
      </c>
      <c r="J63" s="33">
        <f t="shared" si="18"/>
        <v>0</v>
      </c>
      <c r="K63" s="33">
        <f t="shared" si="19"/>
        <v>0</v>
      </c>
      <c r="L63" s="33">
        <f t="shared" si="20"/>
        <v>70</v>
      </c>
      <c r="M63" s="33">
        <f t="shared" si="21"/>
        <v>0</v>
      </c>
      <c r="N63" s="33">
        <f t="shared" si="0"/>
        <v>0</v>
      </c>
      <c r="O63" s="34">
        <f t="shared" si="1"/>
        <v>256.66666666666669</v>
      </c>
      <c r="P63" s="55">
        <v>58</v>
      </c>
      <c r="Q63" s="33">
        <f t="shared" si="15"/>
        <v>21.059999999999988</v>
      </c>
      <c r="R63" s="33">
        <f t="shared" si="22"/>
        <v>379.07999999999993</v>
      </c>
      <c r="S63" s="33">
        <f t="shared" si="23"/>
        <v>231.23879999999994</v>
      </c>
      <c r="T63" s="33">
        <f t="shared" si="2"/>
        <v>56.55045525673966</v>
      </c>
      <c r="U63" s="33">
        <f t="shared" si="16"/>
        <v>70</v>
      </c>
      <c r="V63" s="33">
        <f t="shared" si="3"/>
        <v>10</v>
      </c>
      <c r="W63" s="33">
        <v>0</v>
      </c>
      <c r="X63" s="33">
        <f t="shared" si="4"/>
        <v>794.56628623882136</v>
      </c>
      <c r="Y63" s="38">
        <f t="shared" si="5"/>
        <v>537.89961957215473</v>
      </c>
      <c r="AA63" s="71">
        <v>58</v>
      </c>
      <c r="AB63" s="33">
        <f t="shared" si="6"/>
        <v>0</v>
      </c>
      <c r="AC63" s="308">
        <f t="shared" si="39"/>
        <v>0</v>
      </c>
      <c r="AD63" s="101">
        <f t="shared" si="8"/>
        <v>0</v>
      </c>
      <c r="AE63" s="101">
        <f t="shared" si="9"/>
        <v>0</v>
      </c>
      <c r="AF63" s="197">
        <f t="shared" si="34"/>
        <v>24.6092765940509</v>
      </c>
      <c r="AG63" s="197">
        <f t="shared" si="35"/>
        <v>0</v>
      </c>
      <c r="AH63" s="197">
        <f t="shared" si="36"/>
        <v>0</v>
      </c>
      <c r="AI63" s="202">
        <f t="shared" si="37"/>
        <v>24.6092765940509</v>
      </c>
      <c r="AK63" s="71">
        <v>58</v>
      </c>
      <c r="AL63" s="33">
        <f t="shared" si="10"/>
        <v>0</v>
      </c>
      <c r="AM63" s="33">
        <f t="shared" si="11"/>
        <v>0</v>
      </c>
      <c r="AN63" s="33">
        <f t="shared" si="12"/>
        <v>0</v>
      </c>
      <c r="AO63" s="33">
        <f t="shared" si="13"/>
        <v>0</v>
      </c>
      <c r="AP63" s="33">
        <f t="shared" si="14"/>
        <v>0</v>
      </c>
      <c r="AQ63" s="197">
        <f t="shared" si="40"/>
        <v>0</v>
      </c>
      <c r="AR63" s="197">
        <f t="shared" si="40"/>
        <v>0</v>
      </c>
      <c r="AS63" s="197">
        <f t="shared" si="40"/>
        <v>0</v>
      </c>
      <c r="AT63" s="197">
        <f t="shared" si="40"/>
        <v>0</v>
      </c>
      <c r="AU63" s="33"/>
      <c r="AV63" s="33"/>
      <c r="AW63" s="33"/>
      <c r="AX63" s="33"/>
      <c r="AY63" s="76"/>
    </row>
    <row r="64" spans="2:51">
      <c r="B64" s="40">
        <f t="shared" si="31"/>
        <v>115</v>
      </c>
      <c r="C64" s="155">
        <f t="shared" si="38"/>
        <v>116</v>
      </c>
      <c r="D64" s="140">
        <v>404</v>
      </c>
      <c r="E64" s="144">
        <f t="shared" si="29"/>
        <v>1.56</v>
      </c>
      <c r="F64" s="42">
        <f t="shared" si="41"/>
        <v>630.24</v>
      </c>
      <c r="G64" s="51">
        <f t="shared" si="42"/>
        <v>-34.32000000000005</v>
      </c>
      <c r="I64" s="55">
        <v>59</v>
      </c>
      <c r="J64" s="33">
        <f t="shared" si="18"/>
        <v>0</v>
      </c>
      <c r="K64" s="33">
        <f t="shared" si="19"/>
        <v>0</v>
      </c>
      <c r="L64" s="33">
        <f t="shared" si="20"/>
        <v>70</v>
      </c>
      <c r="M64" s="33">
        <f t="shared" si="21"/>
        <v>0</v>
      </c>
      <c r="N64" s="33">
        <f t="shared" si="0"/>
        <v>0</v>
      </c>
      <c r="O64" s="34">
        <f t="shared" si="1"/>
        <v>256.66666666666669</v>
      </c>
      <c r="P64" s="55">
        <v>59</v>
      </c>
      <c r="Q64" s="33">
        <f t="shared" si="15"/>
        <v>21.059999999999988</v>
      </c>
      <c r="R64" s="33">
        <f t="shared" si="22"/>
        <v>400.13999999999993</v>
      </c>
      <c r="S64" s="33">
        <f t="shared" si="23"/>
        <v>244.08539999999996</v>
      </c>
      <c r="T64" s="33">
        <f t="shared" si="2"/>
        <v>59.31765883359413</v>
      </c>
      <c r="U64" s="33">
        <f t="shared" si="16"/>
        <v>70</v>
      </c>
      <c r="V64" s="33">
        <f t="shared" si="3"/>
        <v>10</v>
      </c>
      <c r="W64" s="33">
        <v>0</v>
      </c>
      <c r="X64" s="33">
        <f t="shared" si="4"/>
        <v>821.76032746850979</v>
      </c>
      <c r="Y64" s="38">
        <f t="shared" si="5"/>
        <v>565.09366080184304</v>
      </c>
      <c r="AA64" s="71">
        <v>59</v>
      </c>
      <c r="AB64" s="33">
        <f t="shared" si="6"/>
        <v>0</v>
      </c>
      <c r="AC64" s="308">
        <f t="shared" si="39"/>
        <v>0</v>
      </c>
      <c r="AD64" s="101">
        <f t="shared" si="8"/>
        <v>0</v>
      </c>
      <c r="AE64" s="101">
        <f t="shared" si="9"/>
        <v>0</v>
      </c>
      <c r="AF64" s="197">
        <f t="shared" si="34"/>
        <v>24.126703690218154</v>
      </c>
      <c r="AG64" s="197">
        <f t="shared" si="35"/>
        <v>0</v>
      </c>
      <c r="AH64" s="197">
        <f t="shared" si="36"/>
        <v>0</v>
      </c>
      <c r="AI64" s="202">
        <f t="shared" si="37"/>
        <v>24.126703690218154</v>
      </c>
      <c r="AK64" s="71">
        <v>59</v>
      </c>
      <c r="AL64" s="33">
        <f t="shared" si="10"/>
        <v>0</v>
      </c>
      <c r="AM64" s="33">
        <f t="shared" si="11"/>
        <v>0</v>
      </c>
      <c r="AN64" s="33">
        <f t="shared" si="12"/>
        <v>0</v>
      </c>
      <c r="AO64" s="33">
        <f t="shared" si="13"/>
        <v>0</v>
      </c>
      <c r="AP64" s="33">
        <f t="shared" si="14"/>
        <v>0</v>
      </c>
      <c r="AQ64" s="197">
        <f t="shared" si="40"/>
        <v>0</v>
      </c>
      <c r="AR64" s="197">
        <f t="shared" si="40"/>
        <v>0</v>
      </c>
      <c r="AS64" s="197">
        <f t="shared" si="40"/>
        <v>0</v>
      </c>
      <c r="AT64" s="197">
        <f t="shared" si="40"/>
        <v>0</v>
      </c>
      <c r="AU64" s="33"/>
      <c r="AV64" s="33"/>
      <c r="AW64" s="33"/>
      <c r="AX64" s="33"/>
      <c r="AY64" s="76"/>
    </row>
    <row r="65" spans="2:51">
      <c r="B65" s="40">
        <f t="shared" si="31"/>
        <v>116</v>
      </c>
      <c r="C65" s="155">
        <f t="shared" si="38"/>
        <v>120</v>
      </c>
      <c r="D65" s="140">
        <f>D66+21</f>
        <v>432</v>
      </c>
      <c r="E65" s="144">
        <f t="shared" si="29"/>
        <v>1.56</v>
      </c>
      <c r="F65" s="42">
        <f t="shared" si="41"/>
        <v>673.92000000000007</v>
      </c>
      <c r="G65" s="51">
        <f t="shared" si="42"/>
        <v>10.920000000000016</v>
      </c>
      <c r="I65" s="55">
        <v>60</v>
      </c>
      <c r="J65" s="33">
        <f t="shared" si="18"/>
        <v>0</v>
      </c>
      <c r="K65" s="33">
        <f t="shared" si="19"/>
        <v>0</v>
      </c>
      <c r="L65" s="33">
        <f t="shared" si="20"/>
        <v>70</v>
      </c>
      <c r="M65" s="33">
        <f t="shared" si="21"/>
        <v>0</v>
      </c>
      <c r="N65" s="33">
        <f t="shared" si="0"/>
        <v>0</v>
      </c>
      <c r="O65" s="34">
        <f t="shared" si="1"/>
        <v>256.66666666666669</v>
      </c>
      <c r="P65" s="55">
        <v>60</v>
      </c>
      <c r="Q65" s="33">
        <f t="shared" si="15"/>
        <v>21.059999999999988</v>
      </c>
      <c r="R65" s="33">
        <f t="shared" si="22"/>
        <v>421.19999999999993</v>
      </c>
      <c r="S65" s="33">
        <f t="shared" si="23"/>
        <v>256.93199999999996</v>
      </c>
      <c r="T65" s="33">
        <f t="shared" si="2"/>
        <v>62.067953229346557</v>
      </c>
      <c r="U65" s="33">
        <f t="shared" si="16"/>
        <v>70</v>
      </c>
      <c r="V65" s="33">
        <f t="shared" si="3"/>
        <v>10</v>
      </c>
      <c r="W65" s="33">
        <v>0</v>
      </c>
      <c r="X65" s="33">
        <f t="shared" si="4"/>
        <v>848.92491854111177</v>
      </c>
      <c r="Y65" s="38">
        <f t="shared" si="5"/>
        <v>592.25825187444502</v>
      </c>
      <c r="AA65" s="71">
        <v>60</v>
      </c>
      <c r="AB65" s="33">
        <f t="shared" si="6"/>
        <v>0</v>
      </c>
      <c r="AC65" s="308">
        <f t="shared" si="39"/>
        <v>0</v>
      </c>
      <c r="AD65" s="101">
        <f t="shared" si="8"/>
        <v>0</v>
      </c>
      <c r="AE65" s="101">
        <f t="shared" si="9"/>
        <v>0</v>
      </c>
      <c r="AF65" s="197">
        <f t="shared" si="34"/>
        <v>23.653593746689157</v>
      </c>
      <c r="AG65" s="197">
        <f t="shared" si="35"/>
        <v>0</v>
      </c>
      <c r="AH65" s="197">
        <f t="shared" si="36"/>
        <v>0</v>
      </c>
      <c r="AI65" s="202">
        <f t="shared" si="37"/>
        <v>23.653593746689157</v>
      </c>
      <c r="AK65" s="71">
        <v>60</v>
      </c>
      <c r="AL65" s="33">
        <f t="shared" si="10"/>
        <v>0</v>
      </c>
      <c r="AM65" s="33">
        <f t="shared" si="11"/>
        <v>0</v>
      </c>
      <c r="AN65" s="33">
        <f t="shared" si="12"/>
        <v>0</v>
      </c>
      <c r="AO65" s="33">
        <f t="shared" si="13"/>
        <v>0</v>
      </c>
      <c r="AP65" s="33">
        <f t="shared" si="14"/>
        <v>0</v>
      </c>
      <c r="AQ65" s="197">
        <f t="shared" si="40"/>
        <v>0</v>
      </c>
      <c r="AR65" s="197">
        <f t="shared" si="40"/>
        <v>0</v>
      </c>
      <c r="AS65" s="197">
        <f t="shared" si="40"/>
        <v>0</v>
      </c>
      <c r="AT65" s="197">
        <f t="shared" si="40"/>
        <v>0</v>
      </c>
      <c r="AU65" s="33"/>
      <c r="AV65" s="33"/>
      <c r="AW65" s="33"/>
      <c r="AX65" s="33"/>
      <c r="AY65" s="76"/>
    </row>
    <row r="66" spans="2:51">
      <c r="B66" s="40">
        <f t="shared" si="31"/>
        <v>120</v>
      </c>
      <c r="C66" s="155">
        <f t="shared" si="38"/>
        <v>121</v>
      </c>
      <c r="D66" s="140">
        <v>411</v>
      </c>
      <c r="E66" s="144">
        <f t="shared" si="29"/>
        <v>1.56</v>
      </c>
      <c r="F66" s="42">
        <f t="shared" si="41"/>
        <v>641.16</v>
      </c>
      <c r="G66" s="51">
        <f t="shared" si="42"/>
        <v>-32.760000000000105</v>
      </c>
      <c r="I66" s="55">
        <v>61</v>
      </c>
      <c r="J66" s="33">
        <f t="shared" si="18"/>
        <v>0</v>
      </c>
      <c r="K66" s="33">
        <f t="shared" si="19"/>
        <v>0</v>
      </c>
      <c r="L66" s="33">
        <f t="shared" si="20"/>
        <v>70</v>
      </c>
      <c r="M66" s="33">
        <f t="shared" si="21"/>
        <v>0</v>
      </c>
      <c r="N66" s="33">
        <f t="shared" si="0"/>
        <v>0</v>
      </c>
      <c r="O66" s="34">
        <f t="shared" si="1"/>
        <v>256.66666666666669</v>
      </c>
      <c r="P66" s="55">
        <v>61</v>
      </c>
      <c r="Q66" s="33">
        <f t="shared" si="15"/>
        <v>-43.67999999999995</v>
      </c>
      <c r="R66" s="33">
        <f t="shared" si="22"/>
        <v>377.52</v>
      </c>
      <c r="S66" s="33">
        <f t="shared" si="23"/>
        <v>230.28719999999998</v>
      </c>
      <c r="T66" s="33">
        <f t="shared" si="2"/>
        <v>56.344776374959956</v>
      </c>
      <c r="U66" s="33">
        <f t="shared" si="16"/>
        <v>70</v>
      </c>
      <c r="V66" s="33">
        <f t="shared" si="3"/>
        <v>10</v>
      </c>
      <c r="W66" s="33">
        <v>0</v>
      </c>
      <c r="X66" s="33">
        <f t="shared" si="4"/>
        <v>792.55069218638846</v>
      </c>
      <c r="Y66" s="38">
        <f t="shared" si="5"/>
        <v>535.88402551972172</v>
      </c>
      <c r="AA66" s="71">
        <v>61</v>
      </c>
      <c r="AB66" s="33">
        <f t="shared" si="6"/>
        <v>28</v>
      </c>
      <c r="AC66" s="308">
        <f t="shared" si="39"/>
        <v>0.35</v>
      </c>
      <c r="AD66" s="101">
        <f t="shared" si="8"/>
        <v>0</v>
      </c>
      <c r="AE66" s="101">
        <f t="shared" si="9"/>
        <v>0</v>
      </c>
      <c r="AF66" s="197">
        <f t="shared" si="34"/>
        <v>33.499024209587034</v>
      </c>
      <c r="AG66" s="197">
        <f t="shared" si="35"/>
        <v>0</v>
      </c>
      <c r="AH66" s="197">
        <f t="shared" si="36"/>
        <v>0</v>
      </c>
      <c r="AI66" s="202">
        <f t="shared" si="37"/>
        <v>33.499024209587034</v>
      </c>
      <c r="AK66" s="71">
        <v>61</v>
      </c>
      <c r="AL66" s="33">
        <f t="shared" si="10"/>
        <v>28</v>
      </c>
      <c r="AM66" s="33">
        <f t="shared" si="11"/>
        <v>0.7</v>
      </c>
      <c r="AN66" s="33">
        <f t="shared" si="12"/>
        <v>0</v>
      </c>
      <c r="AO66" s="33">
        <f t="shared" si="13"/>
        <v>0</v>
      </c>
      <c r="AP66" s="33">
        <f t="shared" si="14"/>
        <v>0.30000000000000004</v>
      </c>
      <c r="AQ66" s="197">
        <f t="shared" si="40"/>
        <v>19.599999999999998</v>
      </c>
      <c r="AR66" s="197">
        <f t="shared" si="40"/>
        <v>0</v>
      </c>
      <c r="AS66" s="197">
        <f t="shared" si="40"/>
        <v>0</v>
      </c>
      <c r="AT66" s="197">
        <f t="shared" si="40"/>
        <v>8.4000000000000021</v>
      </c>
      <c r="AU66" s="33"/>
      <c r="AV66" s="33"/>
      <c r="AW66" s="33"/>
      <c r="AX66" s="33"/>
      <c r="AY66" s="76"/>
    </row>
    <row r="67" spans="2:51">
      <c r="B67" s="40">
        <f t="shared" si="31"/>
        <v>121</v>
      </c>
      <c r="C67" s="155">
        <f t="shared" si="38"/>
        <v>125</v>
      </c>
      <c r="D67" s="140">
        <f>D68+21</f>
        <v>437</v>
      </c>
      <c r="E67" s="144">
        <f t="shared" si="29"/>
        <v>1.56</v>
      </c>
      <c r="F67" s="42">
        <f t="shared" si="41"/>
        <v>681.72</v>
      </c>
      <c r="G67" s="51">
        <f t="shared" si="42"/>
        <v>10.140000000000015</v>
      </c>
      <c r="I67" s="55">
        <v>62</v>
      </c>
      <c r="J67" s="33">
        <f t="shared" si="18"/>
        <v>0</v>
      </c>
      <c r="K67" s="33">
        <f t="shared" si="19"/>
        <v>0</v>
      </c>
      <c r="L67" s="33">
        <f t="shared" si="20"/>
        <v>70</v>
      </c>
      <c r="M67" s="33">
        <f t="shared" si="21"/>
        <v>0</v>
      </c>
      <c r="N67" s="33">
        <f t="shared" si="0"/>
        <v>0</v>
      </c>
      <c r="O67" s="34">
        <f t="shared" si="1"/>
        <v>256.66666666666669</v>
      </c>
      <c r="P67" s="55">
        <v>62</v>
      </c>
      <c r="Q67" s="33">
        <f t="shared" si="15"/>
        <v>20.28</v>
      </c>
      <c r="R67" s="33">
        <f t="shared" si="22"/>
        <v>397.79999999999995</v>
      </c>
      <c r="S67" s="33">
        <f t="shared" si="23"/>
        <v>242.65799999999996</v>
      </c>
      <c r="T67" s="33">
        <f t="shared" si="2"/>
        <v>59.011045025839607</v>
      </c>
      <c r="U67" s="33">
        <f t="shared" si="16"/>
        <v>70</v>
      </c>
      <c r="V67" s="33">
        <f t="shared" si="3"/>
        <v>10</v>
      </c>
      <c r="W67" s="33">
        <v>0</v>
      </c>
      <c r="X67" s="33">
        <f t="shared" si="4"/>
        <v>818.74025342000402</v>
      </c>
      <c r="Y67" s="38">
        <f t="shared" si="5"/>
        <v>562.07358675333739</v>
      </c>
      <c r="AA67" s="71">
        <v>62</v>
      </c>
      <c r="AB67" s="33">
        <f t="shared" si="6"/>
        <v>0</v>
      </c>
      <c r="AC67" s="308">
        <f t="shared" si="39"/>
        <v>0</v>
      </c>
      <c r="AD67" s="101">
        <f t="shared" si="8"/>
        <v>0</v>
      </c>
      <c r="AE67" s="101">
        <f t="shared" si="9"/>
        <v>0</v>
      </c>
      <c r="AF67" s="197">
        <f t="shared" si="34"/>
        <v>32.842128777224268</v>
      </c>
      <c r="AG67" s="197">
        <f t="shared" si="35"/>
        <v>0</v>
      </c>
      <c r="AH67" s="197">
        <f t="shared" si="36"/>
        <v>0</v>
      </c>
      <c r="AI67" s="202">
        <f t="shared" si="37"/>
        <v>32.842128777224268</v>
      </c>
      <c r="AK67" s="71">
        <v>62</v>
      </c>
      <c r="AL67" s="33">
        <f t="shared" si="10"/>
        <v>0</v>
      </c>
      <c r="AM67" s="33">
        <f t="shared" si="11"/>
        <v>0</v>
      </c>
      <c r="AN67" s="33">
        <f t="shared" si="12"/>
        <v>0</v>
      </c>
      <c r="AO67" s="33">
        <f t="shared" si="13"/>
        <v>0</v>
      </c>
      <c r="AP67" s="33">
        <f t="shared" si="14"/>
        <v>0</v>
      </c>
      <c r="AQ67" s="197">
        <f t="shared" si="40"/>
        <v>0</v>
      </c>
      <c r="AR67" s="197">
        <f t="shared" si="40"/>
        <v>0</v>
      </c>
      <c r="AS67" s="197">
        <f t="shared" si="40"/>
        <v>0</v>
      </c>
      <c r="AT67" s="197">
        <f t="shared" si="40"/>
        <v>0</v>
      </c>
      <c r="AU67" s="33"/>
      <c r="AV67" s="33"/>
      <c r="AW67" s="33"/>
      <c r="AX67" s="33"/>
      <c r="AY67" s="76"/>
    </row>
    <row r="68" spans="2:51">
      <c r="B68" s="40">
        <f t="shared" si="31"/>
        <v>125</v>
      </c>
      <c r="C68" s="155">
        <f t="shared" si="38"/>
        <v>126</v>
      </c>
      <c r="D68" s="140">
        <v>416</v>
      </c>
      <c r="E68" s="144">
        <f t="shared" si="29"/>
        <v>1.56</v>
      </c>
      <c r="F68" s="42">
        <f t="shared" si="41"/>
        <v>648.96</v>
      </c>
      <c r="G68" s="51">
        <f t="shared" si="42"/>
        <v>-32.759999999999991</v>
      </c>
      <c r="I68" s="55">
        <v>63</v>
      </c>
      <c r="J68" s="33">
        <f t="shared" si="18"/>
        <v>0</v>
      </c>
      <c r="K68" s="33">
        <f t="shared" si="19"/>
        <v>0</v>
      </c>
      <c r="L68" s="33">
        <f t="shared" si="20"/>
        <v>70</v>
      </c>
      <c r="M68" s="33">
        <f t="shared" si="21"/>
        <v>0</v>
      </c>
      <c r="N68" s="33">
        <f t="shared" si="0"/>
        <v>0</v>
      </c>
      <c r="O68" s="34">
        <f t="shared" si="1"/>
        <v>256.66666666666669</v>
      </c>
      <c r="P68" s="55">
        <v>63</v>
      </c>
      <c r="Q68" s="33">
        <f t="shared" si="15"/>
        <v>20.28</v>
      </c>
      <c r="R68" s="33">
        <f t="shared" si="22"/>
        <v>418.07999999999993</v>
      </c>
      <c r="S68" s="33">
        <f t="shared" si="23"/>
        <v>255.02879999999996</v>
      </c>
      <c r="T68" s="33">
        <f t="shared" si="2"/>
        <v>61.661531359449384</v>
      </c>
      <c r="U68" s="33">
        <f t="shared" si="16"/>
        <v>70</v>
      </c>
      <c r="V68" s="33">
        <f t="shared" si="3"/>
        <v>10</v>
      </c>
      <c r="W68" s="33">
        <v>0</v>
      </c>
      <c r="X68" s="33">
        <f t="shared" si="4"/>
        <v>844.90232711770761</v>
      </c>
      <c r="Y68" s="38">
        <f t="shared" si="5"/>
        <v>588.23566045104099</v>
      </c>
      <c r="AA68" s="71">
        <v>63</v>
      </c>
      <c r="AB68" s="33">
        <f t="shared" si="6"/>
        <v>0</v>
      </c>
      <c r="AC68" s="308">
        <f t="shared" si="39"/>
        <v>0</v>
      </c>
      <c r="AD68" s="101">
        <f t="shared" si="8"/>
        <v>0</v>
      </c>
      <c r="AE68" s="101">
        <f t="shared" si="9"/>
        <v>0</v>
      </c>
      <c r="AF68" s="197">
        <f t="shared" si="34"/>
        <v>32.198114663623485</v>
      </c>
      <c r="AG68" s="197">
        <f t="shared" si="35"/>
        <v>0</v>
      </c>
      <c r="AH68" s="197">
        <f t="shared" si="36"/>
        <v>0</v>
      </c>
      <c r="AI68" s="202">
        <f t="shared" si="37"/>
        <v>32.198114663623485</v>
      </c>
      <c r="AK68" s="71">
        <v>63</v>
      </c>
      <c r="AL68" s="33">
        <f t="shared" si="10"/>
        <v>0</v>
      </c>
      <c r="AM68" s="33">
        <f t="shared" si="11"/>
        <v>0</v>
      </c>
      <c r="AN68" s="33">
        <f t="shared" si="12"/>
        <v>0</v>
      </c>
      <c r="AO68" s="33">
        <f t="shared" si="13"/>
        <v>0</v>
      </c>
      <c r="AP68" s="33">
        <f t="shared" si="14"/>
        <v>0</v>
      </c>
      <c r="AQ68" s="197">
        <f t="shared" si="40"/>
        <v>0</v>
      </c>
      <c r="AR68" s="197">
        <f t="shared" si="40"/>
        <v>0</v>
      </c>
      <c r="AS68" s="197">
        <f t="shared" si="40"/>
        <v>0</v>
      </c>
      <c r="AT68" s="197">
        <f t="shared" si="40"/>
        <v>0</v>
      </c>
      <c r="AU68" s="33"/>
      <c r="AV68" s="33"/>
      <c r="AW68" s="33"/>
      <c r="AX68" s="33"/>
      <c r="AY68" s="76"/>
    </row>
    <row r="69" spans="2:51">
      <c r="B69" s="40">
        <f t="shared" si="31"/>
        <v>126</v>
      </c>
      <c r="C69" s="155">
        <f t="shared" si="38"/>
        <v>130</v>
      </c>
      <c r="D69" s="140">
        <f>D70+20</f>
        <v>440</v>
      </c>
      <c r="E69" s="144">
        <f t="shared" si="29"/>
        <v>1.56</v>
      </c>
      <c r="F69" s="42">
        <f t="shared" si="41"/>
        <v>686.4</v>
      </c>
      <c r="G69" s="51">
        <f t="shared" si="42"/>
        <v>9.3599999999999852</v>
      </c>
      <c r="I69" s="55">
        <v>64</v>
      </c>
      <c r="J69" s="33">
        <f t="shared" si="18"/>
        <v>0</v>
      </c>
      <c r="K69" s="33">
        <f t="shared" si="19"/>
        <v>0</v>
      </c>
      <c r="L69" s="33">
        <f t="shared" si="20"/>
        <v>70</v>
      </c>
      <c r="M69" s="33">
        <f t="shared" si="21"/>
        <v>0</v>
      </c>
      <c r="N69" s="33">
        <f t="shared" ref="N69:N132" si="43">IF(P70&lt;=$F$18,0,)</f>
        <v>0</v>
      </c>
      <c r="O69" s="34">
        <f t="shared" ref="O69:O132" si="44">((J69+K69)*0.475+L69+M69+N69)*44/12</f>
        <v>256.66666666666669</v>
      </c>
      <c r="P69" s="55">
        <v>64</v>
      </c>
      <c r="Q69" s="33">
        <f t="shared" si="15"/>
        <v>20.28</v>
      </c>
      <c r="R69" s="33">
        <f t="shared" si="22"/>
        <v>438.3599999999999</v>
      </c>
      <c r="S69" s="33">
        <f t="shared" si="23"/>
        <v>267.39959999999991</v>
      </c>
      <c r="T69" s="33">
        <f t="shared" ref="T69:T132" si="45">IF(S69=0,0,EXP(-1.0587+0.8836*LN(S69)+0.284))</f>
        <v>64.297088323424532</v>
      </c>
      <c r="U69" s="33">
        <f t="shared" si="16"/>
        <v>70</v>
      </c>
      <c r="V69" s="33">
        <f t="shared" ref="V69:V132" si="46">IF(P69&lt;=$F$18,IF(P69&lt;=30,P69*($F$16-$F$6)/30,$F$16-$F$6),)</f>
        <v>10</v>
      </c>
      <c r="W69" s="33">
        <v>0</v>
      </c>
      <c r="X69" s="33">
        <f t="shared" ref="X69:X132" si="47">((S69+T69)*0.475+U69+V69+W69)*44/12</f>
        <v>871.03839882996419</v>
      </c>
      <c r="Y69" s="38">
        <f t="shared" ref="Y69:Y132" si="48">IF(P69&lt;=$F$18,X69-O69,)</f>
        <v>614.37173216329757</v>
      </c>
      <c r="AA69" s="71">
        <v>64</v>
      </c>
      <c r="AB69" s="33">
        <f t="shared" ref="AB69:AB132" si="49">IF(AA69&lt;=$F$18,IFERROR(VLOOKUP($AA69,$B$82:$G$94,2,FALSE),0),)</f>
        <v>0</v>
      </c>
      <c r="AC69" s="308">
        <f t="shared" si="39"/>
        <v>0</v>
      </c>
      <c r="AD69" s="101">
        <f t="shared" ref="AD69:AD132" si="50">IF(AA69&lt;=$F$18,IFERROR(VLOOKUP($AA69,$B$82:$G$94,4,FALSE),0),)</f>
        <v>0</v>
      </c>
      <c r="AE69" s="101">
        <f t="shared" ref="AE69:AE132" si="51">IF(AA69&lt;=$F$18,IFERROR(VLOOKUP($AA69,$B$82:$G$94,5,FALSE),0),)</f>
        <v>0</v>
      </c>
      <c r="AF69" s="197">
        <f t="shared" si="34"/>
        <v>31.566729273980592</v>
      </c>
      <c r="AG69" s="197">
        <f t="shared" si="35"/>
        <v>0</v>
      </c>
      <c r="AH69" s="197">
        <f t="shared" si="36"/>
        <v>0</v>
      </c>
      <c r="AI69" s="202">
        <f t="shared" si="37"/>
        <v>31.566729273980592</v>
      </c>
      <c r="AK69" s="71">
        <v>64</v>
      </c>
      <c r="AL69" s="33">
        <f t="shared" ref="AL69:AL132" si="52">IF(AK69&lt;=$F$18,IFERROR(VLOOKUP($AA69,$B$82:$G$94,2,FALSE),0),)</f>
        <v>0</v>
      </c>
      <c r="AM69" s="33">
        <f t="shared" ref="AM69:AM132" si="53">IF(AK69&lt;=$F$18,IFERROR(VLOOKUP($AA69,$B$82:$G$94,3,FALSE),0),)</f>
        <v>0</v>
      </c>
      <c r="AN69" s="33">
        <f t="shared" ref="AN69:AN132" si="54">IF(AK69&lt;=$F$18,IFERROR(VLOOKUP($AA69,$B$82:$G$94,4,FALSE),0),)</f>
        <v>0</v>
      </c>
      <c r="AO69" s="33">
        <f t="shared" ref="AO69:AO132" si="55">IF(AK69&lt;=$F$18,IFERROR(VLOOKUP($AA69,$B$82:$G$94,5,FALSE),0),)</f>
        <v>0</v>
      </c>
      <c r="AP69" s="33">
        <f t="shared" ref="AP69:AP132" si="56">IF(AK69&lt;=$F$18,IFERROR(VLOOKUP($AA69,$B$82:$G$94,6,FALSE),0),)</f>
        <v>0</v>
      </c>
      <c r="AQ69" s="197">
        <f t="shared" si="40"/>
        <v>0</v>
      </c>
      <c r="AR69" s="197">
        <f t="shared" si="40"/>
        <v>0</v>
      </c>
      <c r="AS69" s="197">
        <f t="shared" si="40"/>
        <v>0</v>
      </c>
      <c r="AT69" s="197">
        <f t="shared" si="40"/>
        <v>0</v>
      </c>
      <c r="AU69" s="33"/>
      <c r="AV69" s="33"/>
      <c r="AW69" s="33"/>
      <c r="AX69" s="33"/>
      <c r="AY69" s="76"/>
    </row>
    <row r="70" spans="2:51">
      <c r="B70" s="40">
        <f t="shared" si="31"/>
        <v>130</v>
      </c>
      <c r="C70" s="155">
        <f t="shared" si="38"/>
        <v>131</v>
      </c>
      <c r="D70" s="140">
        <v>420</v>
      </c>
      <c r="E70" s="144">
        <f t="shared" si="29"/>
        <v>1.56</v>
      </c>
      <c r="F70" s="42">
        <f t="shared" si="41"/>
        <v>655.20000000000005</v>
      </c>
      <c r="G70" s="51">
        <f t="shared" si="42"/>
        <v>-31.199999999999932</v>
      </c>
      <c r="I70" s="55">
        <v>65</v>
      </c>
      <c r="J70" s="33">
        <f t="shared" si="18"/>
        <v>0</v>
      </c>
      <c r="K70" s="33">
        <f t="shared" si="19"/>
        <v>0</v>
      </c>
      <c r="L70" s="33">
        <f t="shared" si="20"/>
        <v>70</v>
      </c>
      <c r="M70" s="33">
        <f t="shared" si="21"/>
        <v>0</v>
      </c>
      <c r="N70" s="33">
        <f t="shared" si="43"/>
        <v>0</v>
      </c>
      <c r="O70" s="34">
        <f t="shared" si="44"/>
        <v>256.66666666666669</v>
      </c>
      <c r="P70" s="55">
        <v>65</v>
      </c>
      <c r="Q70" s="33">
        <f t="shared" ref="Q70:Q133" si="57">IF(P70&lt;=$F$18,LOOKUP(P70-1,$B$25:$B$78,$G$25:$G$78),)</f>
        <v>20.28</v>
      </c>
      <c r="R70" s="33">
        <f t="shared" si="22"/>
        <v>458.63999999999987</v>
      </c>
      <c r="S70" s="33">
        <f t="shared" si="23"/>
        <v>279.77039999999994</v>
      </c>
      <c r="T70" s="33">
        <f t="shared" si="45"/>
        <v>66.918485484562225</v>
      </c>
      <c r="U70" s="33">
        <f t="shared" ref="U70:U133" si="58">IF(P70&lt;=$F$18,$F$5+($F$15-$F$5)*(1-EXP(-0.0175*P70)),)</f>
        <v>70</v>
      </c>
      <c r="V70" s="33">
        <f t="shared" si="46"/>
        <v>10</v>
      </c>
      <c r="W70" s="33">
        <v>0</v>
      </c>
      <c r="X70" s="33">
        <f t="shared" si="47"/>
        <v>897.1498088856124</v>
      </c>
      <c r="Y70" s="38">
        <f t="shared" si="48"/>
        <v>640.48314221894566</v>
      </c>
      <c r="AA70" s="71">
        <v>65</v>
      </c>
      <c r="AB70" s="33">
        <f t="shared" si="49"/>
        <v>0</v>
      </c>
      <c r="AC70" s="308">
        <f t="shared" si="39"/>
        <v>0</v>
      </c>
      <c r="AD70" s="101">
        <f t="shared" si="50"/>
        <v>0</v>
      </c>
      <c r="AE70" s="101">
        <f t="shared" si="51"/>
        <v>0</v>
      </c>
      <c r="AF70" s="197">
        <f t="shared" si="34"/>
        <v>30.947724966721534</v>
      </c>
      <c r="AG70" s="197">
        <f t="shared" si="35"/>
        <v>0</v>
      </c>
      <c r="AH70" s="197">
        <f t="shared" si="36"/>
        <v>0</v>
      </c>
      <c r="AI70" s="202">
        <f t="shared" si="37"/>
        <v>30.947724966721534</v>
      </c>
      <c r="AK70" s="71">
        <v>65</v>
      </c>
      <c r="AL70" s="33">
        <f t="shared" si="52"/>
        <v>0</v>
      </c>
      <c r="AM70" s="33">
        <f t="shared" si="53"/>
        <v>0</v>
      </c>
      <c r="AN70" s="33">
        <f t="shared" si="54"/>
        <v>0</v>
      </c>
      <c r="AO70" s="33">
        <f t="shared" si="55"/>
        <v>0</v>
      </c>
      <c r="AP70" s="33">
        <f t="shared" si="56"/>
        <v>0</v>
      </c>
      <c r="AQ70" s="197">
        <f t="shared" si="40"/>
        <v>0</v>
      </c>
      <c r="AR70" s="197">
        <f t="shared" si="40"/>
        <v>0</v>
      </c>
      <c r="AS70" s="197">
        <f t="shared" si="40"/>
        <v>0</v>
      </c>
      <c r="AT70" s="197">
        <f t="shared" si="40"/>
        <v>0</v>
      </c>
      <c r="AU70" s="33"/>
      <c r="AV70" s="33"/>
      <c r="AW70" s="33"/>
      <c r="AX70" s="33"/>
      <c r="AY70" s="76"/>
    </row>
    <row r="71" spans="2:51">
      <c r="B71" s="40">
        <f t="shared" si="31"/>
        <v>131</v>
      </c>
      <c r="C71" s="155">
        <f t="shared" si="38"/>
        <v>135</v>
      </c>
      <c r="D71" s="140">
        <f>D72+20</f>
        <v>444</v>
      </c>
      <c r="E71" s="144">
        <f t="shared" si="29"/>
        <v>1.56</v>
      </c>
      <c r="F71" s="42">
        <f t="shared" si="41"/>
        <v>692.64</v>
      </c>
      <c r="G71" s="51">
        <f t="shared" si="42"/>
        <v>9.3599999999999852</v>
      </c>
      <c r="I71" s="55">
        <v>66</v>
      </c>
      <c r="J71" s="33">
        <f t="shared" ref="J71:J134" si="59">IF($I71&lt;=$F$10,$F$11*$F$13+J70,)</f>
        <v>0</v>
      </c>
      <c r="K71" s="33">
        <f t="shared" ref="K71:K134" si="60">IF(J71=0,0,EXP(-1.0587+0.8836*LN(J71)+0.284))</f>
        <v>0</v>
      </c>
      <c r="L71" s="33">
        <f t="shared" ref="L71:L134" si="61">IF(I71&lt;=$F$10,$F$5+($F$8-$F$5)*(1-EXP(-0.0175*I71)),)</f>
        <v>70</v>
      </c>
      <c r="M71" s="33">
        <f t="shared" ref="M71:M134" si="62">IF(I71&lt;=$F$10,IF(I71&lt;=30,I71*($F$9-$F$6)/30,$F$9-$F$6),)</f>
        <v>0</v>
      </c>
      <c r="N71" s="33">
        <f t="shared" si="43"/>
        <v>0</v>
      </c>
      <c r="O71" s="34">
        <f t="shared" si="44"/>
        <v>256.66666666666669</v>
      </c>
      <c r="P71" s="55">
        <v>66</v>
      </c>
      <c r="Q71" s="33">
        <f t="shared" si="57"/>
        <v>-43.680000000000007</v>
      </c>
      <c r="R71" s="33">
        <f t="shared" ref="R71:R134" si="63">IF(P71&lt;=$F$18,Q71+R70,)</f>
        <v>414.95999999999987</v>
      </c>
      <c r="S71" s="33">
        <f t="shared" ref="S71:S134" si="64">$F$19*R71</f>
        <v>253.12559999999991</v>
      </c>
      <c r="T71" s="33">
        <f t="shared" si="45"/>
        <v>61.254756291614335</v>
      </c>
      <c r="U71" s="33">
        <f t="shared" si="58"/>
        <v>70</v>
      </c>
      <c r="V71" s="33">
        <f t="shared" si="46"/>
        <v>10</v>
      </c>
      <c r="W71" s="33">
        <v>0</v>
      </c>
      <c r="X71" s="33">
        <f t="shared" si="47"/>
        <v>840.87912054122808</v>
      </c>
      <c r="Y71" s="38">
        <f t="shared" si="48"/>
        <v>584.21245387456133</v>
      </c>
      <c r="AA71" s="71">
        <v>66</v>
      </c>
      <c r="AB71" s="33">
        <f t="shared" si="49"/>
        <v>28</v>
      </c>
      <c r="AC71" s="308">
        <f t="shared" si="39"/>
        <v>0.4</v>
      </c>
      <c r="AD71" s="101">
        <f t="shared" si="50"/>
        <v>0</v>
      </c>
      <c r="AE71" s="101">
        <f t="shared" si="51"/>
        <v>0</v>
      </c>
      <c r="AF71" s="197">
        <f t="shared" si="34"/>
        <v>42.122873823804298</v>
      </c>
      <c r="AG71" s="197">
        <f t="shared" si="35"/>
        <v>0</v>
      </c>
      <c r="AH71" s="197">
        <f t="shared" si="36"/>
        <v>0</v>
      </c>
      <c r="AI71" s="202">
        <f t="shared" si="37"/>
        <v>42.122873823804298</v>
      </c>
      <c r="AK71" s="71">
        <v>66</v>
      </c>
      <c r="AL71" s="33">
        <f t="shared" si="52"/>
        <v>28</v>
      </c>
      <c r="AM71" s="33">
        <f t="shared" si="53"/>
        <v>0.8</v>
      </c>
      <c r="AN71" s="33">
        <f t="shared" si="54"/>
        <v>0</v>
      </c>
      <c r="AO71" s="33">
        <f t="shared" si="55"/>
        <v>0</v>
      </c>
      <c r="AP71" s="33">
        <f t="shared" si="56"/>
        <v>0.19999999999999996</v>
      </c>
      <c r="AQ71" s="197">
        <f t="shared" si="40"/>
        <v>22.400000000000002</v>
      </c>
      <c r="AR71" s="197">
        <f t="shared" si="40"/>
        <v>0</v>
      </c>
      <c r="AS71" s="197">
        <f t="shared" si="40"/>
        <v>0</v>
      </c>
      <c r="AT71" s="197">
        <f t="shared" si="40"/>
        <v>5.5999999999999988</v>
      </c>
      <c r="AU71" s="33"/>
      <c r="AV71" s="33"/>
      <c r="AW71" s="33"/>
      <c r="AX71" s="33"/>
      <c r="AY71" s="76"/>
    </row>
    <row r="72" spans="2:51">
      <c r="B72" s="40">
        <f t="shared" si="31"/>
        <v>135</v>
      </c>
      <c r="C72" s="155">
        <f t="shared" si="38"/>
        <v>136</v>
      </c>
      <c r="D72" s="140">
        <v>424</v>
      </c>
      <c r="E72" s="144">
        <f t="shared" si="29"/>
        <v>1.56</v>
      </c>
      <c r="F72" s="42">
        <f t="shared" si="41"/>
        <v>661.44</v>
      </c>
      <c r="G72" s="51">
        <f t="shared" si="42"/>
        <v>-31.199999999999932</v>
      </c>
      <c r="I72" s="55">
        <v>67</v>
      </c>
      <c r="J72" s="33">
        <f t="shared" si="59"/>
        <v>0</v>
      </c>
      <c r="K72" s="33">
        <f t="shared" si="60"/>
        <v>0</v>
      </c>
      <c r="L72" s="33">
        <f t="shared" si="61"/>
        <v>70</v>
      </c>
      <c r="M72" s="33">
        <f t="shared" si="62"/>
        <v>0</v>
      </c>
      <c r="N72" s="33">
        <f t="shared" si="43"/>
        <v>0</v>
      </c>
      <c r="O72" s="34">
        <f t="shared" si="44"/>
        <v>256.66666666666669</v>
      </c>
      <c r="P72" s="55">
        <v>67</v>
      </c>
      <c r="Q72" s="33">
        <f t="shared" si="57"/>
        <v>19.5</v>
      </c>
      <c r="R72" s="33">
        <f t="shared" si="63"/>
        <v>434.45999999999987</v>
      </c>
      <c r="S72" s="33">
        <f t="shared" si="64"/>
        <v>265.02059999999989</v>
      </c>
      <c r="T72" s="33">
        <f t="shared" si="45"/>
        <v>63.79137282113016</v>
      </c>
      <c r="U72" s="33">
        <f t="shared" si="58"/>
        <v>70</v>
      </c>
      <c r="V72" s="33">
        <f t="shared" si="46"/>
        <v>10</v>
      </c>
      <c r="W72" s="33">
        <v>0</v>
      </c>
      <c r="X72" s="33">
        <f t="shared" si="47"/>
        <v>866.01418599680153</v>
      </c>
      <c r="Y72" s="38">
        <f t="shared" si="48"/>
        <v>609.3475193301349</v>
      </c>
      <c r="AA72" s="71">
        <v>67</v>
      </c>
      <c r="AB72" s="33">
        <f t="shared" si="49"/>
        <v>0</v>
      </c>
      <c r="AC72" s="308">
        <f t="shared" si="39"/>
        <v>0</v>
      </c>
      <c r="AD72" s="101">
        <f t="shared" si="50"/>
        <v>0</v>
      </c>
      <c r="AE72" s="101">
        <f t="shared" si="51"/>
        <v>0</v>
      </c>
      <c r="AF72" s="197">
        <f t="shared" si="34"/>
        <v>41.296869960535609</v>
      </c>
      <c r="AG72" s="197">
        <f t="shared" si="35"/>
        <v>0</v>
      </c>
      <c r="AH72" s="197">
        <f t="shared" si="36"/>
        <v>0</v>
      </c>
      <c r="AI72" s="202">
        <f t="shared" si="37"/>
        <v>41.296869960535609</v>
      </c>
      <c r="AK72" s="71">
        <v>67</v>
      </c>
      <c r="AL72" s="33">
        <f t="shared" si="52"/>
        <v>0</v>
      </c>
      <c r="AM72" s="33">
        <f t="shared" si="53"/>
        <v>0</v>
      </c>
      <c r="AN72" s="33">
        <f t="shared" si="54"/>
        <v>0</v>
      </c>
      <c r="AO72" s="33">
        <f t="shared" si="55"/>
        <v>0</v>
      </c>
      <c r="AP72" s="33">
        <f t="shared" si="56"/>
        <v>0</v>
      </c>
      <c r="AQ72" s="197">
        <f t="shared" si="40"/>
        <v>0</v>
      </c>
      <c r="AR72" s="197">
        <f t="shared" si="40"/>
        <v>0</v>
      </c>
      <c r="AS72" s="197">
        <f t="shared" si="40"/>
        <v>0</v>
      </c>
      <c r="AT72" s="197">
        <f t="shared" si="40"/>
        <v>0</v>
      </c>
      <c r="AU72" s="33"/>
      <c r="AV72" s="33"/>
      <c r="AW72" s="33"/>
      <c r="AX72" s="33"/>
      <c r="AY72" s="76"/>
    </row>
    <row r="73" spans="2:51">
      <c r="B73" s="40">
        <f t="shared" si="31"/>
        <v>136</v>
      </c>
      <c r="C73" s="155">
        <f t="shared" si="38"/>
        <v>140</v>
      </c>
      <c r="D73" s="140">
        <f>D74+19</f>
        <v>446</v>
      </c>
      <c r="E73" s="144">
        <f t="shared" si="29"/>
        <v>1.56</v>
      </c>
      <c r="F73" s="42">
        <f t="shared" si="41"/>
        <v>695.76</v>
      </c>
      <c r="G73" s="51">
        <f t="shared" si="42"/>
        <v>8.5799999999999841</v>
      </c>
      <c r="I73" s="55">
        <v>68</v>
      </c>
      <c r="J73" s="33">
        <f t="shared" si="59"/>
        <v>0</v>
      </c>
      <c r="K73" s="33">
        <f t="shared" si="60"/>
        <v>0</v>
      </c>
      <c r="L73" s="33">
        <f t="shared" si="61"/>
        <v>70</v>
      </c>
      <c r="M73" s="33">
        <f t="shared" si="62"/>
        <v>0</v>
      </c>
      <c r="N73" s="33">
        <f t="shared" si="43"/>
        <v>0</v>
      </c>
      <c r="O73" s="34">
        <f t="shared" si="44"/>
        <v>256.66666666666669</v>
      </c>
      <c r="P73" s="55">
        <v>68</v>
      </c>
      <c r="Q73" s="33">
        <f t="shared" si="57"/>
        <v>19.5</v>
      </c>
      <c r="R73" s="33">
        <f t="shared" si="63"/>
        <v>453.95999999999987</v>
      </c>
      <c r="S73" s="33">
        <f t="shared" si="64"/>
        <v>276.91559999999993</v>
      </c>
      <c r="T73" s="33">
        <f t="shared" si="45"/>
        <v>66.314766879144742</v>
      </c>
      <c r="U73" s="33">
        <f t="shared" si="58"/>
        <v>70</v>
      </c>
      <c r="V73" s="33">
        <f t="shared" si="46"/>
        <v>10</v>
      </c>
      <c r="W73" s="33">
        <v>0</v>
      </c>
      <c r="X73" s="33">
        <f t="shared" si="47"/>
        <v>891.1262223145103</v>
      </c>
      <c r="Y73" s="38">
        <f t="shared" si="48"/>
        <v>634.45955564784367</v>
      </c>
      <c r="AA73" s="71">
        <v>68</v>
      </c>
      <c r="AB73" s="33">
        <f t="shared" si="49"/>
        <v>0</v>
      </c>
      <c r="AC73" s="308">
        <f t="shared" si="39"/>
        <v>0</v>
      </c>
      <c r="AD73" s="101">
        <f t="shared" si="50"/>
        <v>0</v>
      </c>
      <c r="AE73" s="101">
        <f t="shared" si="51"/>
        <v>0</v>
      </c>
      <c r="AF73" s="197">
        <f t="shared" si="34"/>
        <v>40.487063529213017</v>
      </c>
      <c r="AG73" s="197">
        <f t="shared" si="35"/>
        <v>0</v>
      </c>
      <c r="AH73" s="197">
        <f t="shared" si="36"/>
        <v>0</v>
      </c>
      <c r="AI73" s="202">
        <f t="shared" si="37"/>
        <v>40.487063529213017</v>
      </c>
      <c r="AK73" s="71">
        <v>68</v>
      </c>
      <c r="AL73" s="33">
        <f t="shared" si="52"/>
        <v>0</v>
      </c>
      <c r="AM73" s="33">
        <f t="shared" si="53"/>
        <v>0</v>
      </c>
      <c r="AN73" s="33">
        <f t="shared" si="54"/>
        <v>0</v>
      </c>
      <c r="AO73" s="33">
        <f t="shared" si="55"/>
        <v>0</v>
      </c>
      <c r="AP73" s="33">
        <f t="shared" si="56"/>
        <v>0</v>
      </c>
      <c r="AQ73" s="197">
        <f t="shared" si="40"/>
        <v>0</v>
      </c>
      <c r="AR73" s="197">
        <f t="shared" si="40"/>
        <v>0</v>
      </c>
      <c r="AS73" s="197">
        <f t="shared" si="40"/>
        <v>0</v>
      </c>
      <c r="AT73" s="197">
        <f t="shared" si="40"/>
        <v>0</v>
      </c>
      <c r="AU73" s="33"/>
      <c r="AV73" s="33"/>
      <c r="AW73" s="33"/>
      <c r="AX73" s="33"/>
      <c r="AY73" s="76"/>
    </row>
    <row r="74" spans="2:51">
      <c r="B74" s="40">
        <f t="shared" si="31"/>
        <v>140</v>
      </c>
      <c r="C74" s="155">
        <f t="shared" si="38"/>
        <v>141</v>
      </c>
      <c r="D74" s="140">
        <v>427</v>
      </c>
      <c r="E74" s="144">
        <f t="shared" si="29"/>
        <v>1.56</v>
      </c>
      <c r="F74" s="42">
        <f t="shared" si="41"/>
        <v>666.12</v>
      </c>
      <c r="G74" s="51">
        <f t="shared" si="42"/>
        <v>-29.639999999999986</v>
      </c>
      <c r="I74" s="55">
        <v>69</v>
      </c>
      <c r="J74" s="33">
        <f t="shared" si="59"/>
        <v>0</v>
      </c>
      <c r="K74" s="33">
        <f t="shared" si="60"/>
        <v>0</v>
      </c>
      <c r="L74" s="33">
        <f t="shared" si="61"/>
        <v>70</v>
      </c>
      <c r="M74" s="33">
        <f t="shared" si="62"/>
        <v>0</v>
      </c>
      <c r="N74" s="33">
        <f t="shared" si="43"/>
        <v>0</v>
      </c>
      <c r="O74" s="34">
        <f t="shared" si="44"/>
        <v>256.66666666666669</v>
      </c>
      <c r="P74" s="55">
        <v>69</v>
      </c>
      <c r="Q74" s="33">
        <f t="shared" si="57"/>
        <v>19.5</v>
      </c>
      <c r="R74" s="33">
        <f t="shared" si="63"/>
        <v>473.45999999999987</v>
      </c>
      <c r="S74" s="33">
        <f t="shared" si="64"/>
        <v>288.81059999999991</v>
      </c>
      <c r="T74" s="33">
        <f t="shared" si="45"/>
        <v>68.825571368237377</v>
      </c>
      <c r="U74" s="33">
        <f t="shared" si="58"/>
        <v>70</v>
      </c>
      <c r="V74" s="33">
        <f t="shared" si="46"/>
        <v>10</v>
      </c>
      <c r="W74" s="33">
        <v>0</v>
      </c>
      <c r="X74" s="33">
        <f t="shared" si="47"/>
        <v>916.21633179968001</v>
      </c>
      <c r="Y74" s="38">
        <f t="shared" si="48"/>
        <v>659.54966513301338</v>
      </c>
      <c r="AA74" s="71">
        <v>69</v>
      </c>
      <c r="AB74" s="33">
        <f t="shared" si="49"/>
        <v>0</v>
      </c>
      <c r="AC74" s="308">
        <f t="shared" si="39"/>
        <v>0</v>
      </c>
      <c r="AD74" s="101">
        <f t="shared" si="50"/>
        <v>0</v>
      </c>
      <c r="AE74" s="101">
        <f t="shared" si="51"/>
        <v>0</v>
      </c>
      <c r="AF74" s="197">
        <f t="shared" si="34"/>
        <v>39.693136908075509</v>
      </c>
      <c r="AG74" s="197">
        <f t="shared" si="35"/>
        <v>0</v>
      </c>
      <c r="AH74" s="197">
        <f t="shared" si="36"/>
        <v>0</v>
      </c>
      <c r="AI74" s="202">
        <f t="shared" si="37"/>
        <v>39.693136908075509</v>
      </c>
      <c r="AK74" s="71">
        <v>69</v>
      </c>
      <c r="AL74" s="33">
        <f t="shared" si="52"/>
        <v>0</v>
      </c>
      <c r="AM74" s="33">
        <f t="shared" si="53"/>
        <v>0</v>
      </c>
      <c r="AN74" s="33">
        <f t="shared" si="54"/>
        <v>0</v>
      </c>
      <c r="AO74" s="33">
        <f t="shared" si="55"/>
        <v>0</v>
      </c>
      <c r="AP74" s="33">
        <f t="shared" si="56"/>
        <v>0</v>
      </c>
      <c r="AQ74" s="197">
        <f t="shared" si="40"/>
        <v>0</v>
      </c>
      <c r="AR74" s="197">
        <f t="shared" si="40"/>
        <v>0</v>
      </c>
      <c r="AS74" s="197">
        <f t="shared" si="40"/>
        <v>0</v>
      </c>
      <c r="AT74" s="197">
        <f t="shared" si="40"/>
        <v>0</v>
      </c>
      <c r="AU74" s="33"/>
      <c r="AV74" s="33"/>
      <c r="AW74" s="33"/>
      <c r="AX74" s="33"/>
      <c r="AY74" s="76"/>
    </row>
    <row r="75" spans="2:51">
      <c r="B75" s="40">
        <f t="shared" si="31"/>
        <v>141</v>
      </c>
      <c r="C75" s="155">
        <f t="shared" si="38"/>
        <v>145</v>
      </c>
      <c r="D75" s="140">
        <f>D76+19</f>
        <v>449</v>
      </c>
      <c r="E75" s="144">
        <f t="shared" si="29"/>
        <v>1.56</v>
      </c>
      <c r="F75" s="42">
        <f t="shared" si="41"/>
        <v>700.44</v>
      </c>
      <c r="G75" s="51">
        <f t="shared" si="42"/>
        <v>8.5800000000000125</v>
      </c>
      <c r="I75" s="55">
        <v>70</v>
      </c>
      <c r="J75" s="33">
        <f t="shared" si="59"/>
        <v>0</v>
      </c>
      <c r="K75" s="33">
        <f t="shared" si="60"/>
        <v>0</v>
      </c>
      <c r="L75" s="33">
        <f t="shared" si="61"/>
        <v>70</v>
      </c>
      <c r="M75" s="33">
        <f t="shared" si="62"/>
        <v>0</v>
      </c>
      <c r="N75" s="33">
        <f t="shared" si="43"/>
        <v>0</v>
      </c>
      <c r="O75" s="34">
        <f t="shared" si="44"/>
        <v>256.66666666666669</v>
      </c>
      <c r="P75" s="55">
        <v>70</v>
      </c>
      <c r="Q75" s="33">
        <f t="shared" si="57"/>
        <v>19.5</v>
      </c>
      <c r="R75" s="33">
        <f t="shared" si="63"/>
        <v>492.95999999999987</v>
      </c>
      <c r="S75" s="33">
        <f t="shared" si="64"/>
        <v>300.70559999999989</v>
      </c>
      <c r="T75" s="33">
        <f t="shared" si="45"/>
        <v>71.324364107429389</v>
      </c>
      <c r="U75" s="33">
        <f t="shared" si="58"/>
        <v>70</v>
      </c>
      <c r="V75" s="33">
        <f t="shared" si="46"/>
        <v>10</v>
      </c>
      <c r="W75" s="33">
        <v>0</v>
      </c>
      <c r="X75" s="33">
        <f t="shared" si="47"/>
        <v>941.28552082043927</v>
      </c>
      <c r="Y75" s="38">
        <f t="shared" si="48"/>
        <v>684.61885415377265</v>
      </c>
      <c r="AA75" s="71">
        <v>70</v>
      </c>
      <c r="AB75" s="33">
        <f t="shared" si="49"/>
        <v>0</v>
      </c>
      <c r="AC75" s="308">
        <f t="shared" si="39"/>
        <v>0</v>
      </c>
      <c r="AD75" s="101">
        <f t="shared" si="50"/>
        <v>0</v>
      </c>
      <c r="AE75" s="101">
        <f t="shared" si="51"/>
        <v>0</v>
      </c>
      <c r="AF75" s="197">
        <f t="shared" si="34"/>
        <v>38.914778703731081</v>
      </c>
      <c r="AG75" s="197">
        <f t="shared" si="35"/>
        <v>0</v>
      </c>
      <c r="AH75" s="197">
        <f t="shared" si="36"/>
        <v>0</v>
      </c>
      <c r="AI75" s="202">
        <f t="shared" si="37"/>
        <v>38.914778703731081</v>
      </c>
      <c r="AK75" s="71">
        <v>70</v>
      </c>
      <c r="AL75" s="33">
        <f t="shared" si="52"/>
        <v>0</v>
      </c>
      <c r="AM75" s="33">
        <f t="shared" si="53"/>
        <v>0</v>
      </c>
      <c r="AN75" s="33">
        <f t="shared" si="54"/>
        <v>0</v>
      </c>
      <c r="AO75" s="33">
        <f t="shared" si="55"/>
        <v>0</v>
      </c>
      <c r="AP75" s="33">
        <f t="shared" si="56"/>
        <v>0</v>
      </c>
      <c r="AQ75" s="197">
        <f t="shared" si="40"/>
        <v>0</v>
      </c>
      <c r="AR75" s="197">
        <f t="shared" si="40"/>
        <v>0</v>
      </c>
      <c r="AS75" s="197">
        <f t="shared" si="40"/>
        <v>0</v>
      </c>
      <c r="AT75" s="197">
        <f t="shared" si="40"/>
        <v>0</v>
      </c>
      <c r="AU75" s="33"/>
      <c r="AV75" s="33"/>
      <c r="AW75" s="33"/>
      <c r="AX75" s="33"/>
      <c r="AY75" s="76"/>
    </row>
    <row r="76" spans="2:51">
      <c r="B76" s="40">
        <f t="shared" si="31"/>
        <v>145</v>
      </c>
      <c r="C76" s="155">
        <f t="shared" si="38"/>
        <v>146</v>
      </c>
      <c r="D76" s="140">
        <v>430</v>
      </c>
      <c r="E76" s="144">
        <f t="shared" si="29"/>
        <v>1.56</v>
      </c>
      <c r="F76" s="42">
        <f t="shared" si="41"/>
        <v>670.80000000000007</v>
      </c>
      <c r="G76" s="51">
        <f t="shared" si="42"/>
        <v>-29.639999999999986</v>
      </c>
      <c r="I76" s="55">
        <v>71</v>
      </c>
      <c r="J76" s="33">
        <f t="shared" si="59"/>
        <v>0</v>
      </c>
      <c r="K76" s="33">
        <f t="shared" si="60"/>
        <v>0</v>
      </c>
      <c r="L76" s="33">
        <f t="shared" si="61"/>
        <v>70</v>
      </c>
      <c r="M76" s="33">
        <f t="shared" si="62"/>
        <v>0</v>
      </c>
      <c r="N76" s="33">
        <f t="shared" si="43"/>
        <v>0</v>
      </c>
      <c r="O76" s="34">
        <f t="shared" si="44"/>
        <v>256.66666666666669</v>
      </c>
      <c r="P76" s="55">
        <v>71</v>
      </c>
      <c r="Q76" s="33">
        <f t="shared" si="57"/>
        <v>-43.680000000000007</v>
      </c>
      <c r="R76" s="33">
        <f t="shared" si="63"/>
        <v>449.27999999999986</v>
      </c>
      <c r="S76" s="33">
        <f t="shared" si="64"/>
        <v>274.06079999999992</v>
      </c>
      <c r="T76" s="33">
        <f t="shared" si="45"/>
        <v>65.710323362952934</v>
      </c>
      <c r="U76" s="33">
        <f t="shared" si="58"/>
        <v>70</v>
      </c>
      <c r="V76" s="33">
        <f t="shared" si="46"/>
        <v>10</v>
      </c>
      <c r="W76" s="33">
        <v>0</v>
      </c>
      <c r="X76" s="33">
        <f t="shared" si="47"/>
        <v>885.10137319047601</v>
      </c>
      <c r="Y76" s="38">
        <f t="shared" si="48"/>
        <v>628.43470652380938</v>
      </c>
      <c r="AA76" s="71">
        <v>71</v>
      </c>
      <c r="AB76" s="33">
        <f t="shared" si="49"/>
        <v>28</v>
      </c>
      <c r="AC76" s="308">
        <f t="shared" si="39"/>
        <v>0.45</v>
      </c>
      <c r="AD76" s="101">
        <f t="shared" si="50"/>
        <v>0</v>
      </c>
      <c r="AE76" s="101">
        <f t="shared" si="51"/>
        <v>0</v>
      </c>
      <c r="AF76" s="197">
        <f t="shared" si="34"/>
        <v>51.40645035488302</v>
      </c>
      <c r="AG76" s="197">
        <f t="shared" si="35"/>
        <v>0</v>
      </c>
      <c r="AH76" s="197">
        <f t="shared" si="36"/>
        <v>0</v>
      </c>
      <c r="AI76" s="202">
        <f t="shared" si="37"/>
        <v>51.40645035488302</v>
      </c>
      <c r="AK76" s="71">
        <v>71</v>
      </c>
      <c r="AL76" s="33">
        <f t="shared" si="52"/>
        <v>28</v>
      </c>
      <c r="AM76" s="33">
        <f t="shared" si="53"/>
        <v>0.9</v>
      </c>
      <c r="AN76" s="33">
        <f t="shared" si="54"/>
        <v>0</v>
      </c>
      <c r="AO76" s="33">
        <f t="shared" si="55"/>
        <v>0</v>
      </c>
      <c r="AP76" s="33">
        <f t="shared" si="56"/>
        <v>9.9999999999999978E-2</v>
      </c>
      <c r="AQ76" s="197">
        <f t="shared" si="40"/>
        <v>25.2</v>
      </c>
      <c r="AR76" s="197">
        <f t="shared" si="40"/>
        <v>0</v>
      </c>
      <c r="AS76" s="197">
        <f t="shared" si="40"/>
        <v>0</v>
      </c>
      <c r="AT76" s="197">
        <f t="shared" si="40"/>
        <v>2.7999999999999994</v>
      </c>
      <c r="AU76" s="33"/>
      <c r="AV76" s="33"/>
      <c r="AW76" s="33"/>
      <c r="AX76" s="33"/>
      <c r="AY76" s="76"/>
    </row>
    <row r="77" spans="2:51">
      <c r="B77" s="40">
        <f t="shared" si="31"/>
        <v>146</v>
      </c>
      <c r="C77" s="155">
        <f t="shared" si="38"/>
        <v>150</v>
      </c>
      <c r="D77" s="140">
        <f>D78+19</f>
        <v>448</v>
      </c>
      <c r="E77" s="144">
        <f t="shared" si="29"/>
        <v>1.56</v>
      </c>
      <c r="F77" s="42">
        <f t="shared" si="41"/>
        <v>698.88</v>
      </c>
      <c r="G77" s="51">
        <f t="shared" si="42"/>
        <v>7.0199999999999818</v>
      </c>
      <c r="I77" s="55">
        <v>72</v>
      </c>
      <c r="J77" s="33">
        <f t="shared" si="59"/>
        <v>0</v>
      </c>
      <c r="K77" s="33">
        <f t="shared" si="60"/>
        <v>0</v>
      </c>
      <c r="L77" s="33">
        <f t="shared" si="61"/>
        <v>70</v>
      </c>
      <c r="M77" s="33">
        <f t="shared" si="62"/>
        <v>0</v>
      </c>
      <c r="N77" s="33">
        <f t="shared" si="43"/>
        <v>0</v>
      </c>
      <c r="O77" s="34">
        <f t="shared" si="44"/>
        <v>256.66666666666669</v>
      </c>
      <c r="P77" s="55">
        <v>72</v>
      </c>
      <c r="Q77" s="33">
        <f t="shared" si="57"/>
        <v>18.329999999999998</v>
      </c>
      <c r="R77" s="33">
        <f t="shared" si="63"/>
        <v>467.60999999999984</v>
      </c>
      <c r="S77" s="33">
        <f t="shared" si="64"/>
        <v>285.24209999999988</v>
      </c>
      <c r="T77" s="33">
        <f t="shared" si="45"/>
        <v>68.073616556332013</v>
      </c>
      <c r="U77" s="33">
        <f t="shared" si="58"/>
        <v>70</v>
      </c>
      <c r="V77" s="33">
        <f t="shared" si="46"/>
        <v>10</v>
      </c>
      <c r="W77" s="33">
        <v>0</v>
      </c>
      <c r="X77" s="33">
        <f t="shared" si="47"/>
        <v>908.69153966894464</v>
      </c>
      <c r="Y77" s="38">
        <f t="shared" si="48"/>
        <v>652.0248730022779</v>
      </c>
      <c r="AA77" s="71">
        <v>72</v>
      </c>
      <c r="AB77" s="33">
        <f t="shared" si="49"/>
        <v>0</v>
      </c>
      <c r="AC77" s="308">
        <f t="shared" si="39"/>
        <v>0</v>
      </c>
      <c r="AD77" s="101">
        <f t="shared" si="50"/>
        <v>0</v>
      </c>
      <c r="AE77" s="101">
        <f t="shared" si="51"/>
        <v>0</v>
      </c>
      <c r="AF77" s="197">
        <f t="shared" si="34"/>
        <v>50.39840121826245</v>
      </c>
      <c r="AG77" s="197">
        <f t="shared" si="35"/>
        <v>0</v>
      </c>
      <c r="AH77" s="197">
        <f t="shared" si="36"/>
        <v>0</v>
      </c>
      <c r="AI77" s="202">
        <f t="shared" si="37"/>
        <v>50.39840121826245</v>
      </c>
      <c r="AK77" s="71">
        <v>72</v>
      </c>
      <c r="AL77" s="33">
        <f t="shared" si="52"/>
        <v>0</v>
      </c>
      <c r="AM77" s="33">
        <f t="shared" si="53"/>
        <v>0</v>
      </c>
      <c r="AN77" s="33">
        <f t="shared" si="54"/>
        <v>0</v>
      </c>
      <c r="AO77" s="33">
        <f t="shared" si="55"/>
        <v>0</v>
      </c>
      <c r="AP77" s="33">
        <f t="shared" si="56"/>
        <v>0</v>
      </c>
      <c r="AQ77" s="197">
        <f t="shared" si="40"/>
        <v>0</v>
      </c>
      <c r="AR77" s="197">
        <f t="shared" si="40"/>
        <v>0</v>
      </c>
      <c r="AS77" s="197">
        <f t="shared" si="40"/>
        <v>0</v>
      </c>
      <c r="AT77" s="197">
        <f t="shared" si="40"/>
        <v>0</v>
      </c>
      <c r="AU77" s="33"/>
      <c r="AV77" s="33"/>
      <c r="AW77" s="33"/>
      <c r="AX77" s="33"/>
      <c r="AY77" s="76"/>
    </row>
    <row r="78" spans="2:51">
      <c r="B78" s="43">
        <f t="shared" si="31"/>
        <v>150</v>
      </c>
      <c r="C78" s="156">
        <f t="shared" si="38"/>
        <v>151</v>
      </c>
      <c r="D78" s="157">
        <v>429</v>
      </c>
      <c r="E78" s="144">
        <f t="shared" si="29"/>
        <v>1.56</v>
      </c>
      <c r="F78" s="42">
        <f t="shared" si="41"/>
        <v>669.24</v>
      </c>
      <c r="G78" s="51">
        <f t="shared" si="42"/>
        <v>-29.639999999999986</v>
      </c>
      <c r="I78" s="55">
        <v>73</v>
      </c>
      <c r="J78" s="33">
        <f t="shared" si="59"/>
        <v>0</v>
      </c>
      <c r="K78" s="33">
        <f t="shared" si="60"/>
        <v>0</v>
      </c>
      <c r="L78" s="33">
        <f t="shared" si="61"/>
        <v>70</v>
      </c>
      <c r="M78" s="33">
        <f t="shared" si="62"/>
        <v>0</v>
      </c>
      <c r="N78" s="33">
        <f t="shared" si="43"/>
        <v>0</v>
      </c>
      <c r="O78" s="34">
        <f t="shared" si="44"/>
        <v>256.66666666666669</v>
      </c>
      <c r="P78" s="55">
        <v>73</v>
      </c>
      <c r="Q78" s="33">
        <f t="shared" si="57"/>
        <v>18.329999999999998</v>
      </c>
      <c r="R78" s="33">
        <f t="shared" si="63"/>
        <v>485.93999999999983</v>
      </c>
      <c r="S78" s="33">
        <f t="shared" si="64"/>
        <v>296.4233999999999</v>
      </c>
      <c r="T78" s="33">
        <f t="shared" si="45"/>
        <v>70.426148162674565</v>
      </c>
      <c r="U78" s="33">
        <f t="shared" si="58"/>
        <v>70</v>
      </c>
      <c r="V78" s="33">
        <f t="shared" si="46"/>
        <v>10</v>
      </c>
      <c r="W78" s="33">
        <v>0</v>
      </c>
      <c r="X78" s="33">
        <f t="shared" si="47"/>
        <v>932.26296304999141</v>
      </c>
      <c r="Y78" s="38">
        <f t="shared" si="48"/>
        <v>675.59629638332467</v>
      </c>
      <c r="AA78" s="71">
        <v>73</v>
      </c>
      <c r="AB78" s="33">
        <f t="shared" si="49"/>
        <v>0</v>
      </c>
      <c r="AC78" s="308">
        <f t="shared" si="39"/>
        <v>0</v>
      </c>
      <c r="AD78" s="101">
        <f t="shared" si="50"/>
        <v>0</v>
      </c>
      <c r="AE78" s="101">
        <f t="shared" si="51"/>
        <v>0</v>
      </c>
      <c r="AF78" s="197">
        <f t="shared" si="34"/>
        <v>49.410119310361743</v>
      </c>
      <c r="AG78" s="197">
        <f t="shared" si="35"/>
        <v>0</v>
      </c>
      <c r="AH78" s="197">
        <f t="shared" si="36"/>
        <v>0</v>
      </c>
      <c r="AI78" s="202">
        <f t="shared" si="37"/>
        <v>49.410119310361743</v>
      </c>
      <c r="AK78" s="71">
        <v>73</v>
      </c>
      <c r="AL78" s="33">
        <f t="shared" si="52"/>
        <v>0</v>
      </c>
      <c r="AM78" s="33">
        <f t="shared" si="53"/>
        <v>0</v>
      </c>
      <c r="AN78" s="33">
        <f t="shared" si="54"/>
        <v>0</v>
      </c>
      <c r="AO78" s="33">
        <f t="shared" si="55"/>
        <v>0</v>
      </c>
      <c r="AP78" s="33">
        <f t="shared" si="56"/>
        <v>0</v>
      </c>
      <c r="AQ78" s="197">
        <f t="shared" si="40"/>
        <v>0</v>
      </c>
      <c r="AR78" s="197">
        <f t="shared" si="40"/>
        <v>0</v>
      </c>
      <c r="AS78" s="197">
        <f t="shared" si="40"/>
        <v>0</v>
      </c>
      <c r="AT78" s="197">
        <f t="shared" si="40"/>
        <v>0</v>
      </c>
      <c r="AU78" s="33"/>
      <c r="AV78" s="33"/>
      <c r="AW78" s="33"/>
      <c r="AX78" s="33"/>
      <c r="AY78" s="76"/>
    </row>
    <row r="79" spans="2:51">
      <c r="I79" s="55">
        <v>74</v>
      </c>
      <c r="J79" s="33">
        <f t="shared" si="59"/>
        <v>0</v>
      </c>
      <c r="K79" s="33">
        <f t="shared" si="60"/>
        <v>0</v>
      </c>
      <c r="L79" s="33">
        <f t="shared" si="61"/>
        <v>70</v>
      </c>
      <c r="M79" s="33">
        <f t="shared" si="62"/>
        <v>0</v>
      </c>
      <c r="N79" s="33">
        <f t="shared" si="43"/>
        <v>0</v>
      </c>
      <c r="O79" s="34">
        <f t="shared" si="44"/>
        <v>256.66666666666669</v>
      </c>
      <c r="P79" s="55">
        <v>74</v>
      </c>
      <c r="Q79" s="33">
        <f t="shared" si="57"/>
        <v>18.329999999999998</v>
      </c>
      <c r="R79" s="33">
        <f t="shared" si="63"/>
        <v>504.26999999999981</v>
      </c>
      <c r="S79" s="33">
        <f t="shared" si="64"/>
        <v>307.60469999999987</v>
      </c>
      <c r="T79" s="33">
        <f t="shared" si="45"/>
        <v>72.768370592379171</v>
      </c>
      <c r="U79" s="33">
        <f t="shared" si="58"/>
        <v>70</v>
      </c>
      <c r="V79" s="33">
        <f t="shared" si="46"/>
        <v>10</v>
      </c>
      <c r="W79" s="33">
        <v>0</v>
      </c>
      <c r="X79" s="33">
        <f t="shared" si="47"/>
        <v>955.81643128172675</v>
      </c>
      <c r="Y79" s="38">
        <f t="shared" si="48"/>
        <v>699.14976461506012</v>
      </c>
      <c r="AA79" s="71">
        <v>74</v>
      </c>
      <c r="AB79" s="33">
        <f t="shared" si="49"/>
        <v>0</v>
      </c>
      <c r="AC79" s="308">
        <f t="shared" si="39"/>
        <v>0</v>
      </c>
      <c r="AD79" s="101">
        <f t="shared" si="50"/>
        <v>0</v>
      </c>
      <c r="AE79" s="101">
        <f t="shared" si="51"/>
        <v>0</v>
      </c>
      <c r="AF79" s="197">
        <f t="shared" si="34"/>
        <v>48.441217007882528</v>
      </c>
      <c r="AG79" s="197">
        <f t="shared" si="35"/>
        <v>0</v>
      </c>
      <c r="AH79" s="197">
        <f t="shared" si="36"/>
        <v>0</v>
      </c>
      <c r="AI79" s="202">
        <f t="shared" si="37"/>
        <v>48.441217007882528</v>
      </c>
      <c r="AK79" s="71">
        <v>74</v>
      </c>
      <c r="AL79" s="33">
        <f t="shared" si="52"/>
        <v>0</v>
      </c>
      <c r="AM79" s="33">
        <f t="shared" si="53"/>
        <v>0</v>
      </c>
      <c r="AN79" s="33">
        <f t="shared" si="54"/>
        <v>0</v>
      </c>
      <c r="AO79" s="33">
        <f t="shared" si="55"/>
        <v>0</v>
      </c>
      <c r="AP79" s="33">
        <f t="shared" si="56"/>
        <v>0</v>
      </c>
      <c r="AQ79" s="197">
        <f t="shared" si="40"/>
        <v>0</v>
      </c>
      <c r="AR79" s="197">
        <f t="shared" si="40"/>
        <v>0</v>
      </c>
      <c r="AS79" s="197">
        <f t="shared" si="40"/>
        <v>0</v>
      </c>
      <c r="AT79" s="197">
        <f t="shared" si="40"/>
        <v>0</v>
      </c>
      <c r="AU79" s="33"/>
      <c r="AV79" s="33"/>
      <c r="AW79" s="33"/>
      <c r="AX79" s="33"/>
      <c r="AY79" s="76"/>
    </row>
    <row r="80" spans="2:51">
      <c r="B80" s="358" t="s">
        <v>259</v>
      </c>
      <c r="C80" s="359"/>
      <c r="D80" s="359"/>
      <c r="E80" s="359"/>
      <c r="F80" s="359"/>
      <c r="G80" s="360"/>
      <c r="H80" s="23"/>
      <c r="I80" s="55">
        <v>75</v>
      </c>
      <c r="J80" s="33">
        <f t="shared" si="59"/>
        <v>0</v>
      </c>
      <c r="K80" s="33">
        <f t="shared" si="60"/>
        <v>0</v>
      </c>
      <c r="L80" s="33">
        <f t="shared" si="61"/>
        <v>70</v>
      </c>
      <c r="M80" s="33">
        <f t="shared" si="62"/>
        <v>0</v>
      </c>
      <c r="N80" s="33">
        <f t="shared" si="43"/>
        <v>0</v>
      </c>
      <c r="O80" s="34">
        <f t="shared" si="44"/>
        <v>256.66666666666669</v>
      </c>
      <c r="P80" s="55">
        <v>75</v>
      </c>
      <c r="Q80" s="33">
        <f t="shared" si="57"/>
        <v>18.329999999999998</v>
      </c>
      <c r="R80" s="33">
        <f t="shared" si="63"/>
        <v>522.5999999999998</v>
      </c>
      <c r="S80" s="33">
        <f t="shared" si="64"/>
        <v>318.78599999999989</v>
      </c>
      <c r="T80" s="33">
        <f t="shared" si="45"/>
        <v>75.10070150198348</v>
      </c>
      <c r="U80" s="33">
        <f t="shared" si="58"/>
        <v>70</v>
      </c>
      <c r="V80" s="33">
        <f t="shared" si="46"/>
        <v>10</v>
      </c>
      <c r="W80" s="33">
        <v>0</v>
      </c>
      <c r="X80" s="33">
        <f t="shared" si="47"/>
        <v>979.35267178262109</v>
      </c>
      <c r="Y80" s="38">
        <f t="shared" si="48"/>
        <v>722.68600511595446</v>
      </c>
      <c r="AA80" s="71">
        <v>75</v>
      </c>
      <c r="AB80" s="33">
        <f t="shared" si="49"/>
        <v>0</v>
      </c>
      <c r="AC80" s="308">
        <f t="shared" si="39"/>
        <v>0</v>
      </c>
      <c r="AD80" s="101">
        <f t="shared" si="50"/>
        <v>0</v>
      </c>
      <c r="AE80" s="101">
        <f t="shared" si="51"/>
        <v>0</v>
      </c>
      <c r="AF80" s="197">
        <f t="shared" si="34"/>
        <v>47.491314288582878</v>
      </c>
      <c r="AG80" s="197">
        <f t="shared" si="35"/>
        <v>0</v>
      </c>
      <c r="AH80" s="197">
        <f t="shared" si="36"/>
        <v>0</v>
      </c>
      <c r="AI80" s="202">
        <f t="shared" si="37"/>
        <v>47.491314288582878</v>
      </c>
      <c r="AK80" s="71">
        <v>75</v>
      </c>
      <c r="AL80" s="33">
        <f t="shared" si="52"/>
        <v>0</v>
      </c>
      <c r="AM80" s="33">
        <f t="shared" si="53"/>
        <v>0</v>
      </c>
      <c r="AN80" s="33">
        <f t="shared" si="54"/>
        <v>0</v>
      </c>
      <c r="AO80" s="33">
        <f t="shared" si="55"/>
        <v>0</v>
      </c>
      <c r="AP80" s="33">
        <f t="shared" si="56"/>
        <v>0</v>
      </c>
      <c r="AQ80" s="197">
        <f t="shared" si="40"/>
        <v>0</v>
      </c>
      <c r="AR80" s="197">
        <f t="shared" si="40"/>
        <v>0</v>
      </c>
      <c r="AS80" s="197">
        <f t="shared" si="40"/>
        <v>0</v>
      </c>
      <c r="AT80" s="197">
        <f t="shared" si="40"/>
        <v>0</v>
      </c>
      <c r="AU80" s="33"/>
      <c r="AV80" s="33"/>
      <c r="AW80" s="33"/>
      <c r="AX80" s="33"/>
      <c r="AY80" s="76"/>
    </row>
    <row r="81" spans="1:51">
      <c r="A81" t="s">
        <v>194</v>
      </c>
      <c r="B81" s="142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7"/>
      <c r="I81" s="55">
        <v>76</v>
      </c>
      <c r="J81" s="33">
        <f t="shared" si="59"/>
        <v>0</v>
      </c>
      <c r="K81" s="33">
        <f t="shared" si="60"/>
        <v>0</v>
      </c>
      <c r="L81" s="33">
        <f t="shared" si="61"/>
        <v>70</v>
      </c>
      <c r="M81" s="33">
        <f t="shared" si="62"/>
        <v>0</v>
      </c>
      <c r="N81" s="33">
        <f t="shared" si="43"/>
        <v>0</v>
      </c>
      <c r="O81" s="34">
        <f t="shared" si="44"/>
        <v>256.66666666666669</v>
      </c>
      <c r="P81" s="55">
        <v>76</v>
      </c>
      <c r="Q81" s="33">
        <f t="shared" si="57"/>
        <v>-43.680000000000007</v>
      </c>
      <c r="R81" s="33">
        <f t="shared" si="63"/>
        <v>478.91999999999979</v>
      </c>
      <c r="S81" s="33">
        <f t="shared" si="64"/>
        <v>292.14119999999986</v>
      </c>
      <c r="T81" s="33">
        <f t="shared" si="45"/>
        <v>69.526420504752267</v>
      </c>
      <c r="U81" s="33">
        <f t="shared" si="58"/>
        <v>70</v>
      </c>
      <c r="V81" s="33">
        <f t="shared" si="46"/>
        <v>10</v>
      </c>
      <c r="W81" s="33">
        <v>0</v>
      </c>
      <c r="X81" s="33">
        <f t="shared" si="47"/>
        <v>923.23777237910997</v>
      </c>
      <c r="Y81" s="38">
        <f t="shared" si="48"/>
        <v>666.57110571244334</v>
      </c>
      <c r="AA81" s="71">
        <v>76</v>
      </c>
      <c r="AB81" s="33">
        <f t="shared" si="49"/>
        <v>28</v>
      </c>
      <c r="AC81" s="308">
        <f t="shared" si="39"/>
        <v>0.45</v>
      </c>
      <c r="AD81" s="101">
        <f t="shared" si="50"/>
        <v>0</v>
      </c>
      <c r="AE81" s="101">
        <f t="shared" si="51"/>
        <v>0</v>
      </c>
      <c r="AF81" s="197">
        <f t="shared" si="34"/>
        <v>59.814805308086044</v>
      </c>
      <c r="AG81" s="197">
        <f t="shared" si="35"/>
        <v>0</v>
      </c>
      <c r="AH81" s="197">
        <f t="shared" si="36"/>
        <v>0</v>
      </c>
      <c r="AI81" s="202">
        <f t="shared" si="37"/>
        <v>59.814805308086044</v>
      </c>
      <c r="AK81" s="71">
        <v>76</v>
      </c>
      <c r="AL81" s="33">
        <f t="shared" si="52"/>
        <v>28</v>
      </c>
      <c r="AM81" s="33">
        <f t="shared" si="53"/>
        <v>0.9</v>
      </c>
      <c r="AN81" s="33">
        <f t="shared" si="54"/>
        <v>0</v>
      </c>
      <c r="AO81" s="33">
        <f t="shared" si="55"/>
        <v>0</v>
      </c>
      <c r="AP81" s="33">
        <f t="shared" si="56"/>
        <v>9.9999999999999978E-2</v>
      </c>
      <c r="AQ81" s="197">
        <f t="shared" si="40"/>
        <v>25.2</v>
      </c>
      <c r="AR81" s="197">
        <f t="shared" si="40"/>
        <v>0</v>
      </c>
      <c r="AS81" s="197">
        <f t="shared" si="40"/>
        <v>0</v>
      </c>
      <c r="AT81" s="197">
        <f t="shared" si="40"/>
        <v>2.7999999999999994</v>
      </c>
      <c r="AU81" s="33"/>
      <c r="AV81" s="33"/>
      <c r="AW81" s="33"/>
      <c r="AX81" s="33"/>
      <c r="AY81" s="76"/>
    </row>
    <row r="82" spans="1:51">
      <c r="A82" t="s">
        <v>193</v>
      </c>
      <c r="B82" s="173">
        <f>IF(C25&lt;=$F$18,C25+1,"-")</f>
        <v>21</v>
      </c>
      <c r="C82" s="148">
        <f>D25-D26</f>
        <v>0</v>
      </c>
      <c r="D82" s="149">
        <v>0</v>
      </c>
      <c r="E82" s="174">
        <f>IF(G82+D82&lt;&gt;1,(1-(G82+D82))*56%,0)</f>
        <v>0</v>
      </c>
      <c r="F82" s="174">
        <f>IF(G82+D82&lt;&gt;1,(1-(G82+D82))*44%,0)</f>
        <v>0</v>
      </c>
      <c r="G82" s="150">
        <f>1-D82</f>
        <v>1</v>
      </c>
      <c r="H82" s="58">
        <f t="shared" ref="H82:H94" si="65">IF(C82=0,0,IF(SUM(D82:G82)&lt;&gt;1,"erreur",))</f>
        <v>0</v>
      </c>
      <c r="I82" s="55">
        <v>77</v>
      </c>
      <c r="J82" s="33">
        <f t="shared" si="59"/>
        <v>0</v>
      </c>
      <c r="K82" s="33">
        <f t="shared" si="60"/>
        <v>0</v>
      </c>
      <c r="L82" s="33">
        <f t="shared" si="61"/>
        <v>70</v>
      </c>
      <c r="M82" s="33">
        <f t="shared" si="62"/>
        <v>0</v>
      </c>
      <c r="N82" s="33">
        <f t="shared" si="43"/>
        <v>0</v>
      </c>
      <c r="O82" s="34">
        <f t="shared" si="44"/>
        <v>256.66666666666669</v>
      </c>
      <c r="P82" s="55">
        <v>77</v>
      </c>
      <c r="Q82" s="33">
        <f t="shared" si="57"/>
        <v>17.160000000000011</v>
      </c>
      <c r="R82" s="33">
        <f t="shared" si="63"/>
        <v>496.07999999999981</v>
      </c>
      <c r="S82" s="33">
        <f t="shared" si="64"/>
        <v>302.60879999999986</v>
      </c>
      <c r="T82" s="33">
        <f t="shared" si="45"/>
        <v>71.723092260023748</v>
      </c>
      <c r="U82" s="33">
        <f t="shared" si="58"/>
        <v>70</v>
      </c>
      <c r="V82" s="33">
        <f t="shared" si="46"/>
        <v>10</v>
      </c>
      <c r="W82" s="33">
        <v>0</v>
      </c>
      <c r="X82" s="33">
        <f t="shared" si="47"/>
        <v>945.2947123528744</v>
      </c>
      <c r="Y82" s="38">
        <f t="shared" si="48"/>
        <v>688.62804568620777</v>
      </c>
      <c r="AA82" s="71">
        <v>77</v>
      </c>
      <c r="AB82" s="33">
        <f t="shared" si="49"/>
        <v>0</v>
      </c>
      <c r="AC82" s="308">
        <f t="shared" si="39"/>
        <v>0</v>
      </c>
      <c r="AD82" s="101">
        <f t="shared" si="50"/>
        <v>0</v>
      </c>
      <c r="AE82" s="101">
        <f t="shared" si="51"/>
        <v>0</v>
      </c>
      <c r="AF82" s="197">
        <f t="shared" si="34"/>
        <v>58.641873459423273</v>
      </c>
      <c r="AG82" s="197">
        <f t="shared" si="35"/>
        <v>0</v>
      </c>
      <c r="AH82" s="197">
        <f t="shared" si="36"/>
        <v>0</v>
      </c>
      <c r="AI82" s="202">
        <f t="shared" si="37"/>
        <v>58.641873459423273</v>
      </c>
      <c r="AK82" s="71">
        <v>77</v>
      </c>
      <c r="AL82" s="33">
        <f t="shared" si="52"/>
        <v>0</v>
      </c>
      <c r="AM82" s="33">
        <f t="shared" si="53"/>
        <v>0</v>
      </c>
      <c r="AN82" s="33">
        <f t="shared" si="54"/>
        <v>0</v>
      </c>
      <c r="AO82" s="33">
        <f t="shared" si="55"/>
        <v>0</v>
      </c>
      <c r="AP82" s="33">
        <f t="shared" si="56"/>
        <v>0</v>
      </c>
      <c r="AQ82" s="197">
        <f t="shared" si="40"/>
        <v>0</v>
      </c>
      <c r="AR82" s="197">
        <f t="shared" si="40"/>
        <v>0</v>
      </c>
      <c r="AS82" s="197">
        <f t="shared" si="40"/>
        <v>0</v>
      </c>
      <c r="AT82" s="197">
        <f t="shared" si="40"/>
        <v>0</v>
      </c>
      <c r="AU82" s="33"/>
      <c r="AV82" s="33"/>
      <c r="AW82" s="33"/>
      <c r="AX82" s="33"/>
      <c r="AY82" s="76"/>
    </row>
    <row r="83" spans="1:51">
      <c r="A83" t="s">
        <v>193</v>
      </c>
      <c r="B83" s="175">
        <f>IF(C27&lt;=$F$18,C27+1,"-")</f>
        <v>26</v>
      </c>
      <c r="C83" s="151">
        <f>D27-D28</f>
        <v>7</v>
      </c>
      <c r="D83" s="152">
        <v>0</v>
      </c>
      <c r="E83" s="130">
        <f t="shared" ref="E83:E91" si="66">IF(G83+D83&lt;&gt;1,(1-(G83+D83))*56%,0)</f>
        <v>0</v>
      </c>
      <c r="F83" s="130">
        <f t="shared" ref="F83:F91" si="67">IF(G83+D83&lt;&gt;1,(1-(G83+D83))*44%,0)</f>
        <v>0</v>
      </c>
      <c r="G83" s="153">
        <f t="shared" ref="G83:G94" si="68">1-D83</f>
        <v>1</v>
      </c>
      <c r="H83" s="58">
        <f t="shared" si="65"/>
        <v>0</v>
      </c>
      <c r="I83" s="55">
        <v>78</v>
      </c>
      <c r="J83" s="33">
        <f t="shared" si="59"/>
        <v>0</v>
      </c>
      <c r="K83" s="33">
        <f t="shared" si="60"/>
        <v>0</v>
      </c>
      <c r="L83" s="33">
        <f t="shared" si="61"/>
        <v>70</v>
      </c>
      <c r="M83" s="33">
        <f t="shared" si="62"/>
        <v>0</v>
      </c>
      <c r="N83" s="33">
        <f t="shared" si="43"/>
        <v>0</v>
      </c>
      <c r="O83" s="34">
        <f t="shared" si="44"/>
        <v>256.66666666666669</v>
      </c>
      <c r="P83" s="55">
        <v>78</v>
      </c>
      <c r="Q83" s="33">
        <f t="shared" si="57"/>
        <v>17.160000000000011</v>
      </c>
      <c r="R83" s="33">
        <f t="shared" si="63"/>
        <v>513.23999999999978</v>
      </c>
      <c r="S83" s="33">
        <f t="shared" si="64"/>
        <v>313.07639999999986</v>
      </c>
      <c r="T83" s="33">
        <f t="shared" si="45"/>
        <v>73.910935225404216</v>
      </c>
      <c r="U83" s="33">
        <f t="shared" si="58"/>
        <v>70</v>
      </c>
      <c r="V83" s="33">
        <f t="shared" si="46"/>
        <v>10</v>
      </c>
      <c r="W83" s="33">
        <v>0</v>
      </c>
      <c r="X83" s="33">
        <f t="shared" si="47"/>
        <v>967.33627551757854</v>
      </c>
      <c r="Y83" s="38">
        <f t="shared" si="48"/>
        <v>710.6696088509118</v>
      </c>
      <c r="AA83" s="71">
        <v>78</v>
      </c>
      <c r="AB83" s="33">
        <f t="shared" si="49"/>
        <v>0</v>
      </c>
      <c r="AC83" s="308">
        <f t="shared" si="39"/>
        <v>0</v>
      </c>
      <c r="AD83" s="101">
        <f t="shared" si="50"/>
        <v>0</v>
      </c>
      <c r="AE83" s="101">
        <f t="shared" si="51"/>
        <v>0</v>
      </c>
      <c r="AF83" s="197">
        <f t="shared" si="34"/>
        <v>57.491942088894994</v>
      </c>
      <c r="AG83" s="197">
        <f t="shared" si="35"/>
        <v>0</v>
      </c>
      <c r="AH83" s="197">
        <f t="shared" si="36"/>
        <v>0</v>
      </c>
      <c r="AI83" s="202">
        <f t="shared" si="37"/>
        <v>57.491942088894994</v>
      </c>
      <c r="AK83" s="71">
        <v>78</v>
      </c>
      <c r="AL83" s="33">
        <f t="shared" si="52"/>
        <v>0</v>
      </c>
      <c r="AM83" s="33">
        <f t="shared" si="53"/>
        <v>0</v>
      </c>
      <c r="AN83" s="33">
        <f t="shared" si="54"/>
        <v>0</v>
      </c>
      <c r="AO83" s="33">
        <f t="shared" si="55"/>
        <v>0</v>
      </c>
      <c r="AP83" s="33">
        <f t="shared" si="56"/>
        <v>0</v>
      </c>
      <c r="AQ83" s="197">
        <f t="shared" si="40"/>
        <v>0</v>
      </c>
      <c r="AR83" s="197">
        <f t="shared" si="40"/>
        <v>0</v>
      </c>
      <c r="AS83" s="197">
        <f t="shared" si="40"/>
        <v>0</v>
      </c>
      <c r="AT83" s="197">
        <f t="shared" si="40"/>
        <v>0</v>
      </c>
      <c r="AU83" s="33"/>
      <c r="AV83" s="33"/>
      <c r="AW83" s="33"/>
      <c r="AX83" s="33"/>
      <c r="AY83" s="76"/>
    </row>
    <row r="84" spans="1:51">
      <c r="A84" t="s">
        <v>193</v>
      </c>
      <c r="B84" s="190">
        <f>IF(C29&lt;=$F$18,C29+1,"-")</f>
        <v>31</v>
      </c>
      <c r="C84" s="151">
        <f>D29-D30</f>
        <v>28</v>
      </c>
      <c r="D84" s="152">
        <v>0</v>
      </c>
      <c r="E84" s="130">
        <f t="shared" si="66"/>
        <v>0</v>
      </c>
      <c r="F84" s="130">
        <f t="shared" si="67"/>
        <v>0</v>
      </c>
      <c r="G84" s="153">
        <f t="shared" si="68"/>
        <v>1</v>
      </c>
      <c r="H84" s="58">
        <f t="shared" si="65"/>
        <v>0</v>
      </c>
      <c r="I84" s="55">
        <v>79</v>
      </c>
      <c r="J84" s="33">
        <f t="shared" si="59"/>
        <v>0</v>
      </c>
      <c r="K84" s="33">
        <f t="shared" si="60"/>
        <v>0</v>
      </c>
      <c r="L84" s="33">
        <f t="shared" si="61"/>
        <v>70</v>
      </c>
      <c r="M84" s="33">
        <f t="shared" si="62"/>
        <v>0</v>
      </c>
      <c r="N84" s="33">
        <f t="shared" si="43"/>
        <v>0</v>
      </c>
      <c r="O84" s="34">
        <f t="shared" si="44"/>
        <v>256.66666666666669</v>
      </c>
      <c r="P84" s="55">
        <v>79</v>
      </c>
      <c r="Q84" s="33">
        <f t="shared" si="57"/>
        <v>17.160000000000011</v>
      </c>
      <c r="R84" s="33">
        <f t="shared" si="63"/>
        <v>530.39999999999975</v>
      </c>
      <c r="S84" s="33">
        <f t="shared" si="64"/>
        <v>323.54399999999981</v>
      </c>
      <c r="T84" s="33">
        <f t="shared" si="45"/>
        <v>76.090278432310924</v>
      </c>
      <c r="U84" s="33">
        <f t="shared" si="58"/>
        <v>70</v>
      </c>
      <c r="V84" s="33">
        <f t="shared" si="46"/>
        <v>10</v>
      </c>
      <c r="W84" s="33">
        <v>0</v>
      </c>
      <c r="X84" s="33">
        <f t="shared" si="47"/>
        <v>989.3630349362744</v>
      </c>
      <c r="Y84" s="38">
        <f t="shared" si="48"/>
        <v>732.69636826960777</v>
      </c>
      <c r="AA84" s="71">
        <v>79</v>
      </c>
      <c r="AB84" s="33">
        <f t="shared" si="49"/>
        <v>0</v>
      </c>
      <c r="AC84" s="308">
        <f t="shared" si="39"/>
        <v>0</v>
      </c>
      <c r="AD84" s="101">
        <f t="shared" si="50"/>
        <v>0</v>
      </c>
      <c r="AE84" s="101">
        <f t="shared" si="51"/>
        <v>0</v>
      </c>
      <c r="AF84" s="197">
        <f t="shared" si="34"/>
        <v>56.364560171153897</v>
      </c>
      <c r="AG84" s="197">
        <f t="shared" si="35"/>
        <v>0</v>
      </c>
      <c r="AH84" s="197">
        <f t="shared" si="36"/>
        <v>0</v>
      </c>
      <c r="AI84" s="202">
        <f t="shared" si="37"/>
        <v>56.364560171153897</v>
      </c>
      <c r="AK84" s="71">
        <v>79</v>
      </c>
      <c r="AL84" s="33">
        <f t="shared" si="52"/>
        <v>0</v>
      </c>
      <c r="AM84" s="33">
        <f t="shared" si="53"/>
        <v>0</v>
      </c>
      <c r="AN84" s="33">
        <f t="shared" si="54"/>
        <v>0</v>
      </c>
      <c r="AO84" s="33">
        <f t="shared" si="55"/>
        <v>0</v>
      </c>
      <c r="AP84" s="33">
        <f t="shared" si="56"/>
        <v>0</v>
      </c>
      <c r="AQ84" s="197">
        <f t="shared" si="40"/>
        <v>0</v>
      </c>
      <c r="AR84" s="197">
        <f t="shared" si="40"/>
        <v>0</v>
      </c>
      <c r="AS84" s="197">
        <f t="shared" si="40"/>
        <v>0</v>
      </c>
      <c r="AT84" s="197">
        <f t="shared" si="40"/>
        <v>0</v>
      </c>
      <c r="AU84" s="33"/>
      <c r="AV84" s="33"/>
      <c r="AW84" s="33"/>
      <c r="AX84" s="33"/>
      <c r="AY84" s="76"/>
    </row>
    <row r="85" spans="1:51">
      <c r="A85" t="s">
        <v>193</v>
      </c>
      <c r="B85" s="175">
        <f>IF(C31&lt;=$F$18,C31+1,"-")</f>
        <v>36</v>
      </c>
      <c r="C85" s="151">
        <f>D31-D32</f>
        <v>28</v>
      </c>
      <c r="D85" s="152">
        <v>0.2</v>
      </c>
      <c r="E85" s="130">
        <f t="shared" si="66"/>
        <v>0</v>
      </c>
      <c r="F85" s="130">
        <f t="shared" si="67"/>
        <v>0</v>
      </c>
      <c r="G85" s="153">
        <f t="shared" si="68"/>
        <v>0.8</v>
      </c>
      <c r="H85" s="58">
        <f t="shared" si="65"/>
        <v>0</v>
      </c>
      <c r="I85" s="55">
        <v>80</v>
      </c>
      <c r="J85" s="33">
        <f t="shared" si="59"/>
        <v>0</v>
      </c>
      <c r="K85" s="33">
        <f t="shared" si="60"/>
        <v>0</v>
      </c>
      <c r="L85" s="33">
        <f t="shared" si="61"/>
        <v>70</v>
      </c>
      <c r="M85" s="33">
        <f t="shared" si="62"/>
        <v>0</v>
      </c>
      <c r="N85" s="33">
        <f t="shared" si="43"/>
        <v>0</v>
      </c>
      <c r="O85" s="34">
        <f t="shared" si="44"/>
        <v>256.66666666666669</v>
      </c>
      <c r="P85" s="55">
        <v>80</v>
      </c>
      <c r="Q85" s="33">
        <f t="shared" si="57"/>
        <v>17.160000000000011</v>
      </c>
      <c r="R85" s="33">
        <f t="shared" si="63"/>
        <v>547.55999999999972</v>
      </c>
      <c r="S85" s="33">
        <f t="shared" si="64"/>
        <v>334.01159999999982</v>
      </c>
      <c r="T85" s="33">
        <f t="shared" si="45"/>
        <v>78.261428413244502</v>
      </c>
      <c r="U85" s="33">
        <f t="shared" si="58"/>
        <v>70</v>
      </c>
      <c r="V85" s="33">
        <f t="shared" si="46"/>
        <v>10</v>
      </c>
      <c r="W85" s="33">
        <v>0</v>
      </c>
      <c r="X85" s="33">
        <f t="shared" si="47"/>
        <v>1011.3755244864005</v>
      </c>
      <c r="Y85" s="38">
        <f t="shared" si="48"/>
        <v>754.70885781973379</v>
      </c>
      <c r="AA85" s="71">
        <v>80</v>
      </c>
      <c r="AB85" s="33">
        <f t="shared" si="49"/>
        <v>0</v>
      </c>
      <c r="AC85" s="308">
        <f t="shared" si="39"/>
        <v>0</v>
      </c>
      <c r="AD85" s="101">
        <f t="shared" si="50"/>
        <v>0</v>
      </c>
      <c r="AE85" s="101">
        <f t="shared" si="51"/>
        <v>0</v>
      </c>
      <c r="AF85" s="197">
        <f t="shared" si="34"/>
        <v>55.25928552518463</v>
      </c>
      <c r="AG85" s="197">
        <f t="shared" si="35"/>
        <v>0</v>
      </c>
      <c r="AH85" s="197">
        <f t="shared" si="36"/>
        <v>0</v>
      </c>
      <c r="AI85" s="202">
        <f t="shared" si="37"/>
        <v>55.25928552518463</v>
      </c>
      <c r="AK85" s="71">
        <v>80</v>
      </c>
      <c r="AL85" s="33">
        <f t="shared" si="52"/>
        <v>0</v>
      </c>
      <c r="AM85" s="33">
        <f t="shared" si="53"/>
        <v>0</v>
      </c>
      <c r="AN85" s="33">
        <f t="shared" si="54"/>
        <v>0</v>
      </c>
      <c r="AO85" s="33">
        <f t="shared" si="55"/>
        <v>0</v>
      </c>
      <c r="AP85" s="33">
        <f t="shared" si="56"/>
        <v>0</v>
      </c>
      <c r="AQ85" s="197">
        <f t="shared" si="40"/>
        <v>0</v>
      </c>
      <c r="AR85" s="197">
        <f t="shared" si="40"/>
        <v>0</v>
      </c>
      <c r="AS85" s="197">
        <f t="shared" si="40"/>
        <v>0</v>
      </c>
      <c r="AT85" s="197">
        <f t="shared" si="40"/>
        <v>0</v>
      </c>
      <c r="AU85" s="33"/>
      <c r="AV85" s="33"/>
      <c r="AW85" s="33"/>
      <c r="AX85" s="33"/>
      <c r="AY85" s="76"/>
    </row>
    <row r="86" spans="1:51">
      <c r="A86" t="s">
        <v>193</v>
      </c>
      <c r="B86" s="175">
        <f>IF(C33&lt;=$F$18,C33+1,"-")</f>
        <v>41</v>
      </c>
      <c r="C86" s="151">
        <f>D33-D34</f>
        <v>28</v>
      </c>
      <c r="D86" s="152">
        <v>0.3</v>
      </c>
      <c r="E86" s="130">
        <f t="shared" si="66"/>
        <v>0</v>
      </c>
      <c r="F86" s="130">
        <f t="shared" si="67"/>
        <v>0</v>
      </c>
      <c r="G86" s="153">
        <f t="shared" si="68"/>
        <v>0.7</v>
      </c>
      <c r="H86" s="58">
        <f t="shared" si="65"/>
        <v>0</v>
      </c>
      <c r="I86" s="55">
        <v>81</v>
      </c>
      <c r="J86" s="33">
        <f t="shared" si="59"/>
        <v>0</v>
      </c>
      <c r="K86" s="33">
        <f t="shared" si="60"/>
        <v>0</v>
      </c>
      <c r="L86" s="33">
        <f t="shared" si="61"/>
        <v>70</v>
      </c>
      <c r="M86" s="33">
        <f t="shared" si="62"/>
        <v>0</v>
      </c>
      <c r="N86" s="33">
        <f t="shared" si="43"/>
        <v>0</v>
      </c>
      <c r="O86" s="34">
        <f t="shared" si="44"/>
        <v>256.66666666666669</v>
      </c>
      <c r="P86" s="55">
        <v>81</v>
      </c>
      <c r="Q86" s="33">
        <f t="shared" si="57"/>
        <v>-43.680000000000064</v>
      </c>
      <c r="R86" s="33">
        <f t="shared" si="63"/>
        <v>503.87999999999965</v>
      </c>
      <c r="S86" s="33">
        <f t="shared" si="64"/>
        <v>307.36679999999978</v>
      </c>
      <c r="T86" s="33">
        <f t="shared" si="45"/>
        <v>72.718640486230171</v>
      </c>
      <c r="U86" s="33">
        <f t="shared" si="58"/>
        <v>70</v>
      </c>
      <c r="V86" s="33">
        <f t="shared" si="46"/>
        <v>10</v>
      </c>
      <c r="W86" s="33">
        <v>0</v>
      </c>
      <c r="X86" s="33">
        <f t="shared" si="47"/>
        <v>955.31547551351707</v>
      </c>
      <c r="Y86" s="38">
        <f t="shared" si="48"/>
        <v>698.64880884685044</v>
      </c>
      <c r="AA86" s="71">
        <v>81</v>
      </c>
      <c r="AB86" s="33">
        <f t="shared" si="49"/>
        <v>0</v>
      </c>
      <c r="AC86" s="308">
        <f t="shared" si="39"/>
        <v>0</v>
      </c>
      <c r="AD86" s="101">
        <f t="shared" si="50"/>
        <v>0</v>
      </c>
      <c r="AE86" s="101">
        <f t="shared" si="51"/>
        <v>0</v>
      </c>
      <c r="AF86" s="197">
        <f t="shared" si="34"/>
        <v>54.175684640871857</v>
      </c>
      <c r="AG86" s="197">
        <f t="shared" si="35"/>
        <v>0</v>
      </c>
      <c r="AH86" s="197">
        <f t="shared" si="36"/>
        <v>0</v>
      </c>
      <c r="AI86" s="202">
        <f t="shared" si="37"/>
        <v>54.175684640871857</v>
      </c>
      <c r="AK86" s="71">
        <v>81</v>
      </c>
      <c r="AL86" s="33">
        <f t="shared" si="52"/>
        <v>0</v>
      </c>
      <c r="AM86" s="33">
        <f t="shared" si="53"/>
        <v>0</v>
      </c>
      <c r="AN86" s="33">
        <f t="shared" si="54"/>
        <v>0</v>
      </c>
      <c r="AO86" s="33">
        <f t="shared" si="55"/>
        <v>0</v>
      </c>
      <c r="AP86" s="33">
        <f t="shared" si="56"/>
        <v>0</v>
      </c>
      <c r="AQ86" s="197">
        <f t="shared" si="40"/>
        <v>0</v>
      </c>
      <c r="AR86" s="197">
        <f t="shared" si="40"/>
        <v>0</v>
      </c>
      <c r="AS86" s="197">
        <f t="shared" si="40"/>
        <v>0</v>
      </c>
      <c r="AT86" s="197">
        <f t="shared" si="40"/>
        <v>0</v>
      </c>
      <c r="AU86" s="33"/>
      <c r="AV86" s="33"/>
      <c r="AW86" s="33"/>
      <c r="AX86" s="33"/>
      <c r="AY86" s="76"/>
    </row>
    <row r="87" spans="1:51">
      <c r="A87" t="s">
        <v>193</v>
      </c>
      <c r="B87" s="175">
        <f>IF(C35&lt;=$F$18,C35+1,"-")</f>
        <v>46</v>
      </c>
      <c r="C87" s="151">
        <f>D35-D36</f>
        <v>28</v>
      </c>
      <c r="D87" s="152">
        <v>0.4</v>
      </c>
      <c r="E87" s="130">
        <f t="shared" si="66"/>
        <v>0</v>
      </c>
      <c r="F87" s="130">
        <f t="shared" si="67"/>
        <v>0</v>
      </c>
      <c r="G87" s="153">
        <f t="shared" si="68"/>
        <v>0.6</v>
      </c>
      <c r="H87" s="58">
        <f t="shared" si="65"/>
        <v>0</v>
      </c>
      <c r="I87" s="55">
        <v>82</v>
      </c>
      <c r="J87" s="33">
        <f t="shared" si="59"/>
        <v>0</v>
      </c>
      <c r="K87" s="33">
        <f t="shared" si="60"/>
        <v>0</v>
      </c>
      <c r="L87" s="33">
        <f t="shared" si="61"/>
        <v>70</v>
      </c>
      <c r="M87" s="33">
        <f t="shared" si="62"/>
        <v>0</v>
      </c>
      <c r="N87" s="33">
        <f t="shared" si="43"/>
        <v>0</v>
      </c>
      <c r="O87" s="34">
        <f t="shared" si="44"/>
        <v>256.66666666666669</v>
      </c>
      <c r="P87" s="55">
        <v>82</v>
      </c>
      <c r="Q87" s="33">
        <f t="shared" si="57"/>
        <v>16.379999999999995</v>
      </c>
      <c r="R87" s="33">
        <f t="shared" si="63"/>
        <v>520.25999999999965</v>
      </c>
      <c r="S87" s="33">
        <f t="shared" si="64"/>
        <v>317.3585999999998</v>
      </c>
      <c r="T87" s="33">
        <f t="shared" si="45"/>
        <v>74.803494181017641</v>
      </c>
      <c r="U87" s="33">
        <f t="shared" si="58"/>
        <v>70</v>
      </c>
      <c r="V87" s="33">
        <f t="shared" si="46"/>
        <v>10</v>
      </c>
      <c r="W87" s="33">
        <v>0</v>
      </c>
      <c r="X87" s="33">
        <f t="shared" si="47"/>
        <v>976.34898069860537</v>
      </c>
      <c r="Y87" s="38">
        <f t="shared" si="48"/>
        <v>719.68231403193863</v>
      </c>
      <c r="AA87" s="71">
        <v>82</v>
      </c>
      <c r="AB87" s="33">
        <f t="shared" si="49"/>
        <v>0</v>
      </c>
      <c r="AC87" s="308">
        <f t="shared" si="39"/>
        <v>0</v>
      </c>
      <c r="AD87" s="101">
        <f t="shared" si="50"/>
        <v>0</v>
      </c>
      <c r="AE87" s="101">
        <f t="shared" si="51"/>
        <v>0</v>
      </c>
      <c r="AF87" s="197">
        <f t="shared" si="34"/>
        <v>53.113332508969179</v>
      </c>
      <c r="AG87" s="197">
        <f t="shared" si="35"/>
        <v>0</v>
      </c>
      <c r="AH87" s="197">
        <f t="shared" si="36"/>
        <v>0</v>
      </c>
      <c r="AI87" s="202">
        <f t="shared" si="37"/>
        <v>53.113332508969179</v>
      </c>
      <c r="AK87" s="71">
        <v>82</v>
      </c>
      <c r="AL87" s="33">
        <f t="shared" si="52"/>
        <v>0</v>
      </c>
      <c r="AM87" s="33">
        <f t="shared" si="53"/>
        <v>0</v>
      </c>
      <c r="AN87" s="33">
        <f t="shared" si="54"/>
        <v>0</v>
      </c>
      <c r="AO87" s="33">
        <f t="shared" si="55"/>
        <v>0</v>
      </c>
      <c r="AP87" s="33">
        <f t="shared" si="56"/>
        <v>0</v>
      </c>
      <c r="AQ87" s="197">
        <f t="shared" si="40"/>
        <v>0</v>
      </c>
      <c r="AR87" s="197">
        <f t="shared" si="40"/>
        <v>0</v>
      </c>
      <c r="AS87" s="197">
        <f t="shared" si="40"/>
        <v>0</v>
      </c>
      <c r="AT87" s="197">
        <f t="shared" si="40"/>
        <v>0</v>
      </c>
      <c r="AU87" s="33"/>
      <c r="AV87" s="33"/>
      <c r="AW87" s="33"/>
      <c r="AX87" s="33"/>
      <c r="AY87" s="76"/>
    </row>
    <row r="88" spans="1:51">
      <c r="A88" t="s">
        <v>193</v>
      </c>
      <c r="B88" s="175">
        <f>IF(C37&lt;=$F$18,C37+1,"-")</f>
        <v>51</v>
      </c>
      <c r="C88" s="151">
        <f>D37-D38</f>
        <v>28</v>
      </c>
      <c r="D88" s="152">
        <v>0.5</v>
      </c>
      <c r="E88" s="130">
        <f t="shared" si="66"/>
        <v>0</v>
      </c>
      <c r="F88" s="130">
        <f t="shared" si="67"/>
        <v>0</v>
      </c>
      <c r="G88" s="153">
        <f t="shared" si="68"/>
        <v>0.5</v>
      </c>
      <c r="H88" s="58">
        <f t="shared" si="65"/>
        <v>0</v>
      </c>
      <c r="I88" s="55">
        <v>83</v>
      </c>
      <c r="J88" s="33">
        <f t="shared" si="59"/>
        <v>0</v>
      </c>
      <c r="K88" s="33">
        <f t="shared" si="60"/>
        <v>0</v>
      </c>
      <c r="L88" s="33">
        <f t="shared" si="61"/>
        <v>70</v>
      </c>
      <c r="M88" s="33">
        <f t="shared" si="62"/>
        <v>0</v>
      </c>
      <c r="N88" s="33">
        <f t="shared" si="43"/>
        <v>0</v>
      </c>
      <c r="O88" s="34">
        <f t="shared" si="44"/>
        <v>256.66666666666669</v>
      </c>
      <c r="P88" s="55">
        <v>83</v>
      </c>
      <c r="Q88" s="33">
        <f t="shared" si="57"/>
        <v>16.379999999999995</v>
      </c>
      <c r="R88" s="33">
        <f t="shared" si="63"/>
        <v>536.63999999999965</v>
      </c>
      <c r="S88" s="33">
        <f t="shared" si="64"/>
        <v>327.35039999999975</v>
      </c>
      <c r="T88" s="33">
        <f t="shared" si="45"/>
        <v>76.880720023332302</v>
      </c>
      <c r="U88" s="33">
        <f t="shared" si="58"/>
        <v>70</v>
      </c>
      <c r="V88" s="33">
        <f t="shared" si="46"/>
        <v>10</v>
      </c>
      <c r="W88" s="33">
        <v>0</v>
      </c>
      <c r="X88" s="33">
        <f t="shared" si="47"/>
        <v>997.36920070730332</v>
      </c>
      <c r="Y88" s="38">
        <f t="shared" si="48"/>
        <v>740.70253404063669</v>
      </c>
      <c r="AA88" s="71">
        <v>83</v>
      </c>
      <c r="AB88" s="33">
        <f t="shared" si="49"/>
        <v>0</v>
      </c>
      <c r="AC88" s="308">
        <f t="shared" si="39"/>
        <v>0</v>
      </c>
      <c r="AD88" s="101">
        <f t="shared" si="50"/>
        <v>0</v>
      </c>
      <c r="AE88" s="101">
        <f t="shared" si="51"/>
        <v>0</v>
      </c>
      <c r="AF88" s="197">
        <f t="shared" si="34"/>
        <v>52.071812454402291</v>
      </c>
      <c r="AG88" s="197">
        <f t="shared" si="35"/>
        <v>0</v>
      </c>
      <c r="AH88" s="197">
        <f t="shared" si="36"/>
        <v>0</v>
      </c>
      <c r="AI88" s="202">
        <f t="shared" si="37"/>
        <v>52.071812454402291</v>
      </c>
      <c r="AK88" s="71">
        <v>83</v>
      </c>
      <c r="AL88" s="33">
        <f t="shared" si="52"/>
        <v>0</v>
      </c>
      <c r="AM88" s="33">
        <f t="shared" si="53"/>
        <v>0</v>
      </c>
      <c r="AN88" s="33">
        <f t="shared" si="54"/>
        <v>0</v>
      </c>
      <c r="AO88" s="33">
        <f t="shared" si="55"/>
        <v>0</v>
      </c>
      <c r="AP88" s="33">
        <f t="shared" si="56"/>
        <v>0</v>
      </c>
      <c r="AQ88" s="197">
        <f t="shared" si="40"/>
        <v>0</v>
      </c>
      <c r="AR88" s="197">
        <f t="shared" si="40"/>
        <v>0</v>
      </c>
      <c r="AS88" s="197">
        <f t="shared" si="40"/>
        <v>0</v>
      </c>
      <c r="AT88" s="197">
        <f t="shared" si="40"/>
        <v>0</v>
      </c>
      <c r="AU88" s="33"/>
      <c r="AV88" s="33"/>
      <c r="AW88" s="33"/>
      <c r="AX88" s="33"/>
      <c r="AY88" s="76"/>
    </row>
    <row r="89" spans="1:51">
      <c r="A89" t="s">
        <v>193</v>
      </c>
      <c r="B89" s="175">
        <f>IF(C39&lt;=$F$18,C39+1,"-")</f>
        <v>56</v>
      </c>
      <c r="C89" s="151">
        <f>D39-D40</f>
        <v>28</v>
      </c>
      <c r="D89" s="152">
        <v>0.6</v>
      </c>
      <c r="E89" s="130">
        <f t="shared" si="66"/>
        <v>0</v>
      </c>
      <c r="F89" s="130">
        <f t="shared" si="67"/>
        <v>0</v>
      </c>
      <c r="G89" s="153">
        <f t="shared" si="68"/>
        <v>0.4</v>
      </c>
      <c r="H89" s="58">
        <f t="shared" si="65"/>
        <v>0</v>
      </c>
      <c r="I89" s="55">
        <v>84</v>
      </c>
      <c r="J89" s="33">
        <f t="shared" si="59"/>
        <v>0</v>
      </c>
      <c r="K89" s="33">
        <f t="shared" si="60"/>
        <v>0</v>
      </c>
      <c r="L89" s="33">
        <f t="shared" si="61"/>
        <v>70</v>
      </c>
      <c r="M89" s="33">
        <f t="shared" si="62"/>
        <v>0</v>
      </c>
      <c r="N89" s="33">
        <f t="shared" si="43"/>
        <v>0</v>
      </c>
      <c r="O89" s="34">
        <f t="shared" si="44"/>
        <v>256.66666666666669</v>
      </c>
      <c r="P89" s="55">
        <v>84</v>
      </c>
      <c r="Q89" s="33">
        <f t="shared" si="57"/>
        <v>16.379999999999995</v>
      </c>
      <c r="R89" s="33">
        <f t="shared" si="63"/>
        <v>553.01999999999964</v>
      </c>
      <c r="S89" s="33">
        <f t="shared" si="64"/>
        <v>337.34219999999976</v>
      </c>
      <c r="T89" s="33">
        <f t="shared" si="45"/>
        <v>78.950577561662001</v>
      </c>
      <c r="U89" s="33">
        <f t="shared" si="58"/>
        <v>70</v>
      </c>
      <c r="V89" s="33">
        <f t="shared" si="46"/>
        <v>10</v>
      </c>
      <c r="W89" s="33">
        <v>0</v>
      </c>
      <c r="X89" s="33">
        <f t="shared" si="47"/>
        <v>1018.376587586561</v>
      </c>
      <c r="Y89" s="38">
        <f t="shared" si="48"/>
        <v>761.70992091989433</v>
      </c>
      <c r="AA89" s="71">
        <v>84</v>
      </c>
      <c r="AB89" s="33">
        <f t="shared" si="49"/>
        <v>0</v>
      </c>
      <c r="AC89" s="308">
        <f t="shared" si="39"/>
        <v>0</v>
      </c>
      <c r="AD89" s="101">
        <f t="shared" si="50"/>
        <v>0</v>
      </c>
      <c r="AE89" s="101">
        <f t="shared" si="51"/>
        <v>0</v>
      </c>
      <c r="AF89" s="197">
        <f t="shared" si="34"/>
        <v>51.050715972840955</v>
      </c>
      <c r="AG89" s="197">
        <f t="shared" si="35"/>
        <v>0</v>
      </c>
      <c r="AH89" s="197">
        <f t="shared" si="36"/>
        <v>0</v>
      </c>
      <c r="AI89" s="202">
        <f t="shared" si="37"/>
        <v>51.050715972840955</v>
      </c>
      <c r="AK89" s="71">
        <v>84</v>
      </c>
      <c r="AL89" s="33">
        <f t="shared" si="52"/>
        <v>0</v>
      </c>
      <c r="AM89" s="33">
        <f t="shared" si="53"/>
        <v>0</v>
      </c>
      <c r="AN89" s="33">
        <f t="shared" si="54"/>
        <v>0</v>
      </c>
      <c r="AO89" s="33">
        <f t="shared" si="55"/>
        <v>0</v>
      </c>
      <c r="AP89" s="33">
        <f t="shared" si="56"/>
        <v>0</v>
      </c>
      <c r="AQ89" s="197">
        <f t="shared" si="40"/>
        <v>0</v>
      </c>
      <c r="AR89" s="197">
        <f t="shared" si="40"/>
        <v>0</v>
      </c>
      <c r="AS89" s="197">
        <f t="shared" si="40"/>
        <v>0</v>
      </c>
      <c r="AT89" s="197">
        <f t="shared" si="40"/>
        <v>0</v>
      </c>
      <c r="AU89" s="33"/>
      <c r="AV89" s="33"/>
      <c r="AW89" s="33"/>
      <c r="AX89" s="33"/>
      <c r="AY89" s="76"/>
    </row>
    <row r="90" spans="1:51">
      <c r="A90" t="s">
        <v>193</v>
      </c>
      <c r="B90" s="175">
        <f>IF(C41&lt;=$F$18,C41+1,"-")</f>
        <v>61</v>
      </c>
      <c r="C90" s="151">
        <f>D41-D42</f>
        <v>28</v>
      </c>
      <c r="D90" s="152">
        <v>0.7</v>
      </c>
      <c r="E90" s="130">
        <f t="shared" si="66"/>
        <v>0</v>
      </c>
      <c r="F90" s="130">
        <f t="shared" si="67"/>
        <v>0</v>
      </c>
      <c r="G90" s="153">
        <f t="shared" si="68"/>
        <v>0.30000000000000004</v>
      </c>
      <c r="H90" s="58">
        <f t="shared" si="65"/>
        <v>0</v>
      </c>
      <c r="I90" s="55">
        <v>85</v>
      </c>
      <c r="J90" s="33">
        <f t="shared" si="59"/>
        <v>0</v>
      </c>
      <c r="K90" s="33">
        <f t="shared" si="60"/>
        <v>0</v>
      </c>
      <c r="L90" s="33">
        <f t="shared" si="61"/>
        <v>70</v>
      </c>
      <c r="M90" s="33">
        <f t="shared" si="62"/>
        <v>0</v>
      </c>
      <c r="N90" s="33">
        <f t="shared" si="43"/>
        <v>0</v>
      </c>
      <c r="O90" s="34">
        <f t="shared" si="44"/>
        <v>256.66666666666669</v>
      </c>
      <c r="P90" s="55">
        <v>85</v>
      </c>
      <c r="Q90" s="33">
        <f t="shared" si="57"/>
        <v>16.379999999999995</v>
      </c>
      <c r="R90" s="33">
        <f t="shared" si="63"/>
        <v>569.39999999999964</v>
      </c>
      <c r="S90" s="33">
        <f t="shared" si="64"/>
        <v>347.33399999999978</v>
      </c>
      <c r="T90" s="33">
        <f t="shared" si="45"/>
        <v>81.013310095246069</v>
      </c>
      <c r="U90" s="33">
        <f t="shared" si="58"/>
        <v>70</v>
      </c>
      <c r="V90" s="33">
        <f t="shared" si="46"/>
        <v>10</v>
      </c>
      <c r="W90" s="33">
        <v>0</v>
      </c>
      <c r="X90" s="33">
        <f t="shared" si="47"/>
        <v>1039.3715650825532</v>
      </c>
      <c r="Y90" s="38">
        <f t="shared" si="48"/>
        <v>782.70489841588642</v>
      </c>
      <c r="AA90" s="71">
        <v>85</v>
      </c>
      <c r="AB90" s="33">
        <f t="shared" si="49"/>
        <v>0</v>
      </c>
      <c r="AC90" s="308">
        <f t="shared" si="39"/>
        <v>0</v>
      </c>
      <c r="AD90" s="101">
        <f t="shared" si="50"/>
        <v>0</v>
      </c>
      <c r="AE90" s="101">
        <f t="shared" si="51"/>
        <v>0</v>
      </c>
      <c r="AF90" s="197">
        <f t="shared" si="34"/>
        <v>50.049642570475676</v>
      </c>
      <c r="AG90" s="197">
        <f t="shared" si="35"/>
        <v>0</v>
      </c>
      <c r="AH90" s="197">
        <f t="shared" si="36"/>
        <v>0</v>
      </c>
      <c r="AI90" s="202">
        <f t="shared" si="37"/>
        <v>50.049642570475676</v>
      </c>
      <c r="AK90" s="71">
        <v>85</v>
      </c>
      <c r="AL90" s="33">
        <f t="shared" si="52"/>
        <v>0</v>
      </c>
      <c r="AM90" s="33">
        <f t="shared" si="53"/>
        <v>0</v>
      </c>
      <c r="AN90" s="33">
        <f t="shared" si="54"/>
        <v>0</v>
      </c>
      <c r="AO90" s="33">
        <f t="shared" si="55"/>
        <v>0</v>
      </c>
      <c r="AP90" s="33">
        <f t="shared" si="56"/>
        <v>0</v>
      </c>
      <c r="AQ90" s="197">
        <f t="shared" si="40"/>
        <v>0</v>
      </c>
      <c r="AR90" s="197">
        <f t="shared" si="40"/>
        <v>0</v>
      </c>
      <c r="AS90" s="197">
        <f t="shared" si="40"/>
        <v>0</v>
      </c>
      <c r="AT90" s="197">
        <f t="shared" si="40"/>
        <v>0</v>
      </c>
      <c r="AU90" s="33"/>
      <c r="AV90" s="33"/>
      <c r="AW90" s="33"/>
      <c r="AX90" s="33"/>
      <c r="AY90" s="76"/>
    </row>
    <row r="91" spans="1:51">
      <c r="A91" t="s">
        <v>193</v>
      </c>
      <c r="B91" s="175">
        <f>IF(C43&lt;=$F$18,C43+1,"-")</f>
        <v>66</v>
      </c>
      <c r="C91" s="151">
        <f>D43-D44</f>
        <v>28</v>
      </c>
      <c r="D91" s="152">
        <v>0.8</v>
      </c>
      <c r="E91" s="130">
        <f t="shared" si="66"/>
        <v>0</v>
      </c>
      <c r="F91" s="130">
        <f t="shared" si="67"/>
        <v>0</v>
      </c>
      <c r="G91" s="153">
        <f t="shared" si="68"/>
        <v>0.19999999999999996</v>
      </c>
      <c r="H91" s="58">
        <f t="shared" si="65"/>
        <v>0</v>
      </c>
      <c r="I91" s="55">
        <v>86</v>
      </c>
      <c r="J91" s="33">
        <f t="shared" si="59"/>
        <v>0</v>
      </c>
      <c r="K91" s="33">
        <f t="shared" si="60"/>
        <v>0</v>
      </c>
      <c r="L91" s="33">
        <f t="shared" si="61"/>
        <v>70</v>
      </c>
      <c r="M91" s="33">
        <f t="shared" si="62"/>
        <v>0</v>
      </c>
      <c r="N91" s="33">
        <f t="shared" si="43"/>
        <v>0</v>
      </c>
      <c r="O91" s="34">
        <f t="shared" si="44"/>
        <v>256.66666666666669</v>
      </c>
      <c r="P91" s="55">
        <v>86</v>
      </c>
      <c r="Q91" s="33">
        <f t="shared" si="57"/>
        <v>-42.120000000000005</v>
      </c>
      <c r="R91" s="33">
        <f t="shared" si="63"/>
        <v>527.27999999999963</v>
      </c>
      <c r="S91" s="33">
        <f t="shared" si="64"/>
        <v>321.64079999999979</v>
      </c>
      <c r="T91" s="33">
        <f t="shared" si="45"/>
        <v>75.694652325793157</v>
      </c>
      <c r="U91" s="33">
        <f t="shared" si="58"/>
        <v>70</v>
      </c>
      <c r="V91" s="33">
        <f t="shared" si="46"/>
        <v>10</v>
      </c>
      <c r="W91" s="33">
        <v>0</v>
      </c>
      <c r="X91" s="33">
        <f t="shared" si="47"/>
        <v>985.35924613408918</v>
      </c>
      <c r="Y91" s="38">
        <f t="shared" si="48"/>
        <v>728.69257946742255</v>
      </c>
      <c r="AA91" s="71">
        <v>86</v>
      </c>
      <c r="AB91" s="33">
        <f t="shared" si="49"/>
        <v>0</v>
      </c>
      <c r="AC91" s="308">
        <f t="shared" si="39"/>
        <v>0</v>
      </c>
      <c r="AD91" s="101">
        <f t="shared" si="50"/>
        <v>0</v>
      </c>
      <c r="AE91" s="101">
        <f t="shared" si="51"/>
        <v>0</v>
      </c>
      <c r="AF91" s="197">
        <f t="shared" ref="AF91:AF154" si="69">IF(OR(AA91&lt;=$F$18,AA91&lt;=30),EXP(-LN(2)/$D$104)*AF90+((1-EXP(-LN(2)/$D$104))/(LN(2)/$D$104))*$AB91*AC91*0.475*$F$19*44/12,)</f>
        <v>49.068199606936297</v>
      </c>
      <c r="AG91" s="197">
        <f t="shared" ref="AG91:AG154" si="70">IF(OR(AA91&lt;=$F$18,AA91&lt;=30),EXP(-LN(2)/$D$106)*AG90+((1-EXP(-LN(2)/$D$106))/(LN(2)/$D$106))*$AB91*AD91*0.475*$F$19*44/12,)</f>
        <v>0</v>
      </c>
      <c r="AH91" s="197">
        <f t="shared" ref="AH91:AH154" si="71">IF(OR(AA91&lt;=$F$18,AA91&lt;=30),EXP(-LN(2)/$D$105)*AH90+((1-EXP(-LN(2)/$D$105))/(LN(2)/$D$105))*$AB91*AE91*0.475*$F$19*44/12,)</f>
        <v>0</v>
      </c>
      <c r="AI91" s="202">
        <f t="shared" ref="AI91:AI154" si="72">IF(OR(AA91&lt;=$F$18,AA91&lt;=30),SUM(AF91:AH91),)</f>
        <v>49.068199606936297</v>
      </c>
      <c r="AK91" s="71">
        <v>86</v>
      </c>
      <c r="AL91" s="33">
        <f t="shared" si="52"/>
        <v>0</v>
      </c>
      <c r="AM91" s="33">
        <f t="shared" si="53"/>
        <v>0</v>
      </c>
      <c r="AN91" s="33">
        <f t="shared" si="54"/>
        <v>0</v>
      </c>
      <c r="AO91" s="33">
        <f t="shared" si="55"/>
        <v>0</v>
      </c>
      <c r="AP91" s="33">
        <f t="shared" si="56"/>
        <v>0</v>
      </c>
      <c r="AQ91" s="197">
        <f t="shared" si="40"/>
        <v>0</v>
      </c>
      <c r="AR91" s="197">
        <f t="shared" si="40"/>
        <v>0</v>
      </c>
      <c r="AS91" s="197">
        <f t="shared" si="40"/>
        <v>0</v>
      </c>
      <c r="AT91" s="197">
        <f t="shared" si="40"/>
        <v>0</v>
      </c>
      <c r="AU91" s="33"/>
      <c r="AV91" s="33"/>
      <c r="AW91" s="33"/>
      <c r="AX91" s="33"/>
      <c r="AY91" s="76"/>
    </row>
    <row r="92" spans="1:51">
      <c r="A92" t="s">
        <v>193</v>
      </c>
      <c r="B92" s="175">
        <f>IF(C45&lt;=$F$18,C45+1,"-")</f>
        <v>71</v>
      </c>
      <c r="C92" s="151">
        <f>D45-D46</f>
        <v>28</v>
      </c>
      <c r="D92" s="152">
        <v>0.9</v>
      </c>
      <c r="E92" s="130">
        <f>IF(G92+D92&lt;&gt;1,(1-(G92+D92))*56%,0)</f>
        <v>0</v>
      </c>
      <c r="F92" s="130">
        <f>IF(G92+D92&lt;&gt;1,(1-(G92+D92))*44%,0)</f>
        <v>0</v>
      </c>
      <c r="G92" s="153">
        <f t="shared" si="68"/>
        <v>9.9999999999999978E-2</v>
      </c>
      <c r="H92" s="58">
        <f t="shared" si="65"/>
        <v>0</v>
      </c>
      <c r="I92" s="55">
        <v>87</v>
      </c>
      <c r="J92" s="33">
        <f t="shared" si="59"/>
        <v>0</v>
      </c>
      <c r="K92" s="33">
        <f t="shared" si="60"/>
        <v>0</v>
      </c>
      <c r="L92" s="33">
        <f t="shared" si="61"/>
        <v>70</v>
      </c>
      <c r="M92" s="33">
        <f t="shared" si="62"/>
        <v>0</v>
      </c>
      <c r="N92" s="33">
        <f t="shared" si="43"/>
        <v>0</v>
      </c>
      <c r="O92" s="34">
        <f t="shared" si="44"/>
        <v>256.66666666666669</v>
      </c>
      <c r="P92" s="55">
        <v>87</v>
      </c>
      <c r="Q92" s="33">
        <f t="shared" si="57"/>
        <v>15.210000000000008</v>
      </c>
      <c r="R92" s="33">
        <f t="shared" si="63"/>
        <v>542.48999999999967</v>
      </c>
      <c r="S92" s="33">
        <f t="shared" si="64"/>
        <v>330.91889999999978</v>
      </c>
      <c r="T92" s="33">
        <f t="shared" si="45"/>
        <v>77.620787743633201</v>
      </c>
      <c r="U92" s="33">
        <f t="shared" si="58"/>
        <v>70</v>
      </c>
      <c r="V92" s="33">
        <f t="shared" si="46"/>
        <v>10</v>
      </c>
      <c r="W92" s="33">
        <v>0</v>
      </c>
      <c r="X92" s="33">
        <f t="shared" si="47"/>
        <v>1004.8732894868272</v>
      </c>
      <c r="Y92" s="38">
        <f t="shared" si="48"/>
        <v>748.20662282016042</v>
      </c>
      <c r="AA92" s="71">
        <v>87</v>
      </c>
      <c r="AB92" s="33">
        <f t="shared" si="49"/>
        <v>0</v>
      </c>
      <c r="AC92" s="308">
        <f t="shared" si="39"/>
        <v>0</v>
      </c>
      <c r="AD92" s="101">
        <f t="shared" si="50"/>
        <v>0</v>
      </c>
      <c r="AE92" s="101">
        <f t="shared" si="51"/>
        <v>0</v>
      </c>
      <c r="AF92" s="197">
        <f t="shared" si="69"/>
        <v>48.10600214129083</v>
      </c>
      <c r="AG92" s="197">
        <f t="shared" si="70"/>
        <v>0</v>
      </c>
      <c r="AH92" s="197">
        <f t="shared" si="71"/>
        <v>0</v>
      </c>
      <c r="AI92" s="202">
        <f t="shared" si="72"/>
        <v>48.10600214129083</v>
      </c>
      <c r="AK92" s="71">
        <v>87</v>
      </c>
      <c r="AL92" s="33">
        <f t="shared" si="52"/>
        <v>0</v>
      </c>
      <c r="AM92" s="33">
        <f t="shared" si="53"/>
        <v>0</v>
      </c>
      <c r="AN92" s="33">
        <f t="shared" si="54"/>
        <v>0</v>
      </c>
      <c r="AO92" s="33">
        <f t="shared" si="55"/>
        <v>0</v>
      </c>
      <c r="AP92" s="33">
        <f t="shared" si="56"/>
        <v>0</v>
      </c>
      <c r="AQ92" s="197">
        <f t="shared" si="40"/>
        <v>0</v>
      </c>
      <c r="AR92" s="197">
        <f t="shared" si="40"/>
        <v>0</v>
      </c>
      <c r="AS92" s="197">
        <f t="shared" si="40"/>
        <v>0</v>
      </c>
      <c r="AT92" s="197">
        <f t="shared" si="40"/>
        <v>0</v>
      </c>
      <c r="AU92" s="33"/>
      <c r="AV92" s="33"/>
      <c r="AW92" s="33"/>
      <c r="AX92" s="33"/>
      <c r="AY92" s="76"/>
    </row>
    <row r="93" spans="1:51">
      <c r="A93" t="s">
        <v>193</v>
      </c>
      <c r="B93" s="175">
        <f>IF(C47&lt;=$F$18,C47+1,"-")</f>
        <v>76</v>
      </c>
      <c r="C93" s="151">
        <f>D47-D48</f>
        <v>28</v>
      </c>
      <c r="D93" s="152">
        <v>0.9</v>
      </c>
      <c r="E93" s="130">
        <f>IF(G93+D93&lt;&gt;1,(1-(G93+D93))*56%,0)</f>
        <v>0</v>
      </c>
      <c r="F93" s="130">
        <f>IF(G93+D93&lt;&gt;1,(1-(G93+D93))*44%,0)</f>
        <v>0</v>
      </c>
      <c r="G93" s="153">
        <f t="shared" si="68"/>
        <v>9.9999999999999978E-2</v>
      </c>
      <c r="H93" s="58">
        <f t="shared" si="65"/>
        <v>0</v>
      </c>
      <c r="I93" s="55">
        <v>88</v>
      </c>
      <c r="J93" s="33">
        <f t="shared" si="59"/>
        <v>0</v>
      </c>
      <c r="K93" s="33">
        <f t="shared" si="60"/>
        <v>0</v>
      </c>
      <c r="L93" s="33">
        <f t="shared" si="61"/>
        <v>70</v>
      </c>
      <c r="M93" s="33">
        <f t="shared" si="62"/>
        <v>0</v>
      </c>
      <c r="N93" s="33">
        <f t="shared" si="43"/>
        <v>0</v>
      </c>
      <c r="O93" s="34">
        <f t="shared" si="44"/>
        <v>256.66666666666669</v>
      </c>
      <c r="P93" s="55">
        <v>88</v>
      </c>
      <c r="Q93" s="33">
        <f t="shared" si="57"/>
        <v>15.210000000000008</v>
      </c>
      <c r="R93" s="33">
        <f t="shared" si="63"/>
        <v>557.6999999999997</v>
      </c>
      <c r="S93" s="33">
        <f t="shared" si="64"/>
        <v>340.19699999999983</v>
      </c>
      <c r="T93" s="33">
        <f t="shared" si="45"/>
        <v>79.5406464968422</v>
      </c>
      <c r="U93" s="33">
        <f t="shared" si="58"/>
        <v>70</v>
      </c>
      <c r="V93" s="33">
        <f t="shared" si="46"/>
        <v>10</v>
      </c>
      <c r="W93" s="33">
        <v>0</v>
      </c>
      <c r="X93" s="33">
        <f t="shared" si="47"/>
        <v>1024.3764009819997</v>
      </c>
      <c r="Y93" s="38">
        <f t="shared" si="48"/>
        <v>767.70973431533298</v>
      </c>
      <c r="AA93" s="71">
        <v>88</v>
      </c>
      <c r="AB93" s="33">
        <f t="shared" si="49"/>
        <v>0</v>
      </c>
      <c r="AC93" s="308">
        <f t="shared" si="39"/>
        <v>0</v>
      </c>
      <c r="AD93" s="101">
        <f t="shared" si="50"/>
        <v>0</v>
      </c>
      <c r="AE93" s="101">
        <f t="shared" si="51"/>
        <v>0</v>
      </c>
      <c r="AF93" s="197">
        <f t="shared" si="69"/>
        <v>47.162672781064167</v>
      </c>
      <c r="AG93" s="197">
        <f t="shared" si="70"/>
        <v>0</v>
      </c>
      <c r="AH93" s="197">
        <f t="shared" si="71"/>
        <v>0</v>
      </c>
      <c r="AI93" s="202">
        <f t="shared" si="72"/>
        <v>47.162672781064167</v>
      </c>
      <c r="AK93" s="71">
        <v>88</v>
      </c>
      <c r="AL93" s="33">
        <f t="shared" si="52"/>
        <v>0</v>
      </c>
      <c r="AM93" s="33">
        <f t="shared" si="53"/>
        <v>0</v>
      </c>
      <c r="AN93" s="33">
        <f t="shared" si="54"/>
        <v>0</v>
      </c>
      <c r="AO93" s="33">
        <f t="shared" si="55"/>
        <v>0</v>
      </c>
      <c r="AP93" s="33">
        <f t="shared" si="56"/>
        <v>0</v>
      </c>
      <c r="AQ93" s="197">
        <f t="shared" si="40"/>
        <v>0</v>
      </c>
      <c r="AR93" s="197">
        <f t="shared" si="40"/>
        <v>0</v>
      </c>
      <c r="AS93" s="197">
        <f t="shared" si="40"/>
        <v>0</v>
      </c>
      <c r="AT93" s="197">
        <f t="shared" si="40"/>
        <v>0</v>
      </c>
      <c r="AU93" s="33"/>
      <c r="AV93" s="33"/>
      <c r="AW93" s="33"/>
      <c r="AX93" s="33"/>
      <c r="AY93" s="76"/>
    </row>
    <row r="94" spans="1:51">
      <c r="B94" s="187">
        <f>F18</f>
        <v>100</v>
      </c>
      <c r="C94" s="184">
        <f>VLOOKUP(B94,C25:D78,2)</f>
        <v>400</v>
      </c>
      <c r="D94" s="339">
        <v>0.95</v>
      </c>
      <c r="E94" s="340">
        <f>IF(G94+D94&lt;&gt;1,(1-(G94+D94))*56%,0)</f>
        <v>0</v>
      </c>
      <c r="F94" s="340">
        <f>IF(G94+D94&lt;&gt;1,(1-(G94+D94))*44%,0)</f>
        <v>0</v>
      </c>
      <c r="G94" s="154">
        <f t="shared" si="68"/>
        <v>5.0000000000000044E-2</v>
      </c>
      <c r="H94" s="58">
        <f t="shared" si="65"/>
        <v>0</v>
      </c>
      <c r="I94" s="55">
        <v>89</v>
      </c>
      <c r="J94" s="33">
        <f t="shared" si="59"/>
        <v>0</v>
      </c>
      <c r="K94" s="33">
        <f t="shared" si="60"/>
        <v>0</v>
      </c>
      <c r="L94" s="33">
        <f t="shared" si="61"/>
        <v>70</v>
      </c>
      <c r="M94" s="33">
        <f t="shared" si="62"/>
        <v>0</v>
      </c>
      <c r="N94" s="33">
        <f t="shared" si="43"/>
        <v>0</v>
      </c>
      <c r="O94" s="34">
        <f t="shared" si="44"/>
        <v>256.66666666666669</v>
      </c>
      <c r="P94" s="55">
        <v>89</v>
      </c>
      <c r="Q94" s="33">
        <f t="shared" si="57"/>
        <v>15.210000000000008</v>
      </c>
      <c r="R94" s="33">
        <f t="shared" si="63"/>
        <v>572.90999999999974</v>
      </c>
      <c r="S94" s="33">
        <f t="shared" si="64"/>
        <v>349.47509999999983</v>
      </c>
      <c r="T94" s="33">
        <f t="shared" si="45"/>
        <v>81.454419437636531</v>
      </c>
      <c r="U94" s="33">
        <f t="shared" si="58"/>
        <v>70</v>
      </c>
      <c r="V94" s="33">
        <f t="shared" si="46"/>
        <v>10</v>
      </c>
      <c r="W94" s="33">
        <v>0</v>
      </c>
      <c r="X94" s="33">
        <f t="shared" si="47"/>
        <v>1043.8689130205501</v>
      </c>
      <c r="Y94" s="38">
        <f t="shared" si="48"/>
        <v>787.20224635388331</v>
      </c>
      <c r="AA94" s="71">
        <v>89</v>
      </c>
      <c r="AB94" s="33">
        <f t="shared" si="49"/>
        <v>0</v>
      </c>
      <c r="AC94" s="308">
        <f t="shared" si="39"/>
        <v>0</v>
      </c>
      <c r="AD94" s="101">
        <f t="shared" si="50"/>
        <v>0</v>
      </c>
      <c r="AE94" s="101">
        <f t="shared" si="51"/>
        <v>0</v>
      </c>
      <c r="AF94" s="197">
        <f t="shared" si="69"/>
        <v>46.237841534217452</v>
      </c>
      <c r="AG94" s="197">
        <f t="shared" si="70"/>
        <v>0</v>
      </c>
      <c r="AH94" s="197">
        <f t="shared" si="71"/>
        <v>0</v>
      </c>
      <c r="AI94" s="202">
        <f t="shared" si="72"/>
        <v>46.237841534217452</v>
      </c>
      <c r="AK94" s="71">
        <v>89</v>
      </c>
      <c r="AL94" s="33">
        <f t="shared" si="52"/>
        <v>0</v>
      </c>
      <c r="AM94" s="33">
        <f t="shared" si="53"/>
        <v>0</v>
      </c>
      <c r="AN94" s="33">
        <f t="shared" si="54"/>
        <v>0</v>
      </c>
      <c r="AO94" s="33">
        <f t="shared" si="55"/>
        <v>0</v>
      </c>
      <c r="AP94" s="33">
        <f t="shared" si="56"/>
        <v>0</v>
      </c>
      <c r="AQ94" s="197">
        <f t="shared" si="40"/>
        <v>0</v>
      </c>
      <c r="AR94" s="197">
        <f t="shared" si="40"/>
        <v>0</v>
      </c>
      <c r="AS94" s="197">
        <f t="shared" si="40"/>
        <v>0</v>
      </c>
      <c r="AT94" s="197">
        <f t="shared" si="40"/>
        <v>0</v>
      </c>
      <c r="AU94" s="33"/>
      <c r="AV94" s="33"/>
      <c r="AW94" s="33"/>
      <c r="AX94" s="33"/>
      <c r="AY94" s="76"/>
    </row>
    <row r="95" spans="1:51">
      <c r="I95" s="55">
        <v>90</v>
      </c>
      <c r="J95" s="33">
        <f t="shared" si="59"/>
        <v>0</v>
      </c>
      <c r="K95" s="33">
        <f t="shared" si="60"/>
        <v>0</v>
      </c>
      <c r="L95" s="33">
        <f t="shared" si="61"/>
        <v>70</v>
      </c>
      <c r="M95" s="33">
        <f t="shared" si="62"/>
        <v>0</v>
      </c>
      <c r="N95" s="33">
        <f t="shared" si="43"/>
        <v>0</v>
      </c>
      <c r="O95" s="34">
        <f t="shared" si="44"/>
        <v>256.66666666666669</v>
      </c>
      <c r="P95" s="55">
        <v>90</v>
      </c>
      <c r="Q95" s="33">
        <f t="shared" si="57"/>
        <v>15.210000000000008</v>
      </c>
      <c r="R95" s="33">
        <f t="shared" si="63"/>
        <v>588.11999999999978</v>
      </c>
      <c r="S95" s="33">
        <f t="shared" si="64"/>
        <v>358.75319999999988</v>
      </c>
      <c r="T95" s="33">
        <f t="shared" si="45"/>
        <v>83.362286707455752</v>
      </c>
      <c r="U95" s="33">
        <f t="shared" si="58"/>
        <v>70</v>
      </c>
      <c r="V95" s="33">
        <f t="shared" si="46"/>
        <v>10</v>
      </c>
      <c r="W95" s="33">
        <v>0</v>
      </c>
      <c r="X95" s="33">
        <f t="shared" si="47"/>
        <v>1063.3511393488184</v>
      </c>
      <c r="Y95" s="38">
        <f t="shared" si="48"/>
        <v>806.68447268215164</v>
      </c>
      <c r="AA95" s="71">
        <v>90</v>
      </c>
      <c r="AB95" s="33">
        <f t="shared" si="49"/>
        <v>0</v>
      </c>
      <c r="AC95" s="308">
        <f t="shared" ref="AC95:AC158" si="73">IF(AA95&lt;=$F$18,IFERROR(VLOOKUP($AA95,$B$82:$G$94,3,FALSE),0),)*50%</f>
        <v>0</v>
      </c>
      <c r="AD95" s="101">
        <f t="shared" si="50"/>
        <v>0</v>
      </c>
      <c r="AE95" s="101">
        <f t="shared" si="51"/>
        <v>0</v>
      </c>
      <c r="AF95" s="197">
        <f t="shared" si="69"/>
        <v>45.331145664030039</v>
      </c>
      <c r="AG95" s="197">
        <f t="shared" si="70"/>
        <v>0</v>
      </c>
      <c r="AH95" s="197">
        <f t="shared" si="71"/>
        <v>0</v>
      </c>
      <c r="AI95" s="202">
        <f t="shared" si="72"/>
        <v>45.331145664030039</v>
      </c>
      <c r="AK95" s="71">
        <v>90</v>
      </c>
      <c r="AL95" s="33">
        <f t="shared" si="52"/>
        <v>0</v>
      </c>
      <c r="AM95" s="33">
        <f t="shared" si="53"/>
        <v>0</v>
      </c>
      <c r="AN95" s="33">
        <f t="shared" si="54"/>
        <v>0</v>
      </c>
      <c r="AO95" s="33">
        <f t="shared" si="55"/>
        <v>0</v>
      </c>
      <c r="AP95" s="33">
        <f t="shared" si="56"/>
        <v>0</v>
      </c>
      <c r="AQ95" s="197">
        <f t="shared" si="40"/>
        <v>0</v>
      </c>
      <c r="AR95" s="197">
        <f t="shared" si="40"/>
        <v>0</v>
      </c>
      <c r="AS95" s="197">
        <f t="shared" si="40"/>
        <v>0</v>
      </c>
      <c r="AT95" s="197">
        <f t="shared" si="40"/>
        <v>0</v>
      </c>
      <c r="AU95" s="33"/>
      <c r="AV95" s="33"/>
      <c r="AW95" s="33"/>
      <c r="AX95" s="33"/>
      <c r="AY95" s="76"/>
    </row>
    <row r="96" spans="1:51">
      <c r="C96" s="67" t="s">
        <v>154</v>
      </c>
      <c r="D96" t="s">
        <v>137</v>
      </c>
      <c r="E96" s="6"/>
      <c r="I96" s="55">
        <v>91</v>
      </c>
      <c r="J96" s="33">
        <f t="shared" si="59"/>
        <v>0</v>
      </c>
      <c r="K96" s="33">
        <f t="shared" si="60"/>
        <v>0</v>
      </c>
      <c r="L96" s="33">
        <f t="shared" si="61"/>
        <v>70</v>
      </c>
      <c r="M96" s="33">
        <f t="shared" si="62"/>
        <v>0</v>
      </c>
      <c r="N96" s="33">
        <f t="shared" si="43"/>
        <v>0</v>
      </c>
      <c r="O96" s="34">
        <f t="shared" si="44"/>
        <v>256.66666666666669</v>
      </c>
      <c r="P96" s="55">
        <v>91</v>
      </c>
      <c r="Q96" s="33">
        <f t="shared" si="57"/>
        <v>-40.559999999999945</v>
      </c>
      <c r="R96" s="33">
        <f t="shared" si="63"/>
        <v>547.55999999999983</v>
      </c>
      <c r="S96" s="33">
        <f t="shared" si="64"/>
        <v>334.01159999999987</v>
      </c>
      <c r="T96" s="33">
        <f t="shared" si="45"/>
        <v>78.261428413244502</v>
      </c>
      <c r="U96" s="33">
        <f t="shared" si="58"/>
        <v>70</v>
      </c>
      <c r="V96" s="33">
        <f t="shared" si="46"/>
        <v>10</v>
      </c>
      <c r="W96" s="33">
        <v>0</v>
      </c>
      <c r="X96" s="33">
        <f t="shared" si="47"/>
        <v>1011.3755244864005</v>
      </c>
      <c r="Y96" s="38">
        <f t="shared" si="48"/>
        <v>754.70885781973379</v>
      </c>
      <c r="AA96" s="71">
        <v>91</v>
      </c>
      <c r="AB96" s="33">
        <f t="shared" si="49"/>
        <v>0</v>
      </c>
      <c r="AC96" s="308">
        <f t="shared" si="73"/>
        <v>0</v>
      </c>
      <c r="AD96" s="101">
        <f t="shared" si="50"/>
        <v>0</v>
      </c>
      <c r="AE96" s="101">
        <f t="shared" si="51"/>
        <v>0</v>
      </c>
      <c r="AF96" s="197">
        <f t="shared" si="69"/>
        <v>44.442229546827129</v>
      </c>
      <c r="AG96" s="197">
        <f t="shared" si="70"/>
        <v>0</v>
      </c>
      <c r="AH96" s="197">
        <f t="shared" si="71"/>
        <v>0</v>
      </c>
      <c r="AI96" s="202">
        <f t="shared" si="72"/>
        <v>44.442229546827129</v>
      </c>
      <c r="AK96" s="71">
        <v>91</v>
      </c>
      <c r="AL96" s="33">
        <f t="shared" si="52"/>
        <v>0</v>
      </c>
      <c r="AM96" s="33">
        <f t="shared" si="53"/>
        <v>0</v>
      </c>
      <c r="AN96" s="33">
        <f t="shared" si="54"/>
        <v>0</v>
      </c>
      <c r="AO96" s="33">
        <f t="shared" si="55"/>
        <v>0</v>
      </c>
      <c r="AP96" s="33">
        <f t="shared" si="56"/>
        <v>0</v>
      </c>
      <c r="AQ96" s="197">
        <f t="shared" si="40"/>
        <v>0</v>
      </c>
      <c r="AR96" s="197">
        <f t="shared" si="40"/>
        <v>0</v>
      </c>
      <c r="AS96" s="197">
        <f t="shared" si="40"/>
        <v>0</v>
      </c>
      <c r="AT96" s="197">
        <f t="shared" si="40"/>
        <v>0</v>
      </c>
      <c r="AU96" s="33"/>
      <c r="AV96" s="33"/>
      <c r="AW96" s="33"/>
      <c r="AX96" s="33"/>
      <c r="AY96" s="76"/>
    </row>
    <row r="97" spans="2:51">
      <c r="B97" s="2" t="s">
        <v>0</v>
      </c>
      <c r="C97">
        <v>32</v>
      </c>
      <c r="D97">
        <v>0</v>
      </c>
      <c r="E97" s="6"/>
      <c r="I97" s="55">
        <v>92</v>
      </c>
      <c r="J97" s="33">
        <f t="shared" si="59"/>
        <v>0</v>
      </c>
      <c r="K97" s="33">
        <f t="shared" si="60"/>
        <v>0</v>
      </c>
      <c r="L97" s="33">
        <f t="shared" si="61"/>
        <v>70</v>
      </c>
      <c r="M97" s="33">
        <f t="shared" si="62"/>
        <v>0</v>
      </c>
      <c r="N97" s="33">
        <f t="shared" si="43"/>
        <v>0</v>
      </c>
      <c r="O97" s="34">
        <f t="shared" si="44"/>
        <v>256.66666666666669</v>
      </c>
      <c r="P97" s="55">
        <v>92</v>
      </c>
      <c r="Q97" s="33">
        <f t="shared" si="57"/>
        <v>14.819999999999993</v>
      </c>
      <c r="R97" s="33">
        <f t="shared" si="63"/>
        <v>562.37999999999988</v>
      </c>
      <c r="S97" s="33">
        <f t="shared" si="64"/>
        <v>343.0517999999999</v>
      </c>
      <c r="T97" s="33">
        <f t="shared" si="45"/>
        <v>80.130139336840585</v>
      </c>
      <c r="U97" s="33">
        <f t="shared" si="58"/>
        <v>70</v>
      </c>
      <c r="V97" s="33">
        <f t="shared" si="46"/>
        <v>10</v>
      </c>
      <c r="W97" s="33">
        <v>0</v>
      </c>
      <c r="X97" s="33">
        <f t="shared" si="47"/>
        <v>1030.3752110116639</v>
      </c>
      <c r="Y97" s="38">
        <f t="shared" si="48"/>
        <v>773.70854434499711</v>
      </c>
      <c r="AA97" s="71">
        <v>92</v>
      </c>
      <c r="AB97" s="33">
        <f t="shared" si="49"/>
        <v>0</v>
      </c>
      <c r="AC97" s="308">
        <f t="shared" si="73"/>
        <v>0</v>
      </c>
      <c r="AD97" s="101">
        <f t="shared" si="50"/>
        <v>0</v>
      </c>
      <c r="AE97" s="101">
        <f t="shared" si="51"/>
        <v>0</v>
      </c>
      <c r="AF97" s="197">
        <f t="shared" si="69"/>
        <v>43.570744532497272</v>
      </c>
      <c r="AG97" s="197">
        <f t="shared" si="70"/>
        <v>0</v>
      </c>
      <c r="AH97" s="197">
        <f t="shared" si="71"/>
        <v>0</v>
      </c>
      <c r="AI97" s="202">
        <f t="shared" si="72"/>
        <v>43.570744532497272</v>
      </c>
      <c r="AK97" s="71">
        <v>92</v>
      </c>
      <c r="AL97" s="33">
        <f t="shared" si="52"/>
        <v>0</v>
      </c>
      <c r="AM97" s="33">
        <f t="shared" si="53"/>
        <v>0</v>
      </c>
      <c r="AN97" s="33">
        <f t="shared" si="54"/>
        <v>0</v>
      </c>
      <c r="AO97" s="33">
        <f t="shared" si="55"/>
        <v>0</v>
      </c>
      <c r="AP97" s="33">
        <f t="shared" si="56"/>
        <v>0</v>
      </c>
      <c r="AQ97" s="197">
        <f t="shared" si="40"/>
        <v>0</v>
      </c>
      <c r="AR97" s="197">
        <f t="shared" si="40"/>
        <v>0</v>
      </c>
      <c r="AS97" s="197">
        <f t="shared" si="40"/>
        <v>0</v>
      </c>
      <c r="AT97" s="197">
        <f t="shared" si="40"/>
        <v>0</v>
      </c>
      <c r="AU97" s="33"/>
      <c r="AV97" s="33"/>
      <c r="AW97" s="33"/>
      <c r="AX97" s="33"/>
      <c r="AY97" s="76"/>
    </row>
    <row r="98" spans="2:51">
      <c r="B98" s="2" t="s">
        <v>1</v>
      </c>
      <c r="C98">
        <v>45</v>
      </c>
      <c r="D98">
        <v>0</v>
      </c>
      <c r="E98" s="6"/>
      <c r="I98" s="55">
        <v>93</v>
      </c>
      <c r="J98" s="33">
        <f t="shared" si="59"/>
        <v>0</v>
      </c>
      <c r="K98" s="33">
        <f t="shared" si="60"/>
        <v>0</v>
      </c>
      <c r="L98" s="33">
        <f t="shared" si="61"/>
        <v>70</v>
      </c>
      <c r="M98" s="33">
        <f t="shared" si="62"/>
        <v>0</v>
      </c>
      <c r="N98" s="33">
        <f t="shared" si="43"/>
        <v>0</v>
      </c>
      <c r="O98" s="34">
        <f t="shared" si="44"/>
        <v>256.66666666666669</v>
      </c>
      <c r="P98" s="55">
        <v>93</v>
      </c>
      <c r="Q98" s="33">
        <f t="shared" si="57"/>
        <v>14.819999999999993</v>
      </c>
      <c r="R98" s="33">
        <f t="shared" si="63"/>
        <v>577.19999999999982</v>
      </c>
      <c r="S98" s="33">
        <f t="shared" si="64"/>
        <v>352.09199999999987</v>
      </c>
      <c r="T98" s="33">
        <f t="shared" si="45"/>
        <v>81.993126246877907</v>
      </c>
      <c r="U98" s="33">
        <f t="shared" si="58"/>
        <v>70</v>
      </c>
      <c r="V98" s="33">
        <f t="shared" si="46"/>
        <v>10</v>
      </c>
      <c r="W98" s="33">
        <v>0</v>
      </c>
      <c r="X98" s="33">
        <f t="shared" si="47"/>
        <v>1049.3649282133122</v>
      </c>
      <c r="Y98" s="38">
        <f t="shared" si="48"/>
        <v>792.69826154664543</v>
      </c>
      <c r="AA98" s="71">
        <v>93</v>
      </c>
      <c r="AB98" s="33">
        <f t="shared" si="49"/>
        <v>0</v>
      </c>
      <c r="AC98" s="308">
        <f t="shared" si="73"/>
        <v>0</v>
      </c>
      <c r="AD98" s="101">
        <f t="shared" si="50"/>
        <v>0</v>
      </c>
      <c r="AE98" s="101">
        <f t="shared" si="51"/>
        <v>0</v>
      </c>
      <c r="AF98" s="197">
        <f t="shared" si="69"/>
        <v>42.716348807745049</v>
      </c>
      <c r="AG98" s="197">
        <f t="shared" si="70"/>
        <v>0</v>
      </c>
      <c r="AH98" s="197">
        <f t="shared" si="71"/>
        <v>0</v>
      </c>
      <c r="AI98" s="202">
        <f t="shared" si="72"/>
        <v>42.716348807745049</v>
      </c>
      <c r="AK98" s="71">
        <v>93</v>
      </c>
      <c r="AL98" s="33">
        <f t="shared" si="52"/>
        <v>0</v>
      </c>
      <c r="AM98" s="33">
        <f t="shared" si="53"/>
        <v>0</v>
      </c>
      <c r="AN98" s="33">
        <f t="shared" si="54"/>
        <v>0</v>
      </c>
      <c r="AO98" s="33">
        <f t="shared" si="55"/>
        <v>0</v>
      </c>
      <c r="AP98" s="33">
        <f t="shared" si="56"/>
        <v>0</v>
      </c>
      <c r="AQ98" s="197">
        <f t="shared" si="40"/>
        <v>0</v>
      </c>
      <c r="AR98" s="197">
        <f t="shared" si="40"/>
        <v>0</v>
      </c>
      <c r="AS98" s="197">
        <f t="shared" si="40"/>
        <v>0</v>
      </c>
      <c r="AT98" s="197">
        <f t="shared" si="40"/>
        <v>0</v>
      </c>
      <c r="AU98" s="33"/>
      <c r="AV98" s="33"/>
      <c r="AW98" s="33"/>
      <c r="AX98" s="33"/>
      <c r="AY98" s="76"/>
    </row>
    <row r="99" spans="2:51">
      <c r="B99" s="2" t="s">
        <v>2</v>
      </c>
      <c r="C99">
        <v>70</v>
      </c>
      <c r="D99">
        <v>0</v>
      </c>
      <c r="E99" s="6"/>
      <c r="I99" s="55">
        <v>94</v>
      </c>
      <c r="J99" s="33">
        <f t="shared" si="59"/>
        <v>0</v>
      </c>
      <c r="K99" s="33">
        <f t="shared" si="60"/>
        <v>0</v>
      </c>
      <c r="L99" s="33">
        <f t="shared" si="61"/>
        <v>70</v>
      </c>
      <c r="M99" s="33">
        <f t="shared" si="62"/>
        <v>0</v>
      </c>
      <c r="N99" s="33">
        <f t="shared" si="43"/>
        <v>0</v>
      </c>
      <c r="O99" s="34">
        <f t="shared" si="44"/>
        <v>256.66666666666669</v>
      </c>
      <c r="P99" s="55">
        <v>94</v>
      </c>
      <c r="Q99" s="33">
        <f t="shared" si="57"/>
        <v>14.819999999999993</v>
      </c>
      <c r="R99" s="33">
        <f t="shared" si="63"/>
        <v>592.01999999999975</v>
      </c>
      <c r="S99" s="33">
        <f t="shared" si="64"/>
        <v>361.13219999999984</v>
      </c>
      <c r="T99" s="33">
        <f t="shared" si="45"/>
        <v>83.850553009835536</v>
      </c>
      <c r="U99" s="33">
        <f t="shared" si="58"/>
        <v>70</v>
      </c>
      <c r="V99" s="33">
        <f t="shared" si="46"/>
        <v>10</v>
      </c>
      <c r="W99" s="33">
        <v>0</v>
      </c>
      <c r="X99" s="33">
        <f t="shared" si="47"/>
        <v>1068.3449614921299</v>
      </c>
      <c r="Y99" s="38">
        <f t="shared" si="48"/>
        <v>811.67829482546313</v>
      </c>
      <c r="AA99" s="71">
        <v>94</v>
      </c>
      <c r="AB99" s="33">
        <f t="shared" si="49"/>
        <v>0</v>
      </c>
      <c r="AC99" s="308">
        <f t="shared" si="73"/>
        <v>0</v>
      </c>
      <c r="AD99" s="101">
        <f t="shared" si="50"/>
        <v>0</v>
      </c>
      <c r="AE99" s="101">
        <f t="shared" si="51"/>
        <v>0</v>
      </c>
      <c r="AF99" s="197">
        <f t="shared" si="69"/>
        <v>41.87870726202528</v>
      </c>
      <c r="AG99" s="197">
        <f t="shared" si="70"/>
        <v>0</v>
      </c>
      <c r="AH99" s="197">
        <f t="shared" si="71"/>
        <v>0</v>
      </c>
      <c r="AI99" s="202">
        <f t="shared" si="72"/>
        <v>41.87870726202528</v>
      </c>
      <c r="AK99" s="71">
        <v>94</v>
      </c>
      <c r="AL99" s="33">
        <f t="shared" si="52"/>
        <v>0</v>
      </c>
      <c r="AM99" s="33">
        <f t="shared" si="53"/>
        <v>0</v>
      </c>
      <c r="AN99" s="33">
        <f t="shared" si="54"/>
        <v>0</v>
      </c>
      <c r="AO99" s="33">
        <f t="shared" si="55"/>
        <v>0</v>
      </c>
      <c r="AP99" s="33">
        <f t="shared" si="56"/>
        <v>0</v>
      </c>
      <c r="AQ99" s="197">
        <f t="shared" si="40"/>
        <v>0</v>
      </c>
      <c r="AR99" s="197">
        <f t="shared" si="40"/>
        <v>0</v>
      </c>
      <c r="AS99" s="197">
        <f t="shared" si="40"/>
        <v>0</v>
      </c>
      <c r="AT99" s="197">
        <f t="shared" si="40"/>
        <v>0</v>
      </c>
      <c r="AU99" s="33"/>
      <c r="AV99" s="33"/>
      <c r="AW99" s="33"/>
      <c r="AX99" s="33"/>
      <c r="AY99" s="76"/>
    </row>
    <row r="100" spans="2:51">
      <c r="B100" s="2" t="s">
        <v>135</v>
      </c>
      <c r="C100">
        <v>70</v>
      </c>
      <c r="D100">
        <v>0</v>
      </c>
      <c r="E100" s="6"/>
      <c r="I100" s="55">
        <v>95</v>
      </c>
      <c r="J100" s="33">
        <f t="shared" si="59"/>
        <v>0</v>
      </c>
      <c r="K100" s="33">
        <f t="shared" si="60"/>
        <v>0</v>
      </c>
      <c r="L100" s="33">
        <f t="shared" si="61"/>
        <v>70</v>
      </c>
      <c r="M100" s="33">
        <f t="shared" si="62"/>
        <v>0</v>
      </c>
      <c r="N100" s="33">
        <f t="shared" si="43"/>
        <v>0</v>
      </c>
      <c r="O100" s="34">
        <f t="shared" si="44"/>
        <v>256.66666666666669</v>
      </c>
      <c r="P100" s="55">
        <v>95</v>
      </c>
      <c r="Q100" s="33">
        <f t="shared" si="57"/>
        <v>14.819999999999993</v>
      </c>
      <c r="R100" s="33">
        <f t="shared" si="63"/>
        <v>606.83999999999969</v>
      </c>
      <c r="S100" s="33">
        <f t="shared" si="64"/>
        <v>370.17239999999981</v>
      </c>
      <c r="T100" s="33">
        <f t="shared" si="45"/>
        <v>85.702574820499791</v>
      </c>
      <c r="U100" s="33">
        <f t="shared" si="58"/>
        <v>70</v>
      </c>
      <c r="V100" s="33">
        <f t="shared" si="46"/>
        <v>10</v>
      </c>
      <c r="W100" s="33">
        <v>0</v>
      </c>
      <c r="X100" s="33">
        <f t="shared" si="47"/>
        <v>1087.3155811457034</v>
      </c>
      <c r="Y100" s="38">
        <f t="shared" si="48"/>
        <v>830.64891447903665</v>
      </c>
      <c r="AA100" s="71">
        <v>95</v>
      </c>
      <c r="AB100" s="33">
        <f t="shared" si="49"/>
        <v>0</v>
      </c>
      <c r="AC100" s="308">
        <f t="shared" si="73"/>
        <v>0</v>
      </c>
      <c r="AD100" s="101">
        <f t="shared" si="50"/>
        <v>0</v>
      </c>
      <c r="AE100" s="101">
        <f t="shared" si="51"/>
        <v>0</v>
      </c>
      <c r="AF100" s="197">
        <f t="shared" si="69"/>
        <v>41.057491356106183</v>
      </c>
      <c r="AG100" s="197">
        <f t="shared" si="70"/>
        <v>0</v>
      </c>
      <c r="AH100" s="197">
        <f t="shared" si="71"/>
        <v>0</v>
      </c>
      <c r="AI100" s="202">
        <f t="shared" si="72"/>
        <v>41.057491356106183</v>
      </c>
      <c r="AK100" s="71">
        <v>95</v>
      </c>
      <c r="AL100" s="33">
        <f t="shared" si="52"/>
        <v>0</v>
      </c>
      <c r="AM100" s="33">
        <f t="shared" si="53"/>
        <v>0</v>
      </c>
      <c r="AN100" s="33">
        <f t="shared" si="54"/>
        <v>0</v>
      </c>
      <c r="AO100" s="33">
        <f t="shared" si="55"/>
        <v>0</v>
      </c>
      <c r="AP100" s="33">
        <f t="shared" si="56"/>
        <v>0</v>
      </c>
      <c r="AQ100" s="197">
        <f t="shared" si="40"/>
        <v>0</v>
      </c>
      <c r="AR100" s="197">
        <f t="shared" si="40"/>
        <v>0</v>
      </c>
      <c r="AS100" s="197">
        <f t="shared" si="40"/>
        <v>0</v>
      </c>
      <c r="AT100" s="197">
        <f t="shared" si="40"/>
        <v>0</v>
      </c>
      <c r="AU100" s="33"/>
      <c r="AV100" s="33"/>
      <c r="AW100" s="33"/>
      <c r="AX100" s="33"/>
      <c r="AY100" s="76"/>
    </row>
    <row r="101" spans="2:51">
      <c r="C101" s="27"/>
      <c r="E101" s="6"/>
      <c r="I101" s="55">
        <v>96</v>
      </c>
      <c r="J101" s="33">
        <f t="shared" si="59"/>
        <v>0</v>
      </c>
      <c r="K101" s="33">
        <f t="shared" si="60"/>
        <v>0</v>
      </c>
      <c r="L101" s="33">
        <f t="shared" si="61"/>
        <v>70</v>
      </c>
      <c r="M101" s="33">
        <f t="shared" si="62"/>
        <v>0</v>
      </c>
      <c r="N101" s="33">
        <f t="shared" si="43"/>
        <v>0</v>
      </c>
      <c r="O101" s="34">
        <f t="shared" si="44"/>
        <v>256.66666666666669</v>
      </c>
      <c r="P101" s="55">
        <v>96</v>
      </c>
      <c r="Q101" s="33">
        <f t="shared" si="57"/>
        <v>-39</v>
      </c>
      <c r="R101" s="33">
        <f t="shared" si="63"/>
        <v>567.83999999999969</v>
      </c>
      <c r="S101" s="33">
        <f t="shared" si="64"/>
        <v>346.38239999999979</v>
      </c>
      <c r="T101" s="33">
        <f t="shared" si="45"/>
        <v>80.8171599950592</v>
      </c>
      <c r="U101" s="33">
        <f t="shared" si="58"/>
        <v>70</v>
      </c>
      <c r="V101" s="33">
        <f t="shared" si="46"/>
        <v>10</v>
      </c>
      <c r="W101" s="33">
        <v>0</v>
      </c>
      <c r="X101" s="33">
        <f t="shared" si="47"/>
        <v>1037.3725669913943</v>
      </c>
      <c r="Y101" s="38">
        <f t="shared" si="48"/>
        <v>780.70590032472751</v>
      </c>
      <c r="AA101" s="71">
        <v>96</v>
      </c>
      <c r="AB101" s="33">
        <f t="shared" si="49"/>
        <v>0</v>
      </c>
      <c r="AC101" s="308">
        <f t="shared" si="73"/>
        <v>0</v>
      </c>
      <c r="AD101" s="101">
        <f t="shared" si="50"/>
        <v>0</v>
      </c>
      <c r="AE101" s="101">
        <f t="shared" si="51"/>
        <v>0</v>
      </c>
      <c r="AF101" s="197">
        <f t="shared" si="69"/>
        <v>40.252378993209916</v>
      </c>
      <c r="AG101" s="197">
        <f t="shared" si="70"/>
        <v>0</v>
      </c>
      <c r="AH101" s="197">
        <f t="shared" si="71"/>
        <v>0</v>
      </c>
      <c r="AI101" s="202">
        <f t="shared" si="72"/>
        <v>40.252378993209916</v>
      </c>
      <c r="AK101" s="71">
        <v>96</v>
      </c>
      <c r="AL101" s="33">
        <f t="shared" si="52"/>
        <v>0</v>
      </c>
      <c r="AM101" s="33">
        <f t="shared" si="53"/>
        <v>0</v>
      </c>
      <c r="AN101" s="33">
        <f t="shared" si="54"/>
        <v>0</v>
      </c>
      <c r="AO101" s="33">
        <f t="shared" si="55"/>
        <v>0</v>
      </c>
      <c r="AP101" s="33">
        <f t="shared" si="56"/>
        <v>0</v>
      </c>
      <c r="AQ101" s="197">
        <f t="shared" si="40"/>
        <v>0</v>
      </c>
      <c r="AR101" s="197">
        <f t="shared" si="40"/>
        <v>0</v>
      </c>
      <c r="AS101" s="197">
        <f t="shared" si="40"/>
        <v>0</v>
      </c>
      <c r="AT101" s="197">
        <f t="shared" si="40"/>
        <v>0</v>
      </c>
      <c r="AU101" s="33"/>
      <c r="AV101" s="33"/>
      <c r="AW101" s="33"/>
      <c r="AX101" s="33"/>
      <c r="AY101" s="76"/>
    </row>
    <row r="102" spans="2:51">
      <c r="C102" s="27"/>
      <c r="E102" s="6"/>
      <c r="I102" s="55">
        <v>97</v>
      </c>
      <c r="J102" s="33">
        <f t="shared" si="59"/>
        <v>0</v>
      </c>
      <c r="K102" s="33">
        <f t="shared" si="60"/>
        <v>0</v>
      </c>
      <c r="L102" s="33">
        <f t="shared" si="61"/>
        <v>70</v>
      </c>
      <c r="M102" s="33">
        <f t="shared" si="62"/>
        <v>0</v>
      </c>
      <c r="N102" s="33">
        <f t="shared" si="43"/>
        <v>0</v>
      </c>
      <c r="O102" s="34">
        <f t="shared" si="44"/>
        <v>256.66666666666669</v>
      </c>
      <c r="P102" s="55">
        <v>97</v>
      </c>
      <c r="Q102" s="33">
        <f t="shared" si="57"/>
        <v>14.039999999999992</v>
      </c>
      <c r="R102" s="33">
        <f t="shared" si="63"/>
        <v>581.87999999999965</v>
      </c>
      <c r="S102" s="33">
        <f t="shared" si="64"/>
        <v>354.94679999999977</v>
      </c>
      <c r="T102" s="33">
        <f t="shared" si="45"/>
        <v>82.580275227245068</v>
      </c>
      <c r="U102" s="33">
        <f t="shared" si="58"/>
        <v>70</v>
      </c>
      <c r="V102" s="33">
        <f t="shared" si="46"/>
        <v>10</v>
      </c>
      <c r="W102" s="33">
        <v>0</v>
      </c>
      <c r="X102" s="33">
        <f t="shared" si="47"/>
        <v>1055.3596560207845</v>
      </c>
      <c r="Y102" s="38">
        <f t="shared" si="48"/>
        <v>798.6929893541178</v>
      </c>
      <c r="AA102" s="71">
        <v>97</v>
      </c>
      <c r="AB102" s="33">
        <f t="shared" si="49"/>
        <v>0</v>
      </c>
      <c r="AC102" s="308">
        <f t="shared" si="73"/>
        <v>0</v>
      </c>
      <c r="AD102" s="101">
        <f t="shared" si="50"/>
        <v>0</v>
      </c>
      <c r="AE102" s="101">
        <f t="shared" si="51"/>
        <v>0</v>
      </c>
      <c r="AF102" s="197">
        <f t="shared" si="69"/>
        <v>39.463054392679993</v>
      </c>
      <c r="AG102" s="197">
        <f t="shared" si="70"/>
        <v>0</v>
      </c>
      <c r="AH102" s="197">
        <f t="shared" si="71"/>
        <v>0</v>
      </c>
      <c r="AI102" s="202">
        <f t="shared" si="72"/>
        <v>39.463054392679993</v>
      </c>
      <c r="AK102" s="71">
        <v>97</v>
      </c>
      <c r="AL102" s="33">
        <f t="shared" si="52"/>
        <v>0</v>
      </c>
      <c r="AM102" s="33">
        <f t="shared" si="53"/>
        <v>0</v>
      </c>
      <c r="AN102" s="33">
        <f t="shared" si="54"/>
        <v>0</v>
      </c>
      <c r="AO102" s="33">
        <f t="shared" si="55"/>
        <v>0</v>
      </c>
      <c r="AP102" s="33">
        <f t="shared" si="56"/>
        <v>0</v>
      </c>
      <c r="AQ102" s="197">
        <f t="shared" si="40"/>
        <v>0</v>
      </c>
      <c r="AR102" s="197">
        <f t="shared" si="40"/>
        <v>0</v>
      </c>
      <c r="AS102" s="197">
        <f t="shared" si="40"/>
        <v>0</v>
      </c>
      <c r="AT102" s="197">
        <f t="shared" si="40"/>
        <v>0</v>
      </c>
      <c r="AU102" s="33"/>
      <c r="AV102" s="33"/>
      <c r="AW102" s="33"/>
      <c r="AX102" s="33"/>
      <c r="AY102" s="76"/>
    </row>
    <row r="103" spans="2:51" ht="16">
      <c r="C103" s="25" t="s">
        <v>157</v>
      </c>
      <c r="D103" s="141" t="s">
        <v>158</v>
      </c>
      <c r="F103" s="193" t="s">
        <v>232</v>
      </c>
      <c r="I103" s="55">
        <v>98</v>
      </c>
      <c r="J103" s="33">
        <f t="shared" si="59"/>
        <v>0</v>
      </c>
      <c r="K103" s="33">
        <f t="shared" si="60"/>
        <v>0</v>
      </c>
      <c r="L103" s="33">
        <f t="shared" si="61"/>
        <v>70</v>
      </c>
      <c r="M103" s="33">
        <f t="shared" si="62"/>
        <v>0</v>
      </c>
      <c r="N103" s="33">
        <f t="shared" si="43"/>
        <v>0</v>
      </c>
      <c r="O103" s="34">
        <f t="shared" si="44"/>
        <v>256.66666666666669</v>
      </c>
      <c r="P103" s="55">
        <v>98</v>
      </c>
      <c r="Q103" s="33">
        <f t="shared" si="57"/>
        <v>14.039999999999992</v>
      </c>
      <c r="R103" s="33">
        <f t="shared" si="63"/>
        <v>595.91999999999962</v>
      </c>
      <c r="S103" s="33">
        <f t="shared" si="64"/>
        <v>363.51119999999975</v>
      </c>
      <c r="T103" s="33">
        <f t="shared" si="45"/>
        <v>84.338445051031783</v>
      </c>
      <c r="U103" s="33">
        <f t="shared" si="58"/>
        <v>70</v>
      </c>
      <c r="V103" s="33">
        <f t="shared" si="46"/>
        <v>10</v>
      </c>
      <c r="W103" s="33">
        <v>0</v>
      </c>
      <c r="X103" s="33">
        <f t="shared" si="47"/>
        <v>1073.3381317972132</v>
      </c>
      <c r="Y103" s="38">
        <f t="shared" si="48"/>
        <v>816.67146513054649</v>
      </c>
      <c r="AA103" s="71">
        <v>98</v>
      </c>
      <c r="AB103" s="33">
        <f t="shared" si="49"/>
        <v>0</v>
      </c>
      <c r="AC103" s="308">
        <f t="shared" si="73"/>
        <v>0</v>
      </c>
      <c r="AD103" s="101">
        <f t="shared" si="50"/>
        <v>0</v>
      </c>
      <c r="AE103" s="101">
        <f t="shared" si="51"/>
        <v>0</v>
      </c>
      <c r="AF103" s="197">
        <f t="shared" si="69"/>
        <v>38.689207966125991</v>
      </c>
      <c r="AG103" s="197">
        <f t="shared" si="70"/>
        <v>0</v>
      </c>
      <c r="AH103" s="197">
        <f t="shared" si="71"/>
        <v>0</v>
      </c>
      <c r="AI103" s="202">
        <f t="shared" si="72"/>
        <v>38.689207966125991</v>
      </c>
      <c r="AK103" s="71">
        <v>98</v>
      </c>
      <c r="AL103" s="33">
        <f t="shared" si="52"/>
        <v>0</v>
      </c>
      <c r="AM103" s="33">
        <f t="shared" si="53"/>
        <v>0</v>
      </c>
      <c r="AN103" s="33">
        <f t="shared" si="54"/>
        <v>0</v>
      </c>
      <c r="AO103" s="33">
        <f t="shared" si="55"/>
        <v>0</v>
      </c>
      <c r="AP103" s="33">
        <f t="shared" si="56"/>
        <v>0</v>
      </c>
      <c r="AQ103" s="197">
        <f t="shared" si="40"/>
        <v>0</v>
      </c>
      <c r="AR103" s="197">
        <f t="shared" si="40"/>
        <v>0</v>
      </c>
      <c r="AS103" s="197">
        <f t="shared" si="40"/>
        <v>0</v>
      </c>
      <c r="AT103" s="197">
        <f t="shared" si="40"/>
        <v>0</v>
      </c>
      <c r="AU103" s="33"/>
      <c r="AV103" s="33"/>
      <c r="AW103" s="33"/>
      <c r="AX103" s="33"/>
      <c r="AY103" s="76"/>
    </row>
    <row r="104" spans="2:51">
      <c r="B104" t="s">
        <v>78</v>
      </c>
      <c r="C104">
        <v>1.52</v>
      </c>
      <c r="D104">
        <v>35</v>
      </c>
      <c r="F104" s="192" t="s">
        <v>228</v>
      </c>
      <c r="G104" s="24">
        <v>0.25</v>
      </c>
      <c r="I104" s="55">
        <v>99</v>
      </c>
      <c r="J104" s="33">
        <f t="shared" si="59"/>
        <v>0</v>
      </c>
      <c r="K104" s="33">
        <f t="shared" si="60"/>
        <v>0</v>
      </c>
      <c r="L104" s="33">
        <f t="shared" si="61"/>
        <v>70</v>
      </c>
      <c r="M104" s="33">
        <f t="shared" si="62"/>
        <v>0</v>
      </c>
      <c r="N104" s="33">
        <f t="shared" si="43"/>
        <v>0</v>
      </c>
      <c r="O104" s="34">
        <f t="shared" si="44"/>
        <v>256.66666666666669</v>
      </c>
      <c r="P104" s="55">
        <v>99</v>
      </c>
      <c r="Q104" s="33">
        <f t="shared" si="57"/>
        <v>14.039999999999992</v>
      </c>
      <c r="R104" s="33">
        <f t="shared" si="63"/>
        <v>609.95999999999958</v>
      </c>
      <c r="S104" s="33">
        <f t="shared" si="64"/>
        <v>372.07559999999972</v>
      </c>
      <c r="T104" s="33">
        <f t="shared" si="45"/>
        <v>86.091799389706509</v>
      </c>
      <c r="U104" s="33">
        <f t="shared" si="58"/>
        <v>70</v>
      </c>
      <c r="V104" s="33">
        <f t="shared" si="46"/>
        <v>10</v>
      </c>
      <c r="W104" s="33">
        <v>0</v>
      </c>
      <c r="X104" s="33">
        <f t="shared" si="47"/>
        <v>1091.3082206037384</v>
      </c>
      <c r="Y104" s="38">
        <f t="shared" si="48"/>
        <v>834.64155393707165</v>
      </c>
      <c r="AA104" s="71">
        <v>99</v>
      </c>
      <c r="AB104" s="33">
        <f t="shared" si="49"/>
        <v>0</v>
      </c>
      <c r="AC104" s="308">
        <f t="shared" si="73"/>
        <v>0</v>
      </c>
      <c r="AD104" s="101">
        <f t="shared" si="50"/>
        <v>0</v>
      </c>
      <c r="AE104" s="101">
        <f t="shared" si="51"/>
        <v>0</v>
      </c>
      <c r="AF104" s="197">
        <f t="shared" si="69"/>
        <v>37.930536195997</v>
      </c>
      <c r="AG104" s="197">
        <f t="shared" si="70"/>
        <v>0</v>
      </c>
      <c r="AH104" s="197">
        <f t="shared" si="71"/>
        <v>0</v>
      </c>
      <c r="AI104" s="202">
        <f t="shared" si="72"/>
        <v>37.930536195997</v>
      </c>
      <c r="AK104" s="71">
        <v>99</v>
      </c>
      <c r="AL104" s="33">
        <f t="shared" si="52"/>
        <v>0</v>
      </c>
      <c r="AM104" s="33">
        <f t="shared" si="53"/>
        <v>0</v>
      </c>
      <c r="AN104" s="33">
        <f t="shared" si="54"/>
        <v>0</v>
      </c>
      <c r="AO104" s="33">
        <f t="shared" si="55"/>
        <v>0</v>
      </c>
      <c r="AP104" s="33">
        <f t="shared" si="56"/>
        <v>0</v>
      </c>
      <c r="AQ104" s="197">
        <f t="shared" si="40"/>
        <v>0</v>
      </c>
      <c r="AR104" s="197">
        <f t="shared" si="40"/>
        <v>0</v>
      </c>
      <c r="AS104" s="197">
        <f t="shared" si="40"/>
        <v>0</v>
      </c>
      <c r="AT104" s="197">
        <f t="shared" si="40"/>
        <v>0</v>
      </c>
      <c r="AU104" s="33"/>
      <c r="AV104" s="33"/>
      <c r="AW104" s="33"/>
      <c r="AX104" s="33"/>
      <c r="AY104" s="76"/>
    </row>
    <row r="105" spans="2:51">
      <c r="B105" t="s">
        <v>80</v>
      </c>
      <c r="C105">
        <v>0</v>
      </c>
      <c r="D105">
        <v>2</v>
      </c>
      <c r="F105" s="192" t="s">
        <v>230</v>
      </c>
      <c r="G105" s="24">
        <v>1.03</v>
      </c>
      <c r="I105" s="55">
        <v>100</v>
      </c>
      <c r="J105" s="33">
        <f t="shared" si="59"/>
        <v>0</v>
      </c>
      <c r="K105" s="33">
        <f t="shared" si="60"/>
        <v>0</v>
      </c>
      <c r="L105" s="33">
        <f t="shared" si="61"/>
        <v>70</v>
      </c>
      <c r="M105" s="33">
        <f t="shared" si="62"/>
        <v>0</v>
      </c>
      <c r="N105" s="33">
        <f t="shared" si="43"/>
        <v>0</v>
      </c>
      <c r="O105" s="34">
        <f t="shared" si="44"/>
        <v>256.66666666666669</v>
      </c>
      <c r="P105" s="55">
        <v>100</v>
      </c>
      <c r="Q105" s="33">
        <f t="shared" si="57"/>
        <v>14.039999999999992</v>
      </c>
      <c r="R105" s="33">
        <f t="shared" si="63"/>
        <v>623.99999999999955</v>
      </c>
      <c r="S105" s="33">
        <f t="shared" si="64"/>
        <v>380.6399999999997</v>
      </c>
      <c r="T105" s="33">
        <f t="shared" si="45"/>
        <v>87.840461844123169</v>
      </c>
      <c r="U105" s="33">
        <f t="shared" si="58"/>
        <v>70</v>
      </c>
      <c r="V105" s="33">
        <f t="shared" si="46"/>
        <v>10</v>
      </c>
      <c r="W105" s="33">
        <v>0</v>
      </c>
      <c r="X105" s="33">
        <f t="shared" si="47"/>
        <v>1109.2701377118474</v>
      </c>
      <c r="Y105" s="38">
        <f t="shared" si="48"/>
        <v>852.60347104518064</v>
      </c>
      <c r="AA105" s="71">
        <v>100</v>
      </c>
      <c r="AB105" s="33">
        <f t="shared" si="49"/>
        <v>400</v>
      </c>
      <c r="AC105" s="308">
        <f t="shared" si="73"/>
        <v>0.47499999999999998</v>
      </c>
      <c r="AD105" s="101">
        <f t="shared" si="50"/>
        <v>0</v>
      </c>
      <c r="AE105" s="101">
        <f t="shared" si="51"/>
        <v>0</v>
      </c>
      <c r="AF105" s="197">
        <f t="shared" si="69"/>
        <v>237.0602080176117</v>
      </c>
      <c r="AG105" s="197">
        <f t="shared" si="70"/>
        <v>0</v>
      </c>
      <c r="AH105" s="197">
        <f t="shared" si="71"/>
        <v>0</v>
      </c>
      <c r="AI105" s="202">
        <f t="shared" si="72"/>
        <v>237.0602080176117</v>
      </c>
      <c r="AK105" s="71">
        <v>100</v>
      </c>
      <c r="AL105" s="33">
        <f t="shared" si="52"/>
        <v>400</v>
      </c>
      <c r="AM105" s="33">
        <f t="shared" si="53"/>
        <v>0.95</v>
      </c>
      <c r="AN105" s="33">
        <f t="shared" si="54"/>
        <v>0</v>
      </c>
      <c r="AO105" s="33">
        <f t="shared" si="55"/>
        <v>0</v>
      </c>
      <c r="AP105" s="33">
        <f t="shared" si="56"/>
        <v>5.0000000000000044E-2</v>
      </c>
      <c r="AQ105" s="197">
        <f t="shared" si="40"/>
        <v>380</v>
      </c>
      <c r="AR105" s="197">
        <f t="shared" si="40"/>
        <v>0</v>
      </c>
      <c r="AS105" s="197">
        <f t="shared" si="40"/>
        <v>0</v>
      </c>
      <c r="AT105" s="197">
        <f t="shared" ref="AT105:AT168" si="74">IF($AK105&lt;=$F$18,$AL105*AP105,)</f>
        <v>20.000000000000018</v>
      </c>
      <c r="AU105" s="33"/>
      <c r="AV105" s="33"/>
      <c r="AW105" s="33"/>
      <c r="AX105" s="33"/>
      <c r="AY105" s="76"/>
    </row>
    <row r="106" spans="2:51" ht="30">
      <c r="B106" t="s">
        <v>81</v>
      </c>
      <c r="C106">
        <v>0.77</v>
      </c>
      <c r="D106">
        <v>25</v>
      </c>
      <c r="F106" s="192" t="s">
        <v>231</v>
      </c>
      <c r="G106" s="24">
        <v>0.59</v>
      </c>
      <c r="I106" s="55">
        <v>101</v>
      </c>
      <c r="J106" s="33">
        <f t="shared" si="59"/>
        <v>0</v>
      </c>
      <c r="K106" s="33">
        <f t="shared" si="60"/>
        <v>0</v>
      </c>
      <c r="L106" s="33">
        <f t="shared" si="61"/>
        <v>0</v>
      </c>
      <c r="M106" s="33">
        <f t="shared" si="62"/>
        <v>0</v>
      </c>
      <c r="N106" s="33">
        <f t="shared" si="43"/>
        <v>0</v>
      </c>
      <c r="O106" s="34">
        <f t="shared" si="44"/>
        <v>0</v>
      </c>
      <c r="P106" s="55">
        <v>101</v>
      </c>
      <c r="Q106" s="33">
        <f t="shared" si="57"/>
        <v>0</v>
      </c>
      <c r="R106" s="33">
        <f t="shared" si="63"/>
        <v>0</v>
      </c>
      <c r="S106" s="33">
        <f t="shared" si="64"/>
        <v>0</v>
      </c>
      <c r="T106" s="33">
        <f t="shared" si="45"/>
        <v>0</v>
      </c>
      <c r="U106" s="33">
        <f t="shared" si="58"/>
        <v>0</v>
      </c>
      <c r="V106" s="33">
        <f t="shared" si="46"/>
        <v>0</v>
      </c>
      <c r="W106" s="33">
        <v>0</v>
      </c>
      <c r="X106" s="33">
        <f t="shared" si="47"/>
        <v>0</v>
      </c>
      <c r="Y106" s="38">
        <f t="shared" si="48"/>
        <v>0</v>
      </c>
      <c r="AA106" s="71">
        <v>101</v>
      </c>
      <c r="AB106" s="33">
        <f t="shared" si="49"/>
        <v>0</v>
      </c>
      <c r="AC106" s="308">
        <f t="shared" si="73"/>
        <v>0</v>
      </c>
      <c r="AD106" s="101">
        <f t="shared" si="50"/>
        <v>0</v>
      </c>
      <c r="AE106" s="101">
        <f t="shared" si="51"/>
        <v>0</v>
      </c>
      <c r="AF106" s="197">
        <f t="shared" si="69"/>
        <v>0</v>
      </c>
      <c r="AG106" s="197">
        <f t="shared" si="70"/>
        <v>0</v>
      </c>
      <c r="AH106" s="197">
        <f t="shared" si="71"/>
        <v>0</v>
      </c>
      <c r="AI106" s="202">
        <f t="shared" si="72"/>
        <v>0</v>
      </c>
      <c r="AK106" s="71">
        <v>101</v>
      </c>
      <c r="AL106" s="33">
        <f t="shared" si="52"/>
        <v>0</v>
      </c>
      <c r="AM106" s="33">
        <f t="shared" si="53"/>
        <v>0</v>
      </c>
      <c r="AN106" s="33">
        <f t="shared" si="54"/>
        <v>0</v>
      </c>
      <c r="AO106" s="33">
        <f t="shared" si="55"/>
        <v>0</v>
      </c>
      <c r="AP106" s="33">
        <f t="shared" si="56"/>
        <v>0</v>
      </c>
      <c r="AQ106" s="197">
        <f t="shared" ref="AQ106:AT169" si="75">IF($AK106&lt;=$F$18,$AL106*AM106,)</f>
        <v>0</v>
      </c>
      <c r="AR106" s="197">
        <f t="shared" si="75"/>
        <v>0</v>
      </c>
      <c r="AS106" s="197">
        <f t="shared" si="75"/>
        <v>0</v>
      </c>
      <c r="AT106" s="197">
        <f t="shared" si="74"/>
        <v>0</v>
      </c>
      <c r="AU106" s="33"/>
      <c r="AV106" s="33"/>
      <c r="AW106" s="33"/>
      <c r="AX106" s="33"/>
      <c r="AY106" s="76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192" t="s">
        <v>229</v>
      </c>
      <c r="G107" s="24">
        <v>0.43</v>
      </c>
      <c r="I107" s="55">
        <v>102</v>
      </c>
      <c r="J107" s="33">
        <f t="shared" si="59"/>
        <v>0</v>
      </c>
      <c r="K107" s="33">
        <f t="shared" si="60"/>
        <v>0</v>
      </c>
      <c r="L107" s="33">
        <f t="shared" si="61"/>
        <v>0</v>
      </c>
      <c r="M107" s="33">
        <f t="shared" si="62"/>
        <v>0</v>
      </c>
      <c r="N107" s="33">
        <f t="shared" si="43"/>
        <v>0</v>
      </c>
      <c r="O107" s="34">
        <f t="shared" si="44"/>
        <v>0</v>
      </c>
      <c r="P107" s="55">
        <v>102</v>
      </c>
      <c r="Q107" s="33">
        <f t="shared" si="57"/>
        <v>0</v>
      </c>
      <c r="R107" s="33">
        <f t="shared" si="63"/>
        <v>0</v>
      </c>
      <c r="S107" s="33">
        <f t="shared" si="64"/>
        <v>0</v>
      </c>
      <c r="T107" s="33">
        <f t="shared" si="45"/>
        <v>0</v>
      </c>
      <c r="U107" s="33">
        <f t="shared" si="58"/>
        <v>0</v>
      </c>
      <c r="V107" s="33">
        <f t="shared" si="46"/>
        <v>0</v>
      </c>
      <c r="W107" s="33">
        <v>0</v>
      </c>
      <c r="X107" s="33">
        <f t="shared" si="47"/>
        <v>0</v>
      </c>
      <c r="Y107" s="38">
        <f t="shared" si="48"/>
        <v>0</v>
      </c>
      <c r="AA107" s="71">
        <v>102</v>
      </c>
      <c r="AB107" s="33">
        <f t="shared" si="49"/>
        <v>0</v>
      </c>
      <c r="AC107" s="308">
        <f t="shared" si="73"/>
        <v>0</v>
      </c>
      <c r="AD107" s="101">
        <f t="shared" si="50"/>
        <v>0</v>
      </c>
      <c r="AE107" s="101">
        <f t="shared" si="51"/>
        <v>0</v>
      </c>
      <c r="AF107" s="197">
        <f t="shared" si="69"/>
        <v>0</v>
      </c>
      <c r="AG107" s="197">
        <f t="shared" si="70"/>
        <v>0</v>
      </c>
      <c r="AH107" s="197">
        <f t="shared" si="71"/>
        <v>0</v>
      </c>
      <c r="AI107" s="202">
        <f t="shared" si="72"/>
        <v>0</v>
      </c>
      <c r="AK107" s="71">
        <v>102</v>
      </c>
      <c r="AL107" s="33">
        <f t="shared" si="52"/>
        <v>0</v>
      </c>
      <c r="AM107" s="33">
        <f t="shared" si="53"/>
        <v>0</v>
      </c>
      <c r="AN107" s="33">
        <f t="shared" si="54"/>
        <v>0</v>
      </c>
      <c r="AO107" s="33">
        <f t="shared" si="55"/>
        <v>0</v>
      </c>
      <c r="AP107" s="33">
        <f t="shared" si="56"/>
        <v>0</v>
      </c>
      <c r="AQ107" s="197">
        <f t="shared" si="75"/>
        <v>0</v>
      </c>
      <c r="AR107" s="197">
        <f t="shared" si="75"/>
        <v>0</v>
      </c>
      <c r="AS107" s="197">
        <f t="shared" si="75"/>
        <v>0</v>
      </c>
      <c r="AT107" s="197">
        <f t="shared" si="74"/>
        <v>0</v>
      </c>
      <c r="AU107" s="33"/>
      <c r="AV107" s="33"/>
      <c r="AW107" s="33"/>
      <c r="AX107" s="33"/>
      <c r="AY107" s="76"/>
    </row>
    <row r="108" spans="2:51">
      <c r="B108" t="s">
        <v>79</v>
      </c>
      <c r="C108">
        <v>0.25</v>
      </c>
      <c r="D108">
        <v>0</v>
      </c>
      <c r="F108" s="194" t="s">
        <v>233</v>
      </c>
      <c r="G108" s="195">
        <f>VLOOKUP(VLOOKUP(F17,C131:E195,3,FALSE),F104:G107,2,FALSE)</f>
        <v>0.25</v>
      </c>
      <c r="I108" s="55">
        <v>103</v>
      </c>
      <c r="J108" s="33">
        <f t="shared" si="59"/>
        <v>0</v>
      </c>
      <c r="K108" s="33">
        <f t="shared" si="60"/>
        <v>0</v>
      </c>
      <c r="L108" s="33">
        <f t="shared" si="61"/>
        <v>0</v>
      </c>
      <c r="M108" s="33">
        <f t="shared" si="62"/>
        <v>0</v>
      </c>
      <c r="N108" s="33">
        <f t="shared" si="43"/>
        <v>0</v>
      </c>
      <c r="O108" s="34">
        <f t="shared" si="44"/>
        <v>0</v>
      </c>
      <c r="P108" s="55">
        <v>103</v>
      </c>
      <c r="Q108" s="33">
        <f t="shared" si="57"/>
        <v>0</v>
      </c>
      <c r="R108" s="33">
        <f t="shared" si="63"/>
        <v>0</v>
      </c>
      <c r="S108" s="33">
        <f t="shared" si="64"/>
        <v>0</v>
      </c>
      <c r="T108" s="33">
        <f t="shared" si="45"/>
        <v>0</v>
      </c>
      <c r="U108" s="33">
        <f t="shared" si="58"/>
        <v>0</v>
      </c>
      <c r="V108" s="33">
        <f t="shared" si="46"/>
        <v>0</v>
      </c>
      <c r="W108" s="33">
        <v>0</v>
      </c>
      <c r="X108" s="33">
        <f t="shared" si="47"/>
        <v>0</v>
      </c>
      <c r="Y108" s="38">
        <f t="shared" si="48"/>
        <v>0</v>
      </c>
      <c r="AA108" s="71">
        <v>103</v>
      </c>
      <c r="AB108" s="33">
        <f t="shared" si="49"/>
        <v>0</v>
      </c>
      <c r="AC108" s="308">
        <f t="shared" si="73"/>
        <v>0</v>
      </c>
      <c r="AD108" s="101">
        <f t="shared" si="50"/>
        <v>0</v>
      </c>
      <c r="AE108" s="101">
        <f t="shared" si="51"/>
        <v>0</v>
      </c>
      <c r="AF108" s="197">
        <f t="shared" si="69"/>
        <v>0</v>
      </c>
      <c r="AG108" s="197">
        <f t="shared" si="70"/>
        <v>0</v>
      </c>
      <c r="AH108" s="197">
        <f t="shared" si="71"/>
        <v>0</v>
      </c>
      <c r="AI108" s="202">
        <f t="shared" si="72"/>
        <v>0</v>
      </c>
      <c r="AK108" s="71">
        <v>103</v>
      </c>
      <c r="AL108" s="33">
        <f t="shared" si="52"/>
        <v>0</v>
      </c>
      <c r="AM108" s="33">
        <f t="shared" si="53"/>
        <v>0</v>
      </c>
      <c r="AN108" s="33">
        <f t="shared" si="54"/>
        <v>0</v>
      </c>
      <c r="AO108" s="33">
        <f t="shared" si="55"/>
        <v>0</v>
      </c>
      <c r="AP108" s="33">
        <f t="shared" si="56"/>
        <v>0</v>
      </c>
      <c r="AQ108" s="197">
        <f t="shared" si="75"/>
        <v>0</v>
      </c>
      <c r="AR108" s="197">
        <f t="shared" si="75"/>
        <v>0</v>
      </c>
      <c r="AS108" s="197">
        <f t="shared" si="75"/>
        <v>0</v>
      </c>
      <c r="AT108" s="197">
        <f t="shared" si="74"/>
        <v>0</v>
      </c>
      <c r="AU108" s="33"/>
      <c r="AV108" s="33"/>
      <c r="AW108" s="33"/>
      <c r="AX108" s="33"/>
      <c r="AY108" s="76"/>
    </row>
    <row r="109" spans="2:51">
      <c r="I109" s="55">
        <v>104</v>
      </c>
      <c r="J109" s="33">
        <f t="shared" si="59"/>
        <v>0</v>
      </c>
      <c r="K109" s="33">
        <f t="shared" si="60"/>
        <v>0</v>
      </c>
      <c r="L109" s="33">
        <f t="shared" si="61"/>
        <v>0</v>
      </c>
      <c r="M109" s="33">
        <f t="shared" si="62"/>
        <v>0</v>
      </c>
      <c r="N109" s="33">
        <f t="shared" si="43"/>
        <v>0</v>
      </c>
      <c r="O109" s="34">
        <f t="shared" si="44"/>
        <v>0</v>
      </c>
      <c r="P109" s="55">
        <v>104</v>
      </c>
      <c r="Q109" s="33">
        <f t="shared" si="57"/>
        <v>0</v>
      </c>
      <c r="R109" s="33">
        <f t="shared" si="63"/>
        <v>0</v>
      </c>
      <c r="S109" s="33">
        <f t="shared" si="64"/>
        <v>0</v>
      </c>
      <c r="T109" s="33">
        <f t="shared" si="45"/>
        <v>0</v>
      </c>
      <c r="U109" s="33">
        <f t="shared" si="58"/>
        <v>0</v>
      </c>
      <c r="V109" s="33">
        <f t="shared" si="46"/>
        <v>0</v>
      </c>
      <c r="W109" s="33">
        <v>0</v>
      </c>
      <c r="X109" s="33">
        <f t="shared" si="47"/>
        <v>0</v>
      </c>
      <c r="Y109" s="38">
        <f t="shared" si="48"/>
        <v>0</v>
      </c>
      <c r="AA109" s="71">
        <v>104</v>
      </c>
      <c r="AB109" s="33">
        <f t="shared" si="49"/>
        <v>0</v>
      </c>
      <c r="AC109" s="308">
        <f t="shared" si="73"/>
        <v>0</v>
      </c>
      <c r="AD109" s="101">
        <f t="shared" si="50"/>
        <v>0</v>
      </c>
      <c r="AE109" s="101">
        <f t="shared" si="51"/>
        <v>0</v>
      </c>
      <c r="AF109" s="197">
        <f t="shared" si="69"/>
        <v>0</v>
      </c>
      <c r="AG109" s="197">
        <f t="shared" si="70"/>
        <v>0</v>
      </c>
      <c r="AH109" s="197">
        <f t="shared" si="71"/>
        <v>0</v>
      </c>
      <c r="AI109" s="202">
        <f t="shared" si="72"/>
        <v>0</v>
      </c>
      <c r="AK109" s="71">
        <v>104</v>
      </c>
      <c r="AL109" s="33">
        <f t="shared" si="52"/>
        <v>0</v>
      </c>
      <c r="AM109" s="33">
        <f t="shared" si="53"/>
        <v>0</v>
      </c>
      <c r="AN109" s="33">
        <f t="shared" si="54"/>
        <v>0</v>
      </c>
      <c r="AO109" s="33">
        <f t="shared" si="55"/>
        <v>0</v>
      </c>
      <c r="AP109" s="33">
        <f t="shared" si="56"/>
        <v>0</v>
      </c>
      <c r="AQ109" s="197">
        <f t="shared" si="75"/>
        <v>0</v>
      </c>
      <c r="AR109" s="197">
        <f t="shared" si="75"/>
        <v>0</v>
      </c>
      <c r="AS109" s="197">
        <f t="shared" si="75"/>
        <v>0</v>
      </c>
      <c r="AT109" s="197">
        <f t="shared" si="74"/>
        <v>0</v>
      </c>
      <c r="AU109" s="33"/>
      <c r="AV109" s="33"/>
      <c r="AW109" s="33"/>
      <c r="AX109" s="33"/>
      <c r="AY109" s="76"/>
    </row>
    <row r="110" spans="2:51">
      <c r="I110" s="55">
        <v>105</v>
      </c>
      <c r="J110" s="33">
        <f t="shared" si="59"/>
        <v>0</v>
      </c>
      <c r="K110" s="33">
        <f t="shared" si="60"/>
        <v>0</v>
      </c>
      <c r="L110" s="33">
        <f t="shared" si="61"/>
        <v>0</v>
      </c>
      <c r="M110" s="33">
        <f t="shared" si="62"/>
        <v>0</v>
      </c>
      <c r="N110" s="33">
        <f t="shared" si="43"/>
        <v>0</v>
      </c>
      <c r="O110" s="34">
        <f t="shared" si="44"/>
        <v>0</v>
      </c>
      <c r="P110" s="55">
        <v>105</v>
      </c>
      <c r="Q110" s="33">
        <f t="shared" si="57"/>
        <v>0</v>
      </c>
      <c r="R110" s="33">
        <f t="shared" si="63"/>
        <v>0</v>
      </c>
      <c r="S110" s="33">
        <f t="shared" si="64"/>
        <v>0</v>
      </c>
      <c r="T110" s="33">
        <f t="shared" si="45"/>
        <v>0</v>
      </c>
      <c r="U110" s="33">
        <f t="shared" si="58"/>
        <v>0</v>
      </c>
      <c r="V110" s="33">
        <f t="shared" si="46"/>
        <v>0</v>
      </c>
      <c r="W110" s="33">
        <v>0</v>
      </c>
      <c r="X110" s="33">
        <f t="shared" si="47"/>
        <v>0</v>
      </c>
      <c r="Y110" s="38">
        <f t="shared" si="48"/>
        <v>0</v>
      </c>
      <c r="AA110" s="71">
        <v>105</v>
      </c>
      <c r="AB110" s="33">
        <f t="shared" si="49"/>
        <v>0</v>
      </c>
      <c r="AC110" s="308">
        <f t="shared" si="73"/>
        <v>0</v>
      </c>
      <c r="AD110" s="101">
        <f t="shared" si="50"/>
        <v>0</v>
      </c>
      <c r="AE110" s="101">
        <f t="shared" si="51"/>
        <v>0</v>
      </c>
      <c r="AF110" s="197">
        <f t="shared" si="69"/>
        <v>0</v>
      </c>
      <c r="AG110" s="197">
        <f t="shared" si="70"/>
        <v>0</v>
      </c>
      <c r="AH110" s="197">
        <f t="shared" si="71"/>
        <v>0</v>
      </c>
      <c r="AI110" s="202">
        <f t="shared" si="72"/>
        <v>0</v>
      </c>
      <c r="AK110" s="71">
        <v>105</v>
      </c>
      <c r="AL110" s="33">
        <f t="shared" si="52"/>
        <v>0</v>
      </c>
      <c r="AM110" s="33">
        <f t="shared" si="53"/>
        <v>0</v>
      </c>
      <c r="AN110" s="33">
        <f t="shared" si="54"/>
        <v>0</v>
      </c>
      <c r="AO110" s="33">
        <f t="shared" si="55"/>
        <v>0</v>
      </c>
      <c r="AP110" s="33">
        <f t="shared" si="56"/>
        <v>0</v>
      </c>
      <c r="AQ110" s="197">
        <f t="shared" si="75"/>
        <v>0</v>
      </c>
      <c r="AR110" s="197">
        <f t="shared" si="75"/>
        <v>0</v>
      </c>
      <c r="AS110" s="197">
        <f t="shared" si="75"/>
        <v>0</v>
      </c>
      <c r="AT110" s="197">
        <f t="shared" si="74"/>
        <v>0</v>
      </c>
      <c r="AU110" s="33"/>
      <c r="AV110" s="33"/>
      <c r="AW110" s="33"/>
      <c r="AX110" s="33"/>
      <c r="AY110" s="76"/>
    </row>
    <row r="111" spans="2:51">
      <c r="C111" s="141" t="s">
        <v>169</v>
      </c>
      <c r="D111" s="141"/>
      <c r="E111" s="141"/>
      <c r="I111" s="55">
        <v>106</v>
      </c>
      <c r="J111" s="33">
        <f t="shared" si="59"/>
        <v>0</v>
      </c>
      <c r="K111" s="33">
        <f t="shared" si="60"/>
        <v>0</v>
      </c>
      <c r="L111" s="33">
        <f t="shared" si="61"/>
        <v>0</v>
      </c>
      <c r="M111" s="33">
        <f t="shared" si="62"/>
        <v>0</v>
      </c>
      <c r="N111" s="33">
        <f t="shared" si="43"/>
        <v>0</v>
      </c>
      <c r="O111" s="34">
        <f t="shared" si="44"/>
        <v>0</v>
      </c>
      <c r="P111" s="55">
        <v>106</v>
      </c>
      <c r="Q111" s="33">
        <f t="shared" si="57"/>
        <v>0</v>
      </c>
      <c r="R111" s="33">
        <f t="shared" si="63"/>
        <v>0</v>
      </c>
      <c r="S111" s="33">
        <f t="shared" si="64"/>
        <v>0</v>
      </c>
      <c r="T111" s="33">
        <f t="shared" si="45"/>
        <v>0</v>
      </c>
      <c r="U111" s="33">
        <f t="shared" si="58"/>
        <v>0</v>
      </c>
      <c r="V111" s="33">
        <f t="shared" si="46"/>
        <v>0</v>
      </c>
      <c r="W111" s="33">
        <v>0</v>
      </c>
      <c r="X111" s="33">
        <f t="shared" si="47"/>
        <v>0</v>
      </c>
      <c r="Y111" s="38">
        <f t="shared" si="48"/>
        <v>0</v>
      </c>
      <c r="AA111" s="71">
        <v>106</v>
      </c>
      <c r="AB111" s="33">
        <f t="shared" si="49"/>
        <v>0</v>
      </c>
      <c r="AC111" s="308">
        <f t="shared" si="73"/>
        <v>0</v>
      </c>
      <c r="AD111" s="101">
        <f t="shared" si="50"/>
        <v>0</v>
      </c>
      <c r="AE111" s="101">
        <f t="shared" si="51"/>
        <v>0</v>
      </c>
      <c r="AF111" s="197">
        <f t="shared" si="69"/>
        <v>0</v>
      </c>
      <c r="AG111" s="197">
        <f t="shared" si="70"/>
        <v>0</v>
      </c>
      <c r="AH111" s="197">
        <f t="shared" si="71"/>
        <v>0</v>
      </c>
      <c r="AI111" s="202">
        <f t="shared" si="72"/>
        <v>0</v>
      </c>
      <c r="AK111" s="71">
        <v>106</v>
      </c>
      <c r="AL111" s="33">
        <f t="shared" si="52"/>
        <v>0</v>
      </c>
      <c r="AM111" s="33">
        <f t="shared" si="53"/>
        <v>0</v>
      </c>
      <c r="AN111" s="33">
        <f t="shared" si="54"/>
        <v>0</v>
      </c>
      <c r="AO111" s="33">
        <f t="shared" si="55"/>
        <v>0</v>
      </c>
      <c r="AP111" s="33">
        <f t="shared" si="56"/>
        <v>0</v>
      </c>
      <c r="AQ111" s="197">
        <f t="shared" si="75"/>
        <v>0</v>
      </c>
      <c r="AR111" s="197">
        <f t="shared" si="75"/>
        <v>0</v>
      </c>
      <c r="AS111" s="197">
        <f t="shared" si="75"/>
        <v>0</v>
      </c>
      <c r="AT111" s="197">
        <f t="shared" si="74"/>
        <v>0</v>
      </c>
      <c r="AU111" s="33"/>
      <c r="AV111" s="33"/>
      <c r="AW111" s="33"/>
      <c r="AX111" s="33"/>
      <c r="AY111" s="76"/>
    </row>
    <row r="112" spans="2:51">
      <c r="C112" s="74" t="s">
        <v>145</v>
      </c>
      <c r="D112" s="74" t="s">
        <v>72</v>
      </c>
      <c r="E112" s="74" t="s">
        <v>166</v>
      </c>
      <c r="I112" s="55">
        <v>107</v>
      </c>
      <c r="J112" s="33">
        <f t="shared" si="59"/>
        <v>0</v>
      </c>
      <c r="K112" s="33">
        <f t="shared" si="60"/>
        <v>0</v>
      </c>
      <c r="L112" s="33">
        <f t="shared" si="61"/>
        <v>0</v>
      </c>
      <c r="M112" s="33">
        <f t="shared" si="62"/>
        <v>0</v>
      </c>
      <c r="N112" s="33">
        <f t="shared" si="43"/>
        <v>0</v>
      </c>
      <c r="O112" s="34">
        <f t="shared" si="44"/>
        <v>0</v>
      </c>
      <c r="P112" s="55">
        <v>107</v>
      </c>
      <c r="Q112" s="33">
        <f t="shared" si="57"/>
        <v>0</v>
      </c>
      <c r="R112" s="33">
        <f t="shared" si="63"/>
        <v>0</v>
      </c>
      <c r="S112" s="33">
        <f t="shared" si="64"/>
        <v>0</v>
      </c>
      <c r="T112" s="33">
        <f t="shared" si="45"/>
        <v>0</v>
      </c>
      <c r="U112" s="33">
        <f t="shared" si="58"/>
        <v>0</v>
      </c>
      <c r="V112" s="33">
        <f t="shared" si="46"/>
        <v>0</v>
      </c>
      <c r="W112" s="33">
        <v>0</v>
      </c>
      <c r="X112" s="33">
        <f t="shared" si="47"/>
        <v>0</v>
      </c>
      <c r="Y112" s="38">
        <f t="shared" si="48"/>
        <v>0</v>
      </c>
      <c r="AA112" s="71">
        <v>107</v>
      </c>
      <c r="AB112" s="33">
        <f t="shared" si="49"/>
        <v>0</v>
      </c>
      <c r="AC112" s="308">
        <f t="shared" si="73"/>
        <v>0</v>
      </c>
      <c r="AD112" s="101">
        <f t="shared" si="50"/>
        <v>0</v>
      </c>
      <c r="AE112" s="101">
        <f t="shared" si="51"/>
        <v>0</v>
      </c>
      <c r="AF112" s="197">
        <f t="shared" si="69"/>
        <v>0</v>
      </c>
      <c r="AG112" s="197">
        <f t="shared" si="70"/>
        <v>0</v>
      </c>
      <c r="AH112" s="197">
        <f t="shared" si="71"/>
        <v>0</v>
      </c>
      <c r="AI112" s="202">
        <f t="shared" si="72"/>
        <v>0</v>
      </c>
      <c r="AK112" s="71">
        <v>107</v>
      </c>
      <c r="AL112" s="33">
        <f t="shared" si="52"/>
        <v>0</v>
      </c>
      <c r="AM112" s="33">
        <f t="shared" si="53"/>
        <v>0</v>
      </c>
      <c r="AN112" s="33">
        <f t="shared" si="54"/>
        <v>0</v>
      </c>
      <c r="AO112" s="33">
        <f t="shared" si="55"/>
        <v>0</v>
      </c>
      <c r="AP112" s="33">
        <f t="shared" si="56"/>
        <v>0</v>
      </c>
      <c r="AQ112" s="197">
        <f t="shared" si="75"/>
        <v>0</v>
      </c>
      <c r="AR112" s="197">
        <f t="shared" si="75"/>
        <v>0</v>
      </c>
      <c r="AS112" s="197">
        <f t="shared" si="75"/>
        <v>0</v>
      </c>
      <c r="AT112" s="197">
        <f t="shared" si="74"/>
        <v>0</v>
      </c>
      <c r="AU112" s="33"/>
      <c r="AV112" s="33"/>
      <c r="AW112" s="33"/>
      <c r="AX112" s="33"/>
      <c r="AY112" s="76"/>
    </row>
    <row r="113" spans="2:51">
      <c r="B113" s="67" t="s">
        <v>167</v>
      </c>
      <c r="C113" s="79">
        <f>1/$F$18*SUM(X6:X205)</f>
        <v>692.85660454397703</v>
      </c>
      <c r="D113" s="79">
        <f>1/$F$10*SUM(O6:O205)</f>
        <v>256.66666666666697</v>
      </c>
      <c r="E113" s="78">
        <f>C113-D113</f>
        <v>436.18993787731006</v>
      </c>
      <c r="I113" s="55">
        <v>108</v>
      </c>
      <c r="J113" s="33">
        <f t="shared" si="59"/>
        <v>0</v>
      </c>
      <c r="K113" s="33">
        <f t="shared" si="60"/>
        <v>0</v>
      </c>
      <c r="L113" s="33">
        <f t="shared" si="61"/>
        <v>0</v>
      </c>
      <c r="M113" s="33">
        <f t="shared" si="62"/>
        <v>0</v>
      </c>
      <c r="N113" s="33">
        <f t="shared" si="43"/>
        <v>0</v>
      </c>
      <c r="O113" s="34">
        <f t="shared" si="44"/>
        <v>0</v>
      </c>
      <c r="P113" s="55">
        <v>108</v>
      </c>
      <c r="Q113" s="33">
        <f t="shared" si="57"/>
        <v>0</v>
      </c>
      <c r="R113" s="33">
        <f t="shared" si="63"/>
        <v>0</v>
      </c>
      <c r="S113" s="33">
        <f t="shared" si="64"/>
        <v>0</v>
      </c>
      <c r="T113" s="33">
        <f t="shared" si="45"/>
        <v>0</v>
      </c>
      <c r="U113" s="33">
        <f t="shared" si="58"/>
        <v>0</v>
      </c>
      <c r="V113" s="33">
        <f t="shared" si="46"/>
        <v>0</v>
      </c>
      <c r="W113" s="33">
        <v>0</v>
      </c>
      <c r="X113" s="33">
        <f t="shared" si="47"/>
        <v>0</v>
      </c>
      <c r="Y113" s="38">
        <f t="shared" si="48"/>
        <v>0</v>
      </c>
      <c r="AA113" s="71">
        <v>108</v>
      </c>
      <c r="AB113" s="33">
        <f t="shared" si="49"/>
        <v>0</v>
      </c>
      <c r="AC113" s="308">
        <f t="shared" si="73"/>
        <v>0</v>
      </c>
      <c r="AD113" s="101">
        <f t="shared" si="50"/>
        <v>0</v>
      </c>
      <c r="AE113" s="101">
        <f t="shared" si="51"/>
        <v>0</v>
      </c>
      <c r="AF113" s="197">
        <f t="shared" si="69"/>
        <v>0</v>
      </c>
      <c r="AG113" s="197">
        <f t="shared" si="70"/>
        <v>0</v>
      </c>
      <c r="AH113" s="197">
        <f t="shared" si="71"/>
        <v>0</v>
      </c>
      <c r="AI113" s="202">
        <f t="shared" si="72"/>
        <v>0</v>
      </c>
      <c r="AK113" s="71">
        <v>108</v>
      </c>
      <c r="AL113" s="33">
        <f t="shared" si="52"/>
        <v>0</v>
      </c>
      <c r="AM113" s="33">
        <f t="shared" si="53"/>
        <v>0</v>
      </c>
      <c r="AN113" s="33">
        <f t="shared" si="54"/>
        <v>0</v>
      </c>
      <c r="AO113" s="33">
        <f t="shared" si="55"/>
        <v>0</v>
      </c>
      <c r="AP113" s="33">
        <f t="shared" si="56"/>
        <v>0</v>
      </c>
      <c r="AQ113" s="197">
        <f t="shared" si="75"/>
        <v>0</v>
      </c>
      <c r="AR113" s="197">
        <f t="shared" si="75"/>
        <v>0</v>
      </c>
      <c r="AS113" s="197">
        <f t="shared" si="75"/>
        <v>0</v>
      </c>
      <c r="AT113" s="197">
        <f t="shared" si="74"/>
        <v>0</v>
      </c>
      <c r="AU113" s="33"/>
      <c r="AV113" s="33"/>
      <c r="AW113" s="33"/>
      <c r="AX113" s="33"/>
      <c r="AY113" s="76"/>
    </row>
    <row r="114" spans="2:51">
      <c r="B114" s="67" t="s">
        <v>168</v>
      </c>
      <c r="C114" s="79">
        <f>X35</f>
        <v>536.83125028085908</v>
      </c>
      <c r="D114" s="79">
        <f>O35</f>
        <v>256.66666666666669</v>
      </c>
      <c r="E114" s="78">
        <f>VLOOKUP(30,I5:Y205,17,FALSE)</f>
        <v>280.1645836141924</v>
      </c>
      <c r="I114" s="55">
        <v>109</v>
      </c>
      <c r="J114" s="33">
        <f t="shared" si="59"/>
        <v>0</v>
      </c>
      <c r="K114" s="33">
        <f t="shared" si="60"/>
        <v>0</v>
      </c>
      <c r="L114" s="33">
        <f t="shared" si="61"/>
        <v>0</v>
      </c>
      <c r="M114" s="33">
        <f t="shared" si="62"/>
        <v>0</v>
      </c>
      <c r="N114" s="33">
        <f t="shared" si="43"/>
        <v>0</v>
      </c>
      <c r="O114" s="34">
        <f t="shared" si="44"/>
        <v>0</v>
      </c>
      <c r="P114" s="55">
        <v>109</v>
      </c>
      <c r="Q114" s="33">
        <f t="shared" si="57"/>
        <v>0</v>
      </c>
      <c r="R114" s="33">
        <f t="shared" si="63"/>
        <v>0</v>
      </c>
      <c r="S114" s="33">
        <f t="shared" si="64"/>
        <v>0</v>
      </c>
      <c r="T114" s="33">
        <f t="shared" si="45"/>
        <v>0</v>
      </c>
      <c r="U114" s="33">
        <f t="shared" si="58"/>
        <v>0</v>
      </c>
      <c r="V114" s="33">
        <f t="shared" si="46"/>
        <v>0</v>
      </c>
      <c r="W114" s="33">
        <v>0</v>
      </c>
      <c r="X114" s="33">
        <f t="shared" si="47"/>
        <v>0</v>
      </c>
      <c r="Y114" s="38">
        <f t="shared" si="48"/>
        <v>0</v>
      </c>
      <c r="AA114" s="71">
        <v>109</v>
      </c>
      <c r="AB114" s="33">
        <f t="shared" si="49"/>
        <v>0</v>
      </c>
      <c r="AC114" s="308">
        <f t="shared" si="73"/>
        <v>0</v>
      </c>
      <c r="AD114" s="101">
        <f t="shared" si="50"/>
        <v>0</v>
      </c>
      <c r="AE114" s="101">
        <f t="shared" si="51"/>
        <v>0</v>
      </c>
      <c r="AF114" s="197">
        <f t="shared" si="69"/>
        <v>0</v>
      </c>
      <c r="AG114" s="197">
        <f t="shared" si="70"/>
        <v>0</v>
      </c>
      <c r="AH114" s="197">
        <f t="shared" si="71"/>
        <v>0</v>
      </c>
      <c r="AI114" s="202">
        <f t="shared" si="72"/>
        <v>0</v>
      </c>
      <c r="AK114" s="71">
        <v>109</v>
      </c>
      <c r="AL114" s="33">
        <f t="shared" si="52"/>
        <v>0</v>
      </c>
      <c r="AM114" s="33">
        <f t="shared" si="53"/>
        <v>0</v>
      </c>
      <c r="AN114" s="33">
        <f t="shared" si="54"/>
        <v>0</v>
      </c>
      <c r="AO114" s="33">
        <f t="shared" si="55"/>
        <v>0</v>
      </c>
      <c r="AP114" s="33">
        <f t="shared" si="56"/>
        <v>0</v>
      </c>
      <c r="AQ114" s="197">
        <f t="shared" si="75"/>
        <v>0</v>
      </c>
      <c r="AR114" s="197">
        <f t="shared" si="75"/>
        <v>0</v>
      </c>
      <c r="AS114" s="197">
        <f t="shared" si="75"/>
        <v>0</v>
      </c>
      <c r="AT114" s="197">
        <f t="shared" si="74"/>
        <v>0</v>
      </c>
      <c r="AU114" s="33"/>
      <c r="AV114" s="33"/>
      <c r="AW114" s="33"/>
      <c r="AX114" s="33"/>
      <c r="AY114" s="76"/>
    </row>
    <row r="115" spans="2:51">
      <c r="C115" s="80"/>
      <c r="D115" s="80"/>
      <c r="E115" s="80"/>
      <c r="I115" s="55">
        <v>110</v>
      </c>
      <c r="J115" s="33">
        <f t="shared" si="59"/>
        <v>0</v>
      </c>
      <c r="K115" s="33">
        <f t="shared" si="60"/>
        <v>0</v>
      </c>
      <c r="L115" s="33">
        <f t="shared" si="61"/>
        <v>0</v>
      </c>
      <c r="M115" s="33">
        <f t="shared" si="62"/>
        <v>0</v>
      </c>
      <c r="N115" s="33">
        <f t="shared" si="43"/>
        <v>0</v>
      </c>
      <c r="O115" s="34">
        <f t="shared" si="44"/>
        <v>0</v>
      </c>
      <c r="P115" s="55">
        <v>110</v>
      </c>
      <c r="Q115" s="33">
        <f t="shared" si="57"/>
        <v>0</v>
      </c>
      <c r="R115" s="33">
        <f t="shared" si="63"/>
        <v>0</v>
      </c>
      <c r="S115" s="33">
        <f t="shared" si="64"/>
        <v>0</v>
      </c>
      <c r="T115" s="33">
        <f t="shared" si="45"/>
        <v>0</v>
      </c>
      <c r="U115" s="33">
        <f t="shared" si="58"/>
        <v>0</v>
      </c>
      <c r="V115" s="33">
        <f t="shared" si="46"/>
        <v>0</v>
      </c>
      <c r="W115" s="33">
        <v>0</v>
      </c>
      <c r="X115" s="33">
        <f t="shared" si="47"/>
        <v>0</v>
      </c>
      <c r="Y115" s="38">
        <f t="shared" si="48"/>
        <v>0</v>
      </c>
      <c r="AA115" s="71">
        <v>110</v>
      </c>
      <c r="AB115" s="33">
        <f t="shared" si="49"/>
        <v>0</v>
      </c>
      <c r="AC115" s="308">
        <f t="shared" si="73"/>
        <v>0</v>
      </c>
      <c r="AD115" s="101">
        <f t="shared" si="50"/>
        <v>0</v>
      </c>
      <c r="AE115" s="101">
        <f t="shared" si="51"/>
        <v>0</v>
      </c>
      <c r="AF115" s="197">
        <f t="shared" si="69"/>
        <v>0</v>
      </c>
      <c r="AG115" s="197">
        <f t="shared" si="70"/>
        <v>0</v>
      </c>
      <c r="AH115" s="197">
        <f t="shared" si="71"/>
        <v>0</v>
      </c>
      <c r="AI115" s="202">
        <f t="shared" si="72"/>
        <v>0</v>
      </c>
      <c r="AK115" s="71">
        <v>110</v>
      </c>
      <c r="AL115" s="33">
        <f t="shared" si="52"/>
        <v>0</v>
      </c>
      <c r="AM115" s="33">
        <f t="shared" si="53"/>
        <v>0</v>
      </c>
      <c r="AN115" s="33">
        <f t="shared" si="54"/>
        <v>0</v>
      </c>
      <c r="AO115" s="33">
        <f t="shared" si="55"/>
        <v>0</v>
      </c>
      <c r="AP115" s="33">
        <f t="shared" si="56"/>
        <v>0</v>
      </c>
      <c r="AQ115" s="197">
        <f t="shared" si="75"/>
        <v>0</v>
      </c>
      <c r="AR115" s="197">
        <f t="shared" si="75"/>
        <v>0</v>
      </c>
      <c r="AS115" s="197">
        <f t="shared" si="75"/>
        <v>0</v>
      </c>
      <c r="AT115" s="197">
        <f t="shared" si="74"/>
        <v>0</v>
      </c>
      <c r="AU115" s="33"/>
      <c r="AV115" s="33"/>
      <c r="AW115" s="33"/>
      <c r="AX115" s="33"/>
      <c r="AY115" s="76"/>
    </row>
    <row r="116" spans="2:51">
      <c r="C116" s="136" t="s">
        <v>125</v>
      </c>
      <c r="D116" s="136"/>
      <c r="E116" s="136"/>
      <c r="I116" s="55">
        <v>111</v>
      </c>
      <c r="J116" s="33">
        <f t="shared" si="59"/>
        <v>0</v>
      </c>
      <c r="K116" s="33">
        <f t="shared" si="60"/>
        <v>0</v>
      </c>
      <c r="L116" s="33">
        <f t="shared" si="61"/>
        <v>0</v>
      </c>
      <c r="M116" s="33">
        <f t="shared" si="62"/>
        <v>0</v>
      </c>
      <c r="N116" s="33">
        <f t="shared" si="43"/>
        <v>0</v>
      </c>
      <c r="O116" s="34">
        <f t="shared" si="44"/>
        <v>0</v>
      </c>
      <c r="P116" s="55">
        <v>111</v>
      </c>
      <c r="Q116" s="33">
        <f t="shared" si="57"/>
        <v>0</v>
      </c>
      <c r="R116" s="33">
        <f t="shared" si="63"/>
        <v>0</v>
      </c>
      <c r="S116" s="33">
        <f t="shared" si="64"/>
        <v>0</v>
      </c>
      <c r="T116" s="33">
        <f t="shared" si="45"/>
        <v>0</v>
      </c>
      <c r="U116" s="33">
        <f t="shared" si="58"/>
        <v>0</v>
      </c>
      <c r="V116" s="33">
        <f t="shared" si="46"/>
        <v>0</v>
      </c>
      <c r="W116" s="33">
        <v>0</v>
      </c>
      <c r="X116" s="33">
        <f t="shared" si="47"/>
        <v>0</v>
      </c>
      <c r="Y116" s="38">
        <f t="shared" si="48"/>
        <v>0</v>
      </c>
      <c r="AA116" s="71">
        <v>111</v>
      </c>
      <c r="AB116" s="33">
        <f t="shared" si="49"/>
        <v>0</v>
      </c>
      <c r="AC116" s="308">
        <f t="shared" si="73"/>
        <v>0</v>
      </c>
      <c r="AD116" s="101">
        <f t="shared" si="50"/>
        <v>0</v>
      </c>
      <c r="AE116" s="101">
        <f t="shared" si="51"/>
        <v>0</v>
      </c>
      <c r="AF116" s="197">
        <f t="shared" si="69"/>
        <v>0</v>
      </c>
      <c r="AG116" s="197">
        <f t="shared" si="70"/>
        <v>0</v>
      </c>
      <c r="AH116" s="197">
        <f t="shared" si="71"/>
        <v>0</v>
      </c>
      <c r="AI116" s="202">
        <f t="shared" si="72"/>
        <v>0</v>
      </c>
      <c r="AK116" s="71">
        <v>111</v>
      </c>
      <c r="AL116" s="33">
        <f t="shared" si="52"/>
        <v>0</v>
      </c>
      <c r="AM116" s="33">
        <f t="shared" si="53"/>
        <v>0</v>
      </c>
      <c r="AN116" s="33">
        <f t="shared" si="54"/>
        <v>0</v>
      </c>
      <c r="AO116" s="33">
        <f t="shared" si="55"/>
        <v>0</v>
      </c>
      <c r="AP116" s="33">
        <f t="shared" si="56"/>
        <v>0</v>
      </c>
      <c r="AQ116" s="197">
        <f t="shared" si="75"/>
        <v>0</v>
      </c>
      <c r="AR116" s="197">
        <f t="shared" si="75"/>
        <v>0</v>
      </c>
      <c r="AS116" s="197">
        <f t="shared" si="75"/>
        <v>0</v>
      </c>
      <c r="AT116" s="197">
        <f t="shared" si="74"/>
        <v>0</v>
      </c>
      <c r="AU116" s="33"/>
      <c r="AV116" s="33"/>
      <c r="AW116" s="33"/>
      <c r="AX116" s="33"/>
      <c r="AY116" s="76"/>
    </row>
    <row r="117" spans="2:51">
      <c r="C117" s="136" t="s">
        <v>145</v>
      </c>
      <c r="D117" s="136" t="s">
        <v>72</v>
      </c>
      <c r="E117" s="81" t="s">
        <v>166</v>
      </c>
      <c r="I117" s="55">
        <v>112</v>
      </c>
      <c r="J117" s="33">
        <f t="shared" si="59"/>
        <v>0</v>
      </c>
      <c r="K117" s="33">
        <f t="shared" si="60"/>
        <v>0</v>
      </c>
      <c r="L117" s="33">
        <f t="shared" si="61"/>
        <v>0</v>
      </c>
      <c r="M117" s="33">
        <f t="shared" si="62"/>
        <v>0</v>
      </c>
      <c r="N117" s="33">
        <f t="shared" si="43"/>
        <v>0</v>
      </c>
      <c r="O117" s="34">
        <f t="shared" si="44"/>
        <v>0</v>
      </c>
      <c r="P117" s="55">
        <v>112</v>
      </c>
      <c r="Q117" s="33">
        <f t="shared" si="57"/>
        <v>0</v>
      </c>
      <c r="R117" s="33">
        <f t="shared" si="63"/>
        <v>0</v>
      </c>
      <c r="S117" s="33">
        <f t="shared" si="64"/>
        <v>0</v>
      </c>
      <c r="T117" s="33">
        <f t="shared" si="45"/>
        <v>0</v>
      </c>
      <c r="U117" s="33">
        <f t="shared" si="58"/>
        <v>0</v>
      </c>
      <c r="V117" s="33">
        <f t="shared" si="46"/>
        <v>0</v>
      </c>
      <c r="W117" s="33">
        <v>0</v>
      </c>
      <c r="X117" s="33">
        <f t="shared" si="47"/>
        <v>0</v>
      </c>
      <c r="Y117" s="38">
        <f t="shared" si="48"/>
        <v>0</v>
      </c>
      <c r="AA117" s="71">
        <v>112</v>
      </c>
      <c r="AB117" s="33">
        <f t="shared" si="49"/>
        <v>0</v>
      </c>
      <c r="AC117" s="308">
        <f t="shared" si="73"/>
        <v>0</v>
      </c>
      <c r="AD117" s="101">
        <f t="shared" si="50"/>
        <v>0</v>
      </c>
      <c r="AE117" s="101">
        <f t="shared" si="51"/>
        <v>0</v>
      </c>
      <c r="AF117" s="197">
        <f t="shared" si="69"/>
        <v>0</v>
      </c>
      <c r="AG117" s="197">
        <f t="shared" si="70"/>
        <v>0</v>
      </c>
      <c r="AH117" s="197">
        <f t="shared" si="71"/>
        <v>0</v>
      </c>
      <c r="AI117" s="202">
        <f t="shared" si="72"/>
        <v>0</v>
      </c>
      <c r="AK117" s="71">
        <v>112</v>
      </c>
      <c r="AL117" s="33">
        <f t="shared" si="52"/>
        <v>0</v>
      </c>
      <c r="AM117" s="33">
        <f t="shared" si="53"/>
        <v>0</v>
      </c>
      <c r="AN117" s="33">
        <f t="shared" si="54"/>
        <v>0</v>
      </c>
      <c r="AO117" s="33">
        <f t="shared" si="55"/>
        <v>0</v>
      </c>
      <c r="AP117" s="33">
        <f t="shared" si="56"/>
        <v>0</v>
      </c>
      <c r="AQ117" s="197">
        <f t="shared" si="75"/>
        <v>0</v>
      </c>
      <c r="AR117" s="197">
        <f t="shared" si="75"/>
        <v>0</v>
      </c>
      <c r="AS117" s="197">
        <f t="shared" si="75"/>
        <v>0</v>
      </c>
      <c r="AT117" s="197">
        <f t="shared" si="74"/>
        <v>0</v>
      </c>
      <c r="AU117" s="33"/>
      <c r="AV117" s="33"/>
      <c r="AW117" s="33"/>
      <c r="AX117" s="33"/>
      <c r="AY117" s="76"/>
    </row>
    <row r="118" spans="2:51">
      <c r="B118" s="67" t="s">
        <v>261</v>
      </c>
      <c r="C118" s="306">
        <f>1/30*SUM(AI6:AI35)</f>
        <v>0</v>
      </c>
      <c r="D118" s="79">
        <v>0</v>
      </c>
      <c r="E118" s="78">
        <f>C118-D118</f>
        <v>0</v>
      </c>
      <c r="I118" s="55">
        <v>113</v>
      </c>
      <c r="J118" s="33">
        <f t="shared" si="59"/>
        <v>0</v>
      </c>
      <c r="K118" s="33">
        <f t="shared" si="60"/>
        <v>0</v>
      </c>
      <c r="L118" s="33">
        <f t="shared" si="61"/>
        <v>0</v>
      </c>
      <c r="M118" s="33">
        <f t="shared" si="62"/>
        <v>0</v>
      </c>
      <c r="N118" s="33">
        <f t="shared" si="43"/>
        <v>0</v>
      </c>
      <c r="O118" s="34">
        <f t="shared" si="44"/>
        <v>0</v>
      </c>
      <c r="P118" s="55">
        <v>113</v>
      </c>
      <c r="Q118" s="33">
        <f t="shared" si="57"/>
        <v>0</v>
      </c>
      <c r="R118" s="33">
        <f t="shared" si="63"/>
        <v>0</v>
      </c>
      <c r="S118" s="33">
        <f t="shared" si="64"/>
        <v>0</v>
      </c>
      <c r="T118" s="33">
        <f t="shared" si="45"/>
        <v>0</v>
      </c>
      <c r="U118" s="33">
        <f t="shared" si="58"/>
        <v>0</v>
      </c>
      <c r="V118" s="33">
        <f t="shared" si="46"/>
        <v>0</v>
      </c>
      <c r="W118" s="33">
        <v>0</v>
      </c>
      <c r="X118" s="33">
        <f t="shared" si="47"/>
        <v>0</v>
      </c>
      <c r="Y118" s="38">
        <f t="shared" si="48"/>
        <v>0</v>
      </c>
      <c r="AA118" s="71">
        <v>113</v>
      </c>
      <c r="AB118" s="33">
        <f t="shared" si="49"/>
        <v>0</v>
      </c>
      <c r="AC118" s="308">
        <f t="shared" si="73"/>
        <v>0</v>
      </c>
      <c r="AD118" s="101">
        <f t="shared" si="50"/>
        <v>0</v>
      </c>
      <c r="AE118" s="101">
        <f t="shared" si="51"/>
        <v>0</v>
      </c>
      <c r="AF118" s="197">
        <f t="shared" si="69"/>
        <v>0</v>
      </c>
      <c r="AG118" s="197">
        <f t="shared" si="70"/>
        <v>0</v>
      </c>
      <c r="AH118" s="197">
        <f t="shared" si="71"/>
        <v>0</v>
      </c>
      <c r="AI118" s="202">
        <f t="shared" si="72"/>
        <v>0</v>
      </c>
      <c r="AK118" s="71">
        <v>113</v>
      </c>
      <c r="AL118" s="33">
        <f t="shared" si="52"/>
        <v>0</v>
      </c>
      <c r="AM118" s="33">
        <f t="shared" si="53"/>
        <v>0</v>
      </c>
      <c r="AN118" s="33">
        <f t="shared" si="54"/>
        <v>0</v>
      </c>
      <c r="AO118" s="33">
        <f t="shared" si="55"/>
        <v>0</v>
      </c>
      <c r="AP118" s="33">
        <f t="shared" si="56"/>
        <v>0</v>
      </c>
      <c r="AQ118" s="197">
        <f t="shared" si="75"/>
        <v>0</v>
      </c>
      <c r="AR118" s="197">
        <f t="shared" si="75"/>
        <v>0</v>
      </c>
      <c r="AS118" s="197">
        <f t="shared" si="75"/>
        <v>0</v>
      </c>
      <c r="AT118" s="197">
        <f t="shared" si="74"/>
        <v>0</v>
      </c>
      <c r="AU118" s="33"/>
      <c r="AV118" s="33"/>
      <c r="AW118" s="33"/>
      <c r="AX118" s="33"/>
      <c r="AY118" s="76"/>
    </row>
    <row r="119" spans="2:51">
      <c r="B119" s="67"/>
      <c r="C119" s="82"/>
      <c r="D119" s="79"/>
      <c r="E119" s="78"/>
      <c r="I119" s="55">
        <v>114</v>
      </c>
      <c r="J119" s="33">
        <f t="shared" si="59"/>
        <v>0</v>
      </c>
      <c r="K119" s="33">
        <f t="shared" si="60"/>
        <v>0</v>
      </c>
      <c r="L119" s="33">
        <f t="shared" si="61"/>
        <v>0</v>
      </c>
      <c r="M119" s="33">
        <f t="shared" si="62"/>
        <v>0</v>
      </c>
      <c r="N119" s="33">
        <f t="shared" si="43"/>
        <v>0</v>
      </c>
      <c r="O119" s="34">
        <f t="shared" si="44"/>
        <v>0</v>
      </c>
      <c r="P119" s="55">
        <v>114</v>
      </c>
      <c r="Q119" s="33">
        <f t="shared" si="57"/>
        <v>0</v>
      </c>
      <c r="R119" s="33">
        <f t="shared" si="63"/>
        <v>0</v>
      </c>
      <c r="S119" s="33">
        <f t="shared" si="64"/>
        <v>0</v>
      </c>
      <c r="T119" s="33">
        <f t="shared" si="45"/>
        <v>0</v>
      </c>
      <c r="U119" s="33">
        <f t="shared" si="58"/>
        <v>0</v>
      </c>
      <c r="V119" s="33">
        <f t="shared" si="46"/>
        <v>0</v>
      </c>
      <c r="W119" s="33">
        <v>0</v>
      </c>
      <c r="X119" s="33">
        <f t="shared" si="47"/>
        <v>0</v>
      </c>
      <c r="Y119" s="38">
        <f t="shared" si="48"/>
        <v>0</v>
      </c>
      <c r="AA119" s="71">
        <v>114</v>
      </c>
      <c r="AB119" s="33">
        <f t="shared" si="49"/>
        <v>0</v>
      </c>
      <c r="AC119" s="308">
        <f t="shared" si="73"/>
        <v>0</v>
      </c>
      <c r="AD119" s="101">
        <f t="shared" si="50"/>
        <v>0</v>
      </c>
      <c r="AE119" s="101">
        <f t="shared" si="51"/>
        <v>0</v>
      </c>
      <c r="AF119" s="197">
        <f t="shared" si="69"/>
        <v>0</v>
      </c>
      <c r="AG119" s="197">
        <f t="shared" si="70"/>
        <v>0</v>
      </c>
      <c r="AH119" s="197">
        <f t="shared" si="71"/>
        <v>0</v>
      </c>
      <c r="AI119" s="202">
        <f t="shared" si="72"/>
        <v>0</v>
      </c>
      <c r="AK119" s="71">
        <v>114</v>
      </c>
      <c r="AL119" s="33">
        <f t="shared" si="52"/>
        <v>0</v>
      </c>
      <c r="AM119" s="33">
        <f t="shared" si="53"/>
        <v>0</v>
      </c>
      <c r="AN119" s="33">
        <f t="shared" si="54"/>
        <v>0</v>
      </c>
      <c r="AO119" s="33">
        <f t="shared" si="55"/>
        <v>0</v>
      </c>
      <c r="AP119" s="33">
        <f t="shared" si="56"/>
        <v>0</v>
      </c>
      <c r="AQ119" s="197">
        <f t="shared" si="75"/>
        <v>0</v>
      </c>
      <c r="AR119" s="197">
        <f t="shared" si="75"/>
        <v>0</v>
      </c>
      <c r="AS119" s="197">
        <f t="shared" si="75"/>
        <v>0</v>
      </c>
      <c r="AT119" s="197">
        <f t="shared" si="74"/>
        <v>0</v>
      </c>
      <c r="AU119" s="33"/>
      <c r="AV119" s="33"/>
      <c r="AW119" s="33"/>
      <c r="AX119" s="33"/>
      <c r="AY119" s="76"/>
    </row>
    <row r="120" spans="2:51">
      <c r="C120" s="80"/>
      <c r="D120" s="80"/>
      <c r="E120" s="83"/>
      <c r="I120" s="55">
        <v>115</v>
      </c>
      <c r="J120" s="33">
        <f t="shared" si="59"/>
        <v>0</v>
      </c>
      <c r="K120" s="33">
        <f t="shared" si="60"/>
        <v>0</v>
      </c>
      <c r="L120" s="33">
        <f t="shared" si="61"/>
        <v>0</v>
      </c>
      <c r="M120" s="33">
        <f t="shared" si="62"/>
        <v>0</v>
      </c>
      <c r="N120" s="33">
        <f t="shared" si="43"/>
        <v>0</v>
      </c>
      <c r="O120" s="34">
        <f t="shared" si="44"/>
        <v>0</v>
      </c>
      <c r="P120" s="55">
        <v>115</v>
      </c>
      <c r="Q120" s="33">
        <f t="shared" si="57"/>
        <v>0</v>
      </c>
      <c r="R120" s="33">
        <f t="shared" si="63"/>
        <v>0</v>
      </c>
      <c r="S120" s="33">
        <f t="shared" si="64"/>
        <v>0</v>
      </c>
      <c r="T120" s="33">
        <f t="shared" si="45"/>
        <v>0</v>
      </c>
      <c r="U120" s="33">
        <f t="shared" si="58"/>
        <v>0</v>
      </c>
      <c r="V120" s="33">
        <f t="shared" si="46"/>
        <v>0</v>
      </c>
      <c r="W120" s="33">
        <v>0</v>
      </c>
      <c r="X120" s="33">
        <f t="shared" si="47"/>
        <v>0</v>
      </c>
      <c r="Y120" s="38">
        <f t="shared" si="48"/>
        <v>0</v>
      </c>
      <c r="AA120" s="71">
        <v>115</v>
      </c>
      <c r="AB120" s="33">
        <f t="shared" si="49"/>
        <v>0</v>
      </c>
      <c r="AC120" s="308">
        <f t="shared" si="73"/>
        <v>0</v>
      </c>
      <c r="AD120" s="101">
        <f t="shared" si="50"/>
        <v>0</v>
      </c>
      <c r="AE120" s="101">
        <f t="shared" si="51"/>
        <v>0</v>
      </c>
      <c r="AF120" s="197">
        <f t="shared" si="69"/>
        <v>0</v>
      </c>
      <c r="AG120" s="197">
        <f t="shared" si="70"/>
        <v>0</v>
      </c>
      <c r="AH120" s="197">
        <f t="shared" si="71"/>
        <v>0</v>
      </c>
      <c r="AI120" s="202">
        <f t="shared" si="72"/>
        <v>0</v>
      </c>
      <c r="AK120" s="71">
        <v>115</v>
      </c>
      <c r="AL120" s="33">
        <f t="shared" si="52"/>
        <v>0</v>
      </c>
      <c r="AM120" s="33">
        <f t="shared" si="53"/>
        <v>0</v>
      </c>
      <c r="AN120" s="33">
        <f t="shared" si="54"/>
        <v>0</v>
      </c>
      <c r="AO120" s="33">
        <f t="shared" si="55"/>
        <v>0</v>
      </c>
      <c r="AP120" s="33">
        <f t="shared" si="56"/>
        <v>0</v>
      </c>
      <c r="AQ120" s="197">
        <f t="shared" si="75"/>
        <v>0</v>
      </c>
      <c r="AR120" s="197">
        <f t="shared" si="75"/>
        <v>0</v>
      </c>
      <c r="AS120" s="197">
        <f t="shared" si="75"/>
        <v>0</v>
      </c>
      <c r="AT120" s="197">
        <f t="shared" si="74"/>
        <v>0</v>
      </c>
      <c r="AU120" s="33"/>
      <c r="AV120" s="33"/>
      <c r="AW120" s="33"/>
      <c r="AX120" s="33"/>
      <c r="AY120" s="76"/>
    </row>
    <row r="121" spans="2:51">
      <c r="C121" s="136" t="s">
        <v>160</v>
      </c>
      <c r="D121" s="136"/>
      <c r="E121" s="136"/>
      <c r="I121" s="55">
        <v>116</v>
      </c>
      <c r="J121" s="33">
        <f t="shared" si="59"/>
        <v>0</v>
      </c>
      <c r="K121" s="33">
        <f t="shared" si="60"/>
        <v>0</v>
      </c>
      <c r="L121" s="33">
        <f t="shared" si="61"/>
        <v>0</v>
      </c>
      <c r="M121" s="33">
        <f t="shared" si="62"/>
        <v>0</v>
      </c>
      <c r="N121" s="33">
        <f t="shared" si="43"/>
        <v>0</v>
      </c>
      <c r="O121" s="34">
        <f t="shared" si="44"/>
        <v>0</v>
      </c>
      <c r="P121" s="55">
        <v>116</v>
      </c>
      <c r="Q121" s="33">
        <f t="shared" si="57"/>
        <v>0</v>
      </c>
      <c r="R121" s="33">
        <f t="shared" si="63"/>
        <v>0</v>
      </c>
      <c r="S121" s="33">
        <f t="shared" si="64"/>
        <v>0</v>
      </c>
      <c r="T121" s="33">
        <f t="shared" si="45"/>
        <v>0</v>
      </c>
      <c r="U121" s="33">
        <f t="shared" si="58"/>
        <v>0</v>
      </c>
      <c r="V121" s="33">
        <f t="shared" si="46"/>
        <v>0</v>
      </c>
      <c r="W121" s="33">
        <v>0</v>
      </c>
      <c r="X121" s="33">
        <f t="shared" si="47"/>
        <v>0</v>
      </c>
      <c r="Y121" s="38">
        <f t="shared" si="48"/>
        <v>0</v>
      </c>
      <c r="AA121" s="71">
        <v>116</v>
      </c>
      <c r="AB121" s="33">
        <f t="shared" si="49"/>
        <v>0</v>
      </c>
      <c r="AC121" s="308">
        <f t="shared" si="73"/>
        <v>0</v>
      </c>
      <c r="AD121" s="101">
        <f t="shared" si="50"/>
        <v>0</v>
      </c>
      <c r="AE121" s="101">
        <f t="shared" si="51"/>
        <v>0</v>
      </c>
      <c r="AF121" s="197">
        <f t="shared" si="69"/>
        <v>0</v>
      </c>
      <c r="AG121" s="197">
        <f t="shared" si="70"/>
        <v>0</v>
      </c>
      <c r="AH121" s="197">
        <f t="shared" si="71"/>
        <v>0</v>
      </c>
      <c r="AI121" s="202">
        <f t="shared" si="72"/>
        <v>0</v>
      </c>
      <c r="AK121" s="71">
        <v>116</v>
      </c>
      <c r="AL121" s="33">
        <f t="shared" si="52"/>
        <v>0</v>
      </c>
      <c r="AM121" s="33">
        <f t="shared" si="53"/>
        <v>0</v>
      </c>
      <c r="AN121" s="33">
        <f t="shared" si="54"/>
        <v>0</v>
      </c>
      <c r="AO121" s="33">
        <f t="shared" si="55"/>
        <v>0</v>
      </c>
      <c r="AP121" s="33">
        <f t="shared" si="56"/>
        <v>0</v>
      </c>
      <c r="AQ121" s="197">
        <f t="shared" si="75"/>
        <v>0</v>
      </c>
      <c r="AR121" s="197">
        <f t="shared" si="75"/>
        <v>0</v>
      </c>
      <c r="AS121" s="197">
        <f t="shared" si="75"/>
        <v>0</v>
      </c>
      <c r="AT121" s="197">
        <f t="shared" si="74"/>
        <v>0</v>
      </c>
      <c r="AU121" s="33"/>
      <c r="AV121" s="33"/>
      <c r="AW121" s="33"/>
      <c r="AX121" s="33"/>
      <c r="AY121" s="76"/>
    </row>
    <row r="122" spans="2:51">
      <c r="C122" s="136" t="s">
        <v>145</v>
      </c>
      <c r="D122" s="136" t="s">
        <v>72</v>
      </c>
      <c r="E122" s="81" t="s">
        <v>166</v>
      </c>
      <c r="I122" s="55">
        <v>117</v>
      </c>
      <c r="J122" s="33">
        <f t="shared" si="59"/>
        <v>0</v>
      </c>
      <c r="K122" s="33">
        <f t="shared" si="60"/>
        <v>0</v>
      </c>
      <c r="L122" s="33">
        <f t="shared" si="61"/>
        <v>0</v>
      </c>
      <c r="M122" s="33">
        <f t="shared" si="62"/>
        <v>0</v>
      </c>
      <c r="N122" s="33">
        <f t="shared" si="43"/>
        <v>0</v>
      </c>
      <c r="O122" s="34">
        <f t="shared" si="44"/>
        <v>0</v>
      </c>
      <c r="P122" s="55">
        <v>117</v>
      </c>
      <c r="Q122" s="33">
        <f t="shared" si="57"/>
        <v>0</v>
      </c>
      <c r="R122" s="33">
        <f t="shared" si="63"/>
        <v>0</v>
      </c>
      <c r="S122" s="33">
        <f t="shared" si="64"/>
        <v>0</v>
      </c>
      <c r="T122" s="33">
        <f t="shared" si="45"/>
        <v>0</v>
      </c>
      <c r="U122" s="33">
        <f t="shared" si="58"/>
        <v>0</v>
      </c>
      <c r="V122" s="33">
        <f t="shared" si="46"/>
        <v>0</v>
      </c>
      <c r="W122" s="33">
        <v>0</v>
      </c>
      <c r="X122" s="33">
        <f t="shared" si="47"/>
        <v>0</v>
      </c>
      <c r="Y122" s="38">
        <f t="shared" si="48"/>
        <v>0</v>
      </c>
      <c r="AA122" s="71">
        <v>117</v>
      </c>
      <c r="AB122" s="33">
        <f t="shared" si="49"/>
        <v>0</v>
      </c>
      <c r="AC122" s="308">
        <f t="shared" si="73"/>
        <v>0</v>
      </c>
      <c r="AD122" s="101">
        <f t="shared" si="50"/>
        <v>0</v>
      </c>
      <c r="AE122" s="101">
        <f t="shared" si="51"/>
        <v>0</v>
      </c>
      <c r="AF122" s="197">
        <f t="shared" si="69"/>
        <v>0</v>
      </c>
      <c r="AG122" s="197">
        <f t="shared" si="70"/>
        <v>0</v>
      </c>
      <c r="AH122" s="197">
        <f t="shared" si="71"/>
        <v>0</v>
      </c>
      <c r="AI122" s="202">
        <f t="shared" si="72"/>
        <v>0</v>
      </c>
      <c r="AK122" s="71">
        <v>117</v>
      </c>
      <c r="AL122" s="33">
        <f t="shared" si="52"/>
        <v>0</v>
      </c>
      <c r="AM122" s="33">
        <f t="shared" si="53"/>
        <v>0</v>
      </c>
      <c r="AN122" s="33">
        <f t="shared" si="54"/>
        <v>0</v>
      </c>
      <c r="AO122" s="33">
        <f t="shared" si="55"/>
        <v>0</v>
      </c>
      <c r="AP122" s="33">
        <f t="shared" si="56"/>
        <v>0</v>
      </c>
      <c r="AQ122" s="197">
        <f t="shared" si="75"/>
        <v>0</v>
      </c>
      <c r="AR122" s="197">
        <f t="shared" si="75"/>
        <v>0</v>
      </c>
      <c r="AS122" s="197">
        <f t="shared" si="75"/>
        <v>0</v>
      </c>
      <c r="AT122" s="197">
        <f t="shared" si="74"/>
        <v>0</v>
      </c>
      <c r="AU122" s="33"/>
      <c r="AV122" s="33"/>
      <c r="AW122" s="33"/>
      <c r="AX122" s="33"/>
      <c r="AY122" s="76"/>
    </row>
    <row r="123" spans="2:51">
      <c r="B123" s="67" t="s">
        <v>168</v>
      </c>
      <c r="C123" s="82">
        <f>AY35</f>
        <v>1.75</v>
      </c>
      <c r="D123" s="307">
        <f>IF(AND(D8=B100,F12=C194),J34*50%*G107,0)</f>
        <v>0</v>
      </c>
      <c r="E123" s="78">
        <f>C123-D123</f>
        <v>1.75</v>
      </c>
      <c r="I123" s="55">
        <v>118</v>
      </c>
      <c r="J123" s="33">
        <f t="shared" si="59"/>
        <v>0</v>
      </c>
      <c r="K123" s="33">
        <f t="shared" si="60"/>
        <v>0</v>
      </c>
      <c r="L123" s="33">
        <f t="shared" si="61"/>
        <v>0</v>
      </c>
      <c r="M123" s="33">
        <f t="shared" si="62"/>
        <v>0</v>
      </c>
      <c r="N123" s="33">
        <f t="shared" si="43"/>
        <v>0</v>
      </c>
      <c r="O123" s="34">
        <f t="shared" si="44"/>
        <v>0</v>
      </c>
      <c r="P123" s="55">
        <v>118</v>
      </c>
      <c r="Q123" s="33">
        <f t="shared" si="57"/>
        <v>0</v>
      </c>
      <c r="R123" s="33">
        <f t="shared" si="63"/>
        <v>0</v>
      </c>
      <c r="S123" s="33">
        <f t="shared" si="64"/>
        <v>0</v>
      </c>
      <c r="T123" s="33">
        <f t="shared" si="45"/>
        <v>0</v>
      </c>
      <c r="U123" s="33">
        <f t="shared" si="58"/>
        <v>0</v>
      </c>
      <c r="V123" s="33">
        <f t="shared" si="46"/>
        <v>0</v>
      </c>
      <c r="W123" s="33">
        <v>0</v>
      </c>
      <c r="X123" s="33">
        <f t="shared" si="47"/>
        <v>0</v>
      </c>
      <c r="Y123" s="38">
        <f t="shared" si="48"/>
        <v>0</v>
      </c>
      <c r="AA123" s="71">
        <v>118</v>
      </c>
      <c r="AB123" s="33">
        <f t="shared" si="49"/>
        <v>0</v>
      </c>
      <c r="AC123" s="308">
        <f t="shared" si="73"/>
        <v>0</v>
      </c>
      <c r="AD123" s="101">
        <f t="shared" si="50"/>
        <v>0</v>
      </c>
      <c r="AE123" s="101">
        <f t="shared" si="51"/>
        <v>0</v>
      </c>
      <c r="AF123" s="197">
        <f t="shared" si="69"/>
        <v>0</v>
      </c>
      <c r="AG123" s="197">
        <f t="shared" si="70"/>
        <v>0</v>
      </c>
      <c r="AH123" s="197">
        <f t="shared" si="71"/>
        <v>0</v>
      </c>
      <c r="AI123" s="202">
        <f t="shared" si="72"/>
        <v>0</v>
      </c>
      <c r="AK123" s="71">
        <v>118</v>
      </c>
      <c r="AL123" s="33">
        <f t="shared" si="52"/>
        <v>0</v>
      </c>
      <c r="AM123" s="33">
        <f t="shared" si="53"/>
        <v>0</v>
      </c>
      <c r="AN123" s="33">
        <f t="shared" si="54"/>
        <v>0</v>
      </c>
      <c r="AO123" s="33">
        <f t="shared" si="55"/>
        <v>0</v>
      </c>
      <c r="AP123" s="33">
        <f t="shared" si="56"/>
        <v>0</v>
      </c>
      <c r="AQ123" s="197">
        <f t="shared" si="75"/>
        <v>0</v>
      </c>
      <c r="AR123" s="197">
        <f t="shared" si="75"/>
        <v>0</v>
      </c>
      <c r="AS123" s="197">
        <f t="shared" si="75"/>
        <v>0</v>
      </c>
      <c r="AT123" s="197">
        <f t="shared" si="74"/>
        <v>0</v>
      </c>
      <c r="AU123" s="33"/>
      <c r="AV123" s="33"/>
      <c r="AW123" s="33"/>
      <c r="AX123" s="33"/>
      <c r="AY123" s="76"/>
    </row>
    <row r="124" spans="2:51">
      <c r="I124" s="55">
        <v>119</v>
      </c>
      <c r="J124" s="33">
        <f t="shared" si="59"/>
        <v>0</v>
      </c>
      <c r="K124" s="33">
        <f t="shared" si="60"/>
        <v>0</v>
      </c>
      <c r="L124" s="33">
        <f t="shared" si="61"/>
        <v>0</v>
      </c>
      <c r="M124" s="33">
        <f t="shared" si="62"/>
        <v>0</v>
      </c>
      <c r="N124" s="33">
        <f t="shared" si="43"/>
        <v>0</v>
      </c>
      <c r="O124" s="34">
        <f t="shared" si="44"/>
        <v>0</v>
      </c>
      <c r="P124" s="55">
        <v>119</v>
      </c>
      <c r="Q124" s="33">
        <f t="shared" si="57"/>
        <v>0</v>
      </c>
      <c r="R124" s="33">
        <f t="shared" si="63"/>
        <v>0</v>
      </c>
      <c r="S124" s="33">
        <f t="shared" si="64"/>
        <v>0</v>
      </c>
      <c r="T124" s="33">
        <f t="shared" si="45"/>
        <v>0</v>
      </c>
      <c r="U124" s="33">
        <f t="shared" si="58"/>
        <v>0</v>
      </c>
      <c r="V124" s="33">
        <f t="shared" si="46"/>
        <v>0</v>
      </c>
      <c r="W124" s="33">
        <v>0</v>
      </c>
      <c r="X124" s="33">
        <f t="shared" si="47"/>
        <v>0</v>
      </c>
      <c r="Y124" s="38">
        <f t="shared" si="48"/>
        <v>0</v>
      </c>
      <c r="AA124" s="71">
        <v>119</v>
      </c>
      <c r="AB124" s="33">
        <f t="shared" si="49"/>
        <v>0</v>
      </c>
      <c r="AC124" s="308">
        <f t="shared" si="73"/>
        <v>0</v>
      </c>
      <c r="AD124" s="101">
        <f t="shared" si="50"/>
        <v>0</v>
      </c>
      <c r="AE124" s="101">
        <f t="shared" si="51"/>
        <v>0</v>
      </c>
      <c r="AF124" s="197">
        <f t="shared" si="69"/>
        <v>0</v>
      </c>
      <c r="AG124" s="197">
        <f t="shared" si="70"/>
        <v>0</v>
      </c>
      <c r="AH124" s="197">
        <f t="shared" si="71"/>
        <v>0</v>
      </c>
      <c r="AI124" s="202">
        <f t="shared" si="72"/>
        <v>0</v>
      </c>
      <c r="AK124" s="71">
        <v>119</v>
      </c>
      <c r="AL124" s="33">
        <f t="shared" si="52"/>
        <v>0</v>
      </c>
      <c r="AM124" s="33">
        <f t="shared" si="53"/>
        <v>0</v>
      </c>
      <c r="AN124" s="33">
        <f t="shared" si="54"/>
        <v>0</v>
      </c>
      <c r="AO124" s="33">
        <f t="shared" si="55"/>
        <v>0</v>
      </c>
      <c r="AP124" s="33">
        <f t="shared" si="56"/>
        <v>0</v>
      </c>
      <c r="AQ124" s="197">
        <f t="shared" si="75"/>
        <v>0</v>
      </c>
      <c r="AR124" s="197">
        <f t="shared" si="75"/>
        <v>0</v>
      </c>
      <c r="AS124" s="197">
        <f t="shared" si="75"/>
        <v>0</v>
      </c>
      <c r="AT124" s="197">
        <f t="shared" si="74"/>
        <v>0</v>
      </c>
      <c r="AU124" s="33"/>
      <c r="AV124" s="33"/>
      <c r="AW124" s="33"/>
      <c r="AX124" s="33"/>
      <c r="AY124" s="76"/>
    </row>
    <row r="125" spans="2:51">
      <c r="C125" s="80"/>
      <c r="D125" s="80"/>
      <c r="E125" s="83"/>
      <c r="I125" s="55">
        <v>120</v>
      </c>
      <c r="J125" s="33">
        <f t="shared" si="59"/>
        <v>0</v>
      </c>
      <c r="K125" s="33">
        <f t="shared" si="60"/>
        <v>0</v>
      </c>
      <c r="L125" s="33">
        <f t="shared" si="61"/>
        <v>0</v>
      </c>
      <c r="M125" s="33">
        <f t="shared" si="62"/>
        <v>0</v>
      </c>
      <c r="N125" s="33">
        <f t="shared" si="43"/>
        <v>0</v>
      </c>
      <c r="O125" s="34">
        <f t="shared" si="44"/>
        <v>0</v>
      </c>
      <c r="P125" s="55">
        <v>120</v>
      </c>
      <c r="Q125" s="33">
        <f t="shared" si="57"/>
        <v>0</v>
      </c>
      <c r="R125" s="33">
        <f t="shared" si="63"/>
        <v>0</v>
      </c>
      <c r="S125" s="33">
        <f t="shared" si="64"/>
        <v>0</v>
      </c>
      <c r="T125" s="33">
        <f t="shared" si="45"/>
        <v>0</v>
      </c>
      <c r="U125" s="33">
        <f t="shared" si="58"/>
        <v>0</v>
      </c>
      <c r="V125" s="33">
        <f t="shared" si="46"/>
        <v>0</v>
      </c>
      <c r="W125" s="33">
        <v>0</v>
      </c>
      <c r="X125" s="33">
        <f t="shared" si="47"/>
        <v>0</v>
      </c>
      <c r="Y125" s="38">
        <f t="shared" si="48"/>
        <v>0</v>
      </c>
      <c r="AA125" s="71">
        <v>120</v>
      </c>
      <c r="AB125" s="33">
        <f t="shared" si="49"/>
        <v>0</v>
      </c>
      <c r="AC125" s="308">
        <f t="shared" si="73"/>
        <v>0</v>
      </c>
      <c r="AD125" s="101">
        <f t="shared" si="50"/>
        <v>0</v>
      </c>
      <c r="AE125" s="101">
        <f t="shared" si="51"/>
        <v>0</v>
      </c>
      <c r="AF125" s="197">
        <f t="shared" si="69"/>
        <v>0</v>
      </c>
      <c r="AG125" s="197">
        <f t="shared" si="70"/>
        <v>0</v>
      </c>
      <c r="AH125" s="197">
        <f t="shared" si="71"/>
        <v>0</v>
      </c>
      <c r="AI125" s="202">
        <f t="shared" si="72"/>
        <v>0</v>
      </c>
      <c r="AK125" s="71">
        <v>120</v>
      </c>
      <c r="AL125" s="33">
        <f t="shared" si="52"/>
        <v>0</v>
      </c>
      <c r="AM125" s="33">
        <f t="shared" si="53"/>
        <v>0</v>
      </c>
      <c r="AN125" s="33">
        <f t="shared" si="54"/>
        <v>0</v>
      </c>
      <c r="AO125" s="33">
        <f t="shared" si="55"/>
        <v>0</v>
      </c>
      <c r="AP125" s="33">
        <f t="shared" si="56"/>
        <v>0</v>
      </c>
      <c r="AQ125" s="197">
        <f t="shared" si="75"/>
        <v>0</v>
      </c>
      <c r="AR125" s="197">
        <f t="shared" si="75"/>
        <v>0</v>
      </c>
      <c r="AS125" s="197">
        <f t="shared" si="75"/>
        <v>0</v>
      </c>
      <c r="AT125" s="197">
        <f t="shared" si="74"/>
        <v>0</v>
      </c>
      <c r="AU125" s="33"/>
      <c r="AV125" s="33"/>
      <c r="AW125" s="33"/>
      <c r="AX125" s="33"/>
      <c r="AY125" s="76"/>
    </row>
    <row r="126" spans="2:51">
      <c r="C126" s="84" t="s">
        <v>129</v>
      </c>
      <c r="D126" s="84" t="s">
        <v>130</v>
      </c>
      <c r="E126" s="84" t="s">
        <v>160</v>
      </c>
      <c r="F126" s="141" t="s">
        <v>170</v>
      </c>
      <c r="I126" s="55">
        <v>121</v>
      </c>
      <c r="J126" s="33">
        <f t="shared" si="59"/>
        <v>0</v>
      </c>
      <c r="K126" s="33">
        <f t="shared" si="60"/>
        <v>0</v>
      </c>
      <c r="L126" s="33">
        <f t="shared" si="61"/>
        <v>0</v>
      </c>
      <c r="M126" s="33">
        <f t="shared" si="62"/>
        <v>0</v>
      </c>
      <c r="N126" s="33">
        <f t="shared" si="43"/>
        <v>0</v>
      </c>
      <c r="O126" s="34">
        <f t="shared" si="44"/>
        <v>0</v>
      </c>
      <c r="P126" s="55">
        <v>121</v>
      </c>
      <c r="Q126" s="33">
        <f t="shared" si="57"/>
        <v>0</v>
      </c>
      <c r="R126" s="33">
        <f t="shared" si="63"/>
        <v>0</v>
      </c>
      <c r="S126" s="33">
        <f t="shared" si="64"/>
        <v>0</v>
      </c>
      <c r="T126" s="33">
        <f t="shared" si="45"/>
        <v>0</v>
      </c>
      <c r="U126" s="33">
        <f t="shared" si="58"/>
        <v>0</v>
      </c>
      <c r="V126" s="33">
        <f t="shared" si="46"/>
        <v>0</v>
      </c>
      <c r="W126" s="33">
        <v>0</v>
      </c>
      <c r="X126" s="33">
        <f t="shared" si="47"/>
        <v>0</v>
      </c>
      <c r="Y126" s="38">
        <f t="shared" si="48"/>
        <v>0</v>
      </c>
      <c r="AA126" s="71">
        <v>121</v>
      </c>
      <c r="AB126" s="33">
        <f t="shared" si="49"/>
        <v>0</v>
      </c>
      <c r="AC126" s="308">
        <f t="shared" si="73"/>
        <v>0</v>
      </c>
      <c r="AD126" s="101">
        <f t="shared" si="50"/>
        <v>0</v>
      </c>
      <c r="AE126" s="101">
        <f t="shared" si="51"/>
        <v>0</v>
      </c>
      <c r="AF126" s="197">
        <f t="shared" si="69"/>
        <v>0</v>
      </c>
      <c r="AG126" s="197">
        <f t="shared" si="70"/>
        <v>0</v>
      </c>
      <c r="AH126" s="197">
        <f t="shared" si="71"/>
        <v>0</v>
      </c>
      <c r="AI126" s="202">
        <f t="shared" si="72"/>
        <v>0</v>
      </c>
      <c r="AK126" s="71">
        <v>121</v>
      </c>
      <c r="AL126" s="33">
        <f t="shared" si="52"/>
        <v>0</v>
      </c>
      <c r="AM126" s="33">
        <f t="shared" si="53"/>
        <v>0</v>
      </c>
      <c r="AN126" s="33">
        <f t="shared" si="54"/>
        <v>0</v>
      </c>
      <c r="AO126" s="33">
        <f t="shared" si="55"/>
        <v>0</v>
      </c>
      <c r="AP126" s="33">
        <f t="shared" si="56"/>
        <v>0</v>
      </c>
      <c r="AQ126" s="197">
        <f t="shared" si="75"/>
        <v>0</v>
      </c>
      <c r="AR126" s="197">
        <f t="shared" si="75"/>
        <v>0</v>
      </c>
      <c r="AS126" s="197">
        <f t="shared" si="75"/>
        <v>0</v>
      </c>
      <c r="AT126" s="197">
        <f t="shared" si="74"/>
        <v>0</v>
      </c>
      <c r="AU126" s="33"/>
      <c r="AV126" s="33"/>
      <c r="AW126" s="33"/>
      <c r="AX126" s="33"/>
      <c r="AY126" s="76"/>
    </row>
    <row r="127" spans="2:51">
      <c r="C127" s="82">
        <f>IF(F18&gt;30,MIN(E113:E114),E113)</f>
        <v>280.1645836141924</v>
      </c>
      <c r="D127" s="82">
        <f>MIN(E118:E119)</f>
        <v>0</v>
      </c>
      <c r="E127" s="85">
        <f>E123</f>
        <v>1.75</v>
      </c>
      <c r="F127" s="86">
        <f>SUM(C127:E127)</f>
        <v>281.9145836141924</v>
      </c>
      <c r="I127" s="55">
        <v>122</v>
      </c>
      <c r="J127" s="33">
        <f t="shared" si="59"/>
        <v>0</v>
      </c>
      <c r="K127" s="33">
        <f t="shared" si="60"/>
        <v>0</v>
      </c>
      <c r="L127" s="33">
        <f t="shared" si="61"/>
        <v>0</v>
      </c>
      <c r="M127" s="33">
        <f t="shared" si="62"/>
        <v>0</v>
      </c>
      <c r="N127" s="33">
        <f t="shared" si="43"/>
        <v>0</v>
      </c>
      <c r="O127" s="34">
        <f t="shared" si="44"/>
        <v>0</v>
      </c>
      <c r="P127" s="55">
        <v>122</v>
      </c>
      <c r="Q127" s="33">
        <f t="shared" si="57"/>
        <v>0</v>
      </c>
      <c r="R127" s="33">
        <f t="shared" si="63"/>
        <v>0</v>
      </c>
      <c r="S127" s="33">
        <f t="shared" si="64"/>
        <v>0</v>
      </c>
      <c r="T127" s="33">
        <f t="shared" si="45"/>
        <v>0</v>
      </c>
      <c r="U127" s="33">
        <f t="shared" si="58"/>
        <v>0</v>
      </c>
      <c r="V127" s="33">
        <f t="shared" si="46"/>
        <v>0</v>
      </c>
      <c r="W127" s="33">
        <v>0</v>
      </c>
      <c r="X127" s="33">
        <f t="shared" si="47"/>
        <v>0</v>
      </c>
      <c r="Y127" s="38">
        <f t="shared" si="48"/>
        <v>0</v>
      </c>
      <c r="AA127" s="71">
        <v>122</v>
      </c>
      <c r="AB127" s="33">
        <f t="shared" si="49"/>
        <v>0</v>
      </c>
      <c r="AC127" s="308">
        <f t="shared" si="73"/>
        <v>0</v>
      </c>
      <c r="AD127" s="101">
        <f t="shared" si="50"/>
        <v>0</v>
      </c>
      <c r="AE127" s="101">
        <f t="shared" si="51"/>
        <v>0</v>
      </c>
      <c r="AF127" s="197">
        <f t="shared" si="69"/>
        <v>0</v>
      </c>
      <c r="AG127" s="197">
        <f t="shared" si="70"/>
        <v>0</v>
      </c>
      <c r="AH127" s="197">
        <f t="shared" si="71"/>
        <v>0</v>
      </c>
      <c r="AI127" s="202">
        <f t="shared" si="72"/>
        <v>0</v>
      </c>
      <c r="AK127" s="71">
        <v>122</v>
      </c>
      <c r="AL127" s="33">
        <f t="shared" si="52"/>
        <v>0</v>
      </c>
      <c r="AM127" s="33">
        <f t="shared" si="53"/>
        <v>0</v>
      </c>
      <c r="AN127" s="33">
        <f t="shared" si="54"/>
        <v>0</v>
      </c>
      <c r="AO127" s="33">
        <f t="shared" si="55"/>
        <v>0</v>
      </c>
      <c r="AP127" s="33">
        <f t="shared" si="56"/>
        <v>0</v>
      </c>
      <c r="AQ127" s="197">
        <f t="shared" si="75"/>
        <v>0</v>
      </c>
      <c r="AR127" s="197">
        <f t="shared" si="75"/>
        <v>0</v>
      </c>
      <c r="AS127" s="197">
        <f t="shared" si="75"/>
        <v>0</v>
      </c>
      <c r="AT127" s="197">
        <f t="shared" si="74"/>
        <v>0</v>
      </c>
      <c r="AU127" s="33"/>
      <c r="AV127" s="33"/>
      <c r="AW127" s="33"/>
      <c r="AX127" s="33"/>
      <c r="AY127" s="76"/>
    </row>
    <row r="128" spans="2:51">
      <c r="E128" s="24"/>
      <c r="I128" s="55">
        <v>123</v>
      </c>
      <c r="J128" s="33">
        <f t="shared" si="59"/>
        <v>0</v>
      </c>
      <c r="K128" s="33">
        <f t="shared" si="60"/>
        <v>0</v>
      </c>
      <c r="L128" s="33">
        <f t="shared" si="61"/>
        <v>0</v>
      </c>
      <c r="M128" s="33">
        <f t="shared" si="62"/>
        <v>0</v>
      </c>
      <c r="N128" s="33">
        <f t="shared" si="43"/>
        <v>0</v>
      </c>
      <c r="O128" s="34">
        <f t="shared" si="44"/>
        <v>0</v>
      </c>
      <c r="P128" s="55">
        <v>123</v>
      </c>
      <c r="Q128" s="33">
        <f t="shared" si="57"/>
        <v>0</v>
      </c>
      <c r="R128" s="33">
        <f t="shared" si="63"/>
        <v>0</v>
      </c>
      <c r="S128" s="33">
        <f t="shared" si="64"/>
        <v>0</v>
      </c>
      <c r="T128" s="33">
        <f t="shared" si="45"/>
        <v>0</v>
      </c>
      <c r="U128" s="33">
        <f t="shared" si="58"/>
        <v>0</v>
      </c>
      <c r="V128" s="33">
        <f t="shared" si="46"/>
        <v>0</v>
      </c>
      <c r="W128" s="33">
        <v>0</v>
      </c>
      <c r="X128" s="33">
        <f t="shared" si="47"/>
        <v>0</v>
      </c>
      <c r="Y128" s="38">
        <f t="shared" si="48"/>
        <v>0</v>
      </c>
      <c r="AA128" s="71">
        <v>123</v>
      </c>
      <c r="AB128" s="33">
        <f t="shared" si="49"/>
        <v>0</v>
      </c>
      <c r="AC128" s="308">
        <f t="shared" si="73"/>
        <v>0</v>
      </c>
      <c r="AD128" s="101">
        <f t="shared" si="50"/>
        <v>0</v>
      </c>
      <c r="AE128" s="101">
        <f t="shared" si="51"/>
        <v>0</v>
      </c>
      <c r="AF128" s="197">
        <f t="shared" si="69"/>
        <v>0</v>
      </c>
      <c r="AG128" s="197">
        <f t="shared" si="70"/>
        <v>0</v>
      </c>
      <c r="AH128" s="197">
        <f t="shared" si="71"/>
        <v>0</v>
      </c>
      <c r="AI128" s="202">
        <f t="shared" si="72"/>
        <v>0</v>
      </c>
      <c r="AK128" s="71">
        <v>123</v>
      </c>
      <c r="AL128" s="33">
        <f t="shared" si="52"/>
        <v>0</v>
      </c>
      <c r="AM128" s="33">
        <f t="shared" si="53"/>
        <v>0</v>
      </c>
      <c r="AN128" s="33">
        <f t="shared" si="54"/>
        <v>0</v>
      </c>
      <c r="AO128" s="33">
        <f t="shared" si="55"/>
        <v>0</v>
      </c>
      <c r="AP128" s="33">
        <f t="shared" si="56"/>
        <v>0</v>
      </c>
      <c r="AQ128" s="197">
        <f t="shared" si="75"/>
        <v>0</v>
      </c>
      <c r="AR128" s="197">
        <f t="shared" si="75"/>
        <v>0</v>
      </c>
      <c r="AS128" s="197">
        <f t="shared" si="75"/>
        <v>0</v>
      </c>
      <c r="AT128" s="197">
        <f t="shared" si="74"/>
        <v>0</v>
      </c>
      <c r="AU128" s="33"/>
      <c r="AV128" s="33"/>
      <c r="AW128" s="33"/>
      <c r="AX128" s="33"/>
      <c r="AY128" s="76"/>
    </row>
    <row r="129" spans="3:51">
      <c r="E129" s="24"/>
      <c r="I129" s="55">
        <v>124</v>
      </c>
      <c r="J129" s="33">
        <f t="shared" si="59"/>
        <v>0</v>
      </c>
      <c r="K129" s="33">
        <f t="shared" si="60"/>
        <v>0</v>
      </c>
      <c r="L129" s="33">
        <f t="shared" si="61"/>
        <v>0</v>
      </c>
      <c r="M129" s="33">
        <f t="shared" si="62"/>
        <v>0</v>
      </c>
      <c r="N129" s="33">
        <f t="shared" si="43"/>
        <v>0</v>
      </c>
      <c r="O129" s="34">
        <f t="shared" si="44"/>
        <v>0</v>
      </c>
      <c r="P129" s="55">
        <v>124</v>
      </c>
      <c r="Q129" s="33">
        <f t="shared" si="57"/>
        <v>0</v>
      </c>
      <c r="R129" s="33">
        <f t="shared" si="63"/>
        <v>0</v>
      </c>
      <c r="S129" s="33">
        <f t="shared" si="64"/>
        <v>0</v>
      </c>
      <c r="T129" s="33">
        <f t="shared" si="45"/>
        <v>0</v>
      </c>
      <c r="U129" s="33">
        <f t="shared" si="58"/>
        <v>0</v>
      </c>
      <c r="V129" s="33">
        <f t="shared" si="46"/>
        <v>0</v>
      </c>
      <c r="W129" s="33">
        <v>0</v>
      </c>
      <c r="X129" s="33">
        <f t="shared" si="47"/>
        <v>0</v>
      </c>
      <c r="Y129" s="38">
        <f t="shared" si="48"/>
        <v>0</v>
      </c>
      <c r="AA129" s="71">
        <v>124</v>
      </c>
      <c r="AB129" s="33">
        <f t="shared" si="49"/>
        <v>0</v>
      </c>
      <c r="AC129" s="308">
        <f t="shared" si="73"/>
        <v>0</v>
      </c>
      <c r="AD129" s="101">
        <f t="shared" si="50"/>
        <v>0</v>
      </c>
      <c r="AE129" s="101">
        <f t="shared" si="51"/>
        <v>0</v>
      </c>
      <c r="AF129" s="197">
        <f t="shared" si="69"/>
        <v>0</v>
      </c>
      <c r="AG129" s="197">
        <f t="shared" si="70"/>
        <v>0</v>
      </c>
      <c r="AH129" s="197">
        <f t="shared" si="71"/>
        <v>0</v>
      </c>
      <c r="AI129" s="202">
        <f t="shared" si="72"/>
        <v>0</v>
      </c>
      <c r="AK129" s="71">
        <v>124</v>
      </c>
      <c r="AL129" s="33">
        <f t="shared" si="52"/>
        <v>0</v>
      </c>
      <c r="AM129" s="33">
        <f t="shared" si="53"/>
        <v>0</v>
      </c>
      <c r="AN129" s="33">
        <f t="shared" si="54"/>
        <v>0</v>
      </c>
      <c r="AO129" s="33">
        <f t="shared" si="55"/>
        <v>0</v>
      </c>
      <c r="AP129" s="33">
        <f t="shared" si="56"/>
        <v>0</v>
      </c>
      <c r="AQ129" s="197">
        <f t="shared" si="75"/>
        <v>0</v>
      </c>
      <c r="AR129" s="197">
        <f t="shared" si="75"/>
        <v>0</v>
      </c>
      <c r="AS129" s="197">
        <f t="shared" si="75"/>
        <v>0</v>
      </c>
      <c r="AT129" s="197">
        <f t="shared" si="74"/>
        <v>0</v>
      </c>
      <c r="AU129" s="33"/>
      <c r="AV129" s="33"/>
      <c r="AW129" s="33"/>
      <c r="AX129" s="33"/>
      <c r="AY129" s="76"/>
    </row>
    <row r="130" spans="3:51" ht="30">
      <c r="C130" s="3" t="s">
        <v>5</v>
      </c>
      <c r="D130" s="3" t="s">
        <v>6</v>
      </c>
      <c r="E130" s="191" t="s">
        <v>227</v>
      </c>
      <c r="I130" s="55">
        <v>125</v>
      </c>
      <c r="J130" s="33">
        <f t="shared" si="59"/>
        <v>0</v>
      </c>
      <c r="K130" s="33">
        <f t="shared" si="60"/>
        <v>0</v>
      </c>
      <c r="L130" s="33">
        <f t="shared" si="61"/>
        <v>0</v>
      </c>
      <c r="M130" s="33">
        <f t="shared" si="62"/>
        <v>0</v>
      </c>
      <c r="N130" s="33">
        <f t="shared" si="43"/>
        <v>0</v>
      </c>
      <c r="O130" s="34">
        <f t="shared" si="44"/>
        <v>0</v>
      </c>
      <c r="P130" s="55">
        <v>125</v>
      </c>
      <c r="Q130" s="33">
        <f t="shared" si="57"/>
        <v>0</v>
      </c>
      <c r="R130" s="33">
        <f t="shared" si="63"/>
        <v>0</v>
      </c>
      <c r="S130" s="33">
        <f t="shared" si="64"/>
        <v>0</v>
      </c>
      <c r="T130" s="33">
        <f t="shared" si="45"/>
        <v>0</v>
      </c>
      <c r="U130" s="33">
        <f t="shared" si="58"/>
        <v>0</v>
      </c>
      <c r="V130" s="33">
        <f t="shared" si="46"/>
        <v>0</v>
      </c>
      <c r="W130" s="33">
        <v>0</v>
      </c>
      <c r="X130" s="33">
        <f t="shared" si="47"/>
        <v>0</v>
      </c>
      <c r="Y130" s="38">
        <f t="shared" si="48"/>
        <v>0</v>
      </c>
      <c r="AA130" s="71">
        <v>125</v>
      </c>
      <c r="AB130" s="33">
        <f t="shared" si="49"/>
        <v>0</v>
      </c>
      <c r="AC130" s="308">
        <f t="shared" si="73"/>
        <v>0</v>
      </c>
      <c r="AD130" s="101">
        <f t="shared" si="50"/>
        <v>0</v>
      </c>
      <c r="AE130" s="101">
        <f t="shared" si="51"/>
        <v>0</v>
      </c>
      <c r="AF130" s="197">
        <f t="shared" si="69"/>
        <v>0</v>
      </c>
      <c r="AG130" s="197">
        <f t="shared" si="70"/>
        <v>0</v>
      </c>
      <c r="AH130" s="197">
        <f t="shared" si="71"/>
        <v>0</v>
      </c>
      <c r="AI130" s="202">
        <f t="shared" si="72"/>
        <v>0</v>
      </c>
      <c r="AK130" s="71">
        <v>125</v>
      </c>
      <c r="AL130" s="33">
        <f t="shared" si="52"/>
        <v>0</v>
      </c>
      <c r="AM130" s="33">
        <f t="shared" si="53"/>
        <v>0</v>
      </c>
      <c r="AN130" s="33">
        <f t="shared" si="54"/>
        <v>0</v>
      </c>
      <c r="AO130" s="33">
        <f t="shared" si="55"/>
        <v>0</v>
      </c>
      <c r="AP130" s="33">
        <f t="shared" si="56"/>
        <v>0</v>
      </c>
      <c r="AQ130" s="197">
        <f t="shared" si="75"/>
        <v>0</v>
      </c>
      <c r="AR130" s="197">
        <f t="shared" si="75"/>
        <v>0</v>
      </c>
      <c r="AS130" s="197">
        <f t="shared" si="75"/>
        <v>0</v>
      </c>
      <c r="AT130" s="197">
        <f t="shared" si="74"/>
        <v>0</v>
      </c>
      <c r="AU130" s="33"/>
      <c r="AV130" s="33"/>
      <c r="AW130" s="33"/>
      <c r="AX130" s="33"/>
      <c r="AY130" s="76"/>
    </row>
    <row r="131" spans="3:51">
      <c r="C131" s="169" t="s">
        <v>7</v>
      </c>
      <c r="D131" s="4">
        <v>0.62</v>
      </c>
      <c r="E131" s="191" t="s">
        <v>228</v>
      </c>
      <c r="I131" s="55">
        <v>126</v>
      </c>
      <c r="J131" s="33">
        <f t="shared" si="59"/>
        <v>0</v>
      </c>
      <c r="K131" s="33">
        <f t="shared" si="60"/>
        <v>0</v>
      </c>
      <c r="L131" s="33">
        <f t="shared" si="61"/>
        <v>0</v>
      </c>
      <c r="M131" s="33">
        <f t="shared" si="62"/>
        <v>0</v>
      </c>
      <c r="N131" s="33">
        <f t="shared" si="43"/>
        <v>0</v>
      </c>
      <c r="O131" s="34">
        <f t="shared" si="44"/>
        <v>0</v>
      </c>
      <c r="P131" s="55">
        <v>126</v>
      </c>
      <c r="Q131" s="33">
        <f t="shared" si="57"/>
        <v>0</v>
      </c>
      <c r="R131" s="33">
        <f t="shared" si="63"/>
        <v>0</v>
      </c>
      <c r="S131" s="33">
        <f t="shared" si="64"/>
        <v>0</v>
      </c>
      <c r="T131" s="33">
        <f t="shared" si="45"/>
        <v>0</v>
      </c>
      <c r="U131" s="33">
        <f t="shared" si="58"/>
        <v>0</v>
      </c>
      <c r="V131" s="33">
        <f t="shared" si="46"/>
        <v>0</v>
      </c>
      <c r="W131" s="33">
        <v>0</v>
      </c>
      <c r="X131" s="33">
        <f t="shared" si="47"/>
        <v>0</v>
      </c>
      <c r="Y131" s="38">
        <f t="shared" si="48"/>
        <v>0</v>
      </c>
      <c r="AA131" s="71">
        <v>126</v>
      </c>
      <c r="AB131" s="33">
        <f t="shared" si="49"/>
        <v>0</v>
      </c>
      <c r="AC131" s="308">
        <f t="shared" si="73"/>
        <v>0</v>
      </c>
      <c r="AD131" s="101">
        <f t="shared" si="50"/>
        <v>0</v>
      </c>
      <c r="AE131" s="101">
        <f t="shared" si="51"/>
        <v>0</v>
      </c>
      <c r="AF131" s="197">
        <f t="shared" si="69"/>
        <v>0</v>
      </c>
      <c r="AG131" s="197">
        <f t="shared" si="70"/>
        <v>0</v>
      </c>
      <c r="AH131" s="197">
        <f t="shared" si="71"/>
        <v>0</v>
      </c>
      <c r="AI131" s="202">
        <f t="shared" si="72"/>
        <v>0</v>
      </c>
      <c r="AK131" s="71">
        <v>126</v>
      </c>
      <c r="AL131" s="33">
        <f t="shared" si="52"/>
        <v>0</v>
      </c>
      <c r="AM131" s="33">
        <f t="shared" si="53"/>
        <v>0</v>
      </c>
      <c r="AN131" s="33">
        <f t="shared" si="54"/>
        <v>0</v>
      </c>
      <c r="AO131" s="33">
        <f t="shared" si="55"/>
        <v>0</v>
      </c>
      <c r="AP131" s="33">
        <f t="shared" si="56"/>
        <v>0</v>
      </c>
      <c r="AQ131" s="197">
        <f t="shared" si="75"/>
        <v>0</v>
      </c>
      <c r="AR131" s="197">
        <f t="shared" si="75"/>
        <v>0</v>
      </c>
      <c r="AS131" s="197">
        <f t="shared" si="75"/>
        <v>0</v>
      </c>
      <c r="AT131" s="197">
        <f t="shared" si="74"/>
        <v>0</v>
      </c>
      <c r="AU131" s="33"/>
      <c r="AV131" s="33"/>
      <c r="AW131" s="33"/>
      <c r="AX131" s="33"/>
      <c r="AY131" s="76"/>
    </row>
    <row r="132" spans="3:51">
      <c r="C132" s="169" t="s">
        <v>4</v>
      </c>
      <c r="D132" s="4">
        <v>0.64</v>
      </c>
      <c r="E132" s="191" t="s">
        <v>228</v>
      </c>
      <c r="I132" s="55">
        <v>127</v>
      </c>
      <c r="J132" s="33">
        <f t="shared" si="59"/>
        <v>0</v>
      </c>
      <c r="K132" s="33">
        <f t="shared" si="60"/>
        <v>0</v>
      </c>
      <c r="L132" s="33">
        <f t="shared" si="61"/>
        <v>0</v>
      </c>
      <c r="M132" s="33">
        <f t="shared" si="62"/>
        <v>0</v>
      </c>
      <c r="N132" s="33">
        <f t="shared" si="43"/>
        <v>0</v>
      </c>
      <c r="O132" s="34">
        <f t="shared" si="44"/>
        <v>0</v>
      </c>
      <c r="P132" s="55">
        <v>127</v>
      </c>
      <c r="Q132" s="33">
        <f t="shared" si="57"/>
        <v>0</v>
      </c>
      <c r="R132" s="33">
        <f t="shared" si="63"/>
        <v>0</v>
      </c>
      <c r="S132" s="33">
        <f t="shared" si="64"/>
        <v>0</v>
      </c>
      <c r="T132" s="33">
        <f t="shared" si="45"/>
        <v>0</v>
      </c>
      <c r="U132" s="33">
        <f t="shared" si="58"/>
        <v>0</v>
      </c>
      <c r="V132" s="33">
        <f t="shared" si="46"/>
        <v>0</v>
      </c>
      <c r="W132" s="33">
        <v>0</v>
      </c>
      <c r="X132" s="33">
        <f t="shared" si="47"/>
        <v>0</v>
      </c>
      <c r="Y132" s="38">
        <f t="shared" si="48"/>
        <v>0</v>
      </c>
      <c r="AA132" s="71">
        <v>127</v>
      </c>
      <c r="AB132" s="33">
        <f t="shared" si="49"/>
        <v>0</v>
      </c>
      <c r="AC132" s="308">
        <f t="shared" si="73"/>
        <v>0</v>
      </c>
      <c r="AD132" s="101">
        <f t="shared" si="50"/>
        <v>0</v>
      </c>
      <c r="AE132" s="101">
        <f t="shared" si="51"/>
        <v>0</v>
      </c>
      <c r="AF132" s="197">
        <f t="shared" si="69"/>
        <v>0</v>
      </c>
      <c r="AG132" s="197">
        <f t="shared" si="70"/>
        <v>0</v>
      </c>
      <c r="AH132" s="197">
        <f t="shared" si="71"/>
        <v>0</v>
      </c>
      <c r="AI132" s="202">
        <f t="shared" si="72"/>
        <v>0</v>
      </c>
      <c r="AK132" s="71">
        <v>127</v>
      </c>
      <c r="AL132" s="33">
        <f t="shared" si="52"/>
        <v>0</v>
      </c>
      <c r="AM132" s="33">
        <f t="shared" si="53"/>
        <v>0</v>
      </c>
      <c r="AN132" s="33">
        <f t="shared" si="54"/>
        <v>0</v>
      </c>
      <c r="AO132" s="33">
        <f t="shared" si="55"/>
        <v>0</v>
      </c>
      <c r="AP132" s="33">
        <f t="shared" si="56"/>
        <v>0</v>
      </c>
      <c r="AQ132" s="197">
        <f t="shared" si="75"/>
        <v>0</v>
      </c>
      <c r="AR132" s="197">
        <f t="shared" si="75"/>
        <v>0</v>
      </c>
      <c r="AS132" s="197">
        <f t="shared" si="75"/>
        <v>0</v>
      </c>
      <c r="AT132" s="197">
        <f t="shared" si="74"/>
        <v>0</v>
      </c>
      <c r="AU132" s="33"/>
      <c r="AV132" s="33"/>
      <c r="AW132" s="33"/>
      <c r="AX132" s="33"/>
      <c r="AY132" s="76"/>
    </row>
    <row r="133" spans="3:51">
      <c r="C133" s="169" t="s">
        <v>8</v>
      </c>
      <c r="D133" s="4">
        <v>0.42</v>
      </c>
      <c r="E133" s="191" t="s">
        <v>228</v>
      </c>
      <c r="I133" s="55">
        <v>128</v>
      </c>
      <c r="J133" s="33">
        <f t="shared" si="59"/>
        <v>0</v>
      </c>
      <c r="K133" s="33">
        <f t="shared" si="60"/>
        <v>0</v>
      </c>
      <c r="L133" s="33">
        <f t="shared" si="61"/>
        <v>0</v>
      </c>
      <c r="M133" s="33">
        <f t="shared" si="62"/>
        <v>0</v>
      </c>
      <c r="N133" s="33">
        <f t="shared" ref="N133:N196" si="76">IF(P134&lt;=$F$18,0,)</f>
        <v>0</v>
      </c>
      <c r="O133" s="34">
        <f t="shared" ref="O133:O196" si="77">((J133+K133)*0.475+L133+M133+N133)*44/12</f>
        <v>0</v>
      </c>
      <c r="P133" s="55">
        <v>128</v>
      </c>
      <c r="Q133" s="33">
        <f t="shared" si="57"/>
        <v>0</v>
      </c>
      <c r="R133" s="33">
        <f t="shared" si="63"/>
        <v>0</v>
      </c>
      <c r="S133" s="33">
        <f t="shared" si="64"/>
        <v>0</v>
      </c>
      <c r="T133" s="33">
        <f t="shared" ref="T133:T196" si="78">IF(S133=0,0,EXP(-1.0587+0.8836*LN(S133)+0.284))</f>
        <v>0</v>
      </c>
      <c r="U133" s="33">
        <f t="shared" si="58"/>
        <v>0</v>
      </c>
      <c r="V133" s="33">
        <f t="shared" ref="V133:V196" si="79">IF(P133&lt;=$F$18,IF(P133&lt;=30,P133*($F$16-$F$6)/30,$F$16-$F$6),)</f>
        <v>0</v>
      </c>
      <c r="W133" s="33">
        <v>0</v>
      </c>
      <c r="X133" s="33">
        <f t="shared" ref="X133:X196" si="80">((S133+T133)*0.475+U133+V133+W133)*44/12</f>
        <v>0</v>
      </c>
      <c r="Y133" s="38">
        <f t="shared" ref="Y133:Y196" si="81">IF(P133&lt;=$F$18,X133-O133,)</f>
        <v>0</v>
      </c>
      <c r="AA133" s="71">
        <v>128</v>
      </c>
      <c r="AB133" s="33">
        <f t="shared" ref="AB133:AB196" si="82">IF(AA133&lt;=$F$18,IFERROR(VLOOKUP($AA133,$B$82:$G$94,2,FALSE),0),)</f>
        <v>0</v>
      </c>
      <c r="AC133" s="308">
        <f t="shared" si="73"/>
        <v>0</v>
      </c>
      <c r="AD133" s="101">
        <f t="shared" ref="AD133:AD196" si="83">IF(AA133&lt;=$F$18,IFERROR(VLOOKUP($AA133,$B$82:$G$94,4,FALSE),0),)</f>
        <v>0</v>
      </c>
      <c r="AE133" s="101">
        <f t="shared" ref="AE133:AE196" si="84">IF(AA133&lt;=$F$18,IFERROR(VLOOKUP($AA133,$B$82:$G$94,5,FALSE),0),)</f>
        <v>0</v>
      </c>
      <c r="AF133" s="197">
        <f t="shared" si="69"/>
        <v>0</v>
      </c>
      <c r="AG133" s="197">
        <f t="shared" si="70"/>
        <v>0</v>
      </c>
      <c r="AH133" s="197">
        <f t="shared" si="71"/>
        <v>0</v>
      </c>
      <c r="AI133" s="202">
        <f t="shared" si="72"/>
        <v>0</v>
      </c>
      <c r="AK133" s="71">
        <v>128</v>
      </c>
      <c r="AL133" s="33">
        <f t="shared" ref="AL133:AL196" si="85">IF(AK133&lt;=$F$18,IFERROR(VLOOKUP($AA133,$B$82:$G$94,2,FALSE),0),)</f>
        <v>0</v>
      </c>
      <c r="AM133" s="33">
        <f t="shared" ref="AM133:AM196" si="86">IF(AK133&lt;=$F$18,IFERROR(VLOOKUP($AA133,$B$82:$G$94,3,FALSE),0),)</f>
        <v>0</v>
      </c>
      <c r="AN133" s="33">
        <f t="shared" ref="AN133:AN196" si="87">IF(AK133&lt;=$F$18,IFERROR(VLOOKUP($AA133,$B$82:$G$94,4,FALSE),0),)</f>
        <v>0</v>
      </c>
      <c r="AO133" s="33">
        <f t="shared" ref="AO133:AO196" si="88">IF(AK133&lt;=$F$18,IFERROR(VLOOKUP($AA133,$B$82:$G$94,5,FALSE),0),)</f>
        <v>0</v>
      </c>
      <c r="AP133" s="33">
        <f t="shared" ref="AP133:AP196" si="89">IF(AK133&lt;=$F$18,IFERROR(VLOOKUP($AA133,$B$82:$G$94,6,FALSE),0),)</f>
        <v>0</v>
      </c>
      <c r="AQ133" s="197">
        <f t="shared" si="75"/>
        <v>0</v>
      </c>
      <c r="AR133" s="197">
        <f t="shared" si="75"/>
        <v>0</v>
      </c>
      <c r="AS133" s="197">
        <f t="shared" si="75"/>
        <v>0</v>
      </c>
      <c r="AT133" s="197">
        <f t="shared" si="74"/>
        <v>0</v>
      </c>
      <c r="AU133" s="33"/>
      <c r="AV133" s="33"/>
      <c r="AW133" s="33"/>
      <c r="AX133" s="33"/>
      <c r="AY133" s="76"/>
    </row>
    <row r="134" spans="3:51">
      <c r="C134" s="169" t="s">
        <v>9</v>
      </c>
      <c r="D134" s="4">
        <v>0.42</v>
      </c>
      <c r="E134" s="191" t="s">
        <v>228</v>
      </c>
      <c r="I134" s="55">
        <v>129</v>
      </c>
      <c r="J134" s="33">
        <f t="shared" si="59"/>
        <v>0</v>
      </c>
      <c r="K134" s="33">
        <f t="shared" si="60"/>
        <v>0</v>
      </c>
      <c r="L134" s="33">
        <f t="shared" si="61"/>
        <v>0</v>
      </c>
      <c r="M134" s="33">
        <f t="shared" si="62"/>
        <v>0</v>
      </c>
      <c r="N134" s="33">
        <f t="shared" si="76"/>
        <v>0</v>
      </c>
      <c r="O134" s="34">
        <f t="shared" si="77"/>
        <v>0</v>
      </c>
      <c r="P134" s="55">
        <v>129</v>
      </c>
      <c r="Q134" s="33">
        <f t="shared" ref="Q134:Q197" si="90">IF(P134&lt;=$F$18,LOOKUP(P134-1,$B$25:$B$78,$G$25:$G$78),)</f>
        <v>0</v>
      </c>
      <c r="R134" s="33">
        <f t="shared" si="63"/>
        <v>0</v>
      </c>
      <c r="S134" s="33">
        <f t="shared" si="64"/>
        <v>0</v>
      </c>
      <c r="T134" s="33">
        <f t="shared" si="78"/>
        <v>0</v>
      </c>
      <c r="U134" s="33">
        <f t="shared" ref="U134:U197" si="91">IF(P134&lt;=$F$18,$F$5+($F$15-$F$5)*(1-EXP(-0.0175*P134)),)</f>
        <v>0</v>
      </c>
      <c r="V134" s="33">
        <f t="shared" si="79"/>
        <v>0</v>
      </c>
      <c r="W134" s="33">
        <v>0</v>
      </c>
      <c r="X134" s="33">
        <f t="shared" si="80"/>
        <v>0</v>
      </c>
      <c r="Y134" s="38">
        <f t="shared" si="81"/>
        <v>0</v>
      </c>
      <c r="AA134" s="71">
        <v>129</v>
      </c>
      <c r="AB134" s="33">
        <f t="shared" si="82"/>
        <v>0</v>
      </c>
      <c r="AC134" s="308">
        <f t="shared" si="73"/>
        <v>0</v>
      </c>
      <c r="AD134" s="101">
        <f t="shared" si="83"/>
        <v>0</v>
      </c>
      <c r="AE134" s="101">
        <f t="shared" si="84"/>
        <v>0</v>
      </c>
      <c r="AF134" s="197">
        <f t="shared" si="69"/>
        <v>0</v>
      </c>
      <c r="AG134" s="197">
        <f t="shared" si="70"/>
        <v>0</v>
      </c>
      <c r="AH134" s="197">
        <f t="shared" si="71"/>
        <v>0</v>
      </c>
      <c r="AI134" s="202">
        <f t="shared" si="72"/>
        <v>0</v>
      </c>
      <c r="AK134" s="71">
        <v>129</v>
      </c>
      <c r="AL134" s="33">
        <f t="shared" si="85"/>
        <v>0</v>
      </c>
      <c r="AM134" s="33">
        <f t="shared" si="86"/>
        <v>0</v>
      </c>
      <c r="AN134" s="33">
        <f t="shared" si="87"/>
        <v>0</v>
      </c>
      <c r="AO134" s="33">
        <f t="shared" si="88"/>
        <v>0</v>
      </c>
      <c r="AP134" s="33">
        <f t="shared" si="89"/>
        <v>0</v>
      </c>
      <c r="AQ134" s="197">
        <f t="shared" si="75"/>
        <v>0</v>
      </c>
      <c r="AR134" s="197">
        <f t="shared" si="75"/>
        <v>0</v>
      </c>
      <c r="AS134" s="197">
        <f t="shared" si="75"/>
        <v>0</v>
      </c>
      <c r="AT134" s="197">
        <f t="shared" si="74"/>
        <v>0</v>
      </c>
      <c r="AU134" s="33"/>
      <c r="AV134" s="33"/>
      <c r="AW134" s="33"/>
      <c r="AX134" s="33"/>
      <c r="AY134" s="76"/>
    </row>
    <row r="135" spans="3:51">
      <c r="C135" s="169" t="s">
        <v>10</v>
      </c>
      <c r="D135" s="4">
        <v>0.52</v>
      </c>
      <c r="E135" s="191" t="s">
        <v>228</v>
      </c>
      <c r="I135" s="55">
        <v>130</v>
      </c>
      <c r="J135" s="33">
        <f t="shared" ref="J135:J198" si="92">IF($I135&lt;=$F$10,$F$11*$F$13+J134,)</f>
        <v>0</v>
      </c>
      <c r="K135" s="33">
        <f t="shared" ref="K135:K198" si="93">IF(J135=0,0,EXP(-1.0587+0.8836*LN(J135)+0.284))</f>
        <v>0</v>
      </c>
      <c r="L135" s="33">
        <f t="shared" ref="L135:L198" si="94">IF(I135&lt;=$F$10,$F$5+($F$8-$F$5)*(1-EXP(-0.0175*I135)),)</f>
        <v>0</v>
      </c>
      <c r="M135" s="33">
        <f t="shared" ref="M135:M198" si="95">IF(I135&lt;=$F$10,IF(I135&lt;=30,I135*($F$9-$F$6)/30,$F$9-$F$6),)</f>
        <v>0</v>
      </c>
      <c r="N135" s="33">
        <f t="shared" si="76"/>
        <v>0</v>
      </c>
      <c r="O135" s="34">
        <f t="shared" si="77"/>
        <v>0</v>
      </c>
      <c r="P135" s="55">
        <v>130</v>
      </c>
      <c r="Q135" s="33">
        <f t="shared" si="90"/>
        <v>0</v>
      </c>
      <c r="R135" s="33">
        <f t="shared" ref="R135:R198" si="96">IF(P135&lt;=$F$18,Q135+R134,)</f>
        <v>0</v>
      </c>
      <c r="S135" s="33">
        <f t="shared" ref="S135:S198" si="97">$F$19*R135</f>
        <v>0</v>
      </c>
      <c r="T135" s="33">
        <f t="shared" si="78"/>
        <v>0</v>
      </c>
      <c r="U135" s="33">
        <f t="shared" si="91"/>
        <v>0</v>
      </c>
      <c r="V135" s="33">
        <f t="shared" si="79"/>
        <v>0</v>
      </c>
      <c r="W135" s="33">
        <v>0</v>
      </c>
      <c r="X135" s="33">
        <f t="shared" si="80"/>
        <v>0</v>
      </c>
      <c r="Y135" s="38">
        <f t="shared" si="81"/>
        <v>0</v>
      </c>
      <c r="AA135" s="71">
        <v>130</v>
      </c>
      <c r="AB135" s="33">
        <f t="shared" si="82"/>
        <v>0</v>
      </c>
      <c r="AC135" s="308">
        <f t="shared" si="73"/>
        <v>0</v>
      </c>
      <c r="AD135" s="101">
        <f t="shared" si="83"/>
        <v>0</v>
      </c>
      <c r="AE135" s="101">
        <f t="shared" si="84"/>
        <v>0</v>
      </c>
      <c r="AF135" s="197">
        <f t="shared" si="69"/>
        <v>0</v>
      </c>
      <c r="AG135" s="197">
        <f t="shared" si="70"/>
        <v>0</v>
      </c>
      <c r="AH135" s="197">
        <f t="shared" si="71"/>
        <v>0</v>
      </c>
      <c r="AI135" s="202">
        <f t="shared" si="72"/>
        <v>0</v>
      </c>
      <c r="AK135" s="71">
        <v>130</v>
      </c>
      <c r="AL135" s="33">
        <f t="shared" si="85"/>
        <v>0</v>
      </c>
      <c r="AM135" s="33">
        <f t="shared" si="86"/>
        <v>0</v>
      </c>
      <c r="AN135" s="33">
        <f t="shared" si="87"/>
        <v>0</v>
      </c>
      <c r="AO135" s="33">
        <f t="shared" si="88"/>
        <v>0</v>
      </c>
      <c r="AP135" s="33">
        <f t="shared" si="89"/>
        <v>0</v>
      </c>
      <c r="AQ135" s="197">
        <f t="shared" si="75"/>
        <v>0</v>
      </c>
      <c r="AR135" s="197">
        <f t="shared" si="75"/>
        <v>0</v>
      </c>
      <c r="AS135" s="197">
        <f t="shared" si="75"/>
        <v>0</v>
      </c>
      <c r="AT135" s="197">
        <f t="shared" si="74"/>
        <v>0</v>
      </c>
      <c r="AU135" s="33"/>
      <c r="AV135" s="33"/>
      <c r="AW135" s="33"/>
      <c r="AX135" s="33"/>
      <c r="AY135" s="76"/>
    </row>
    <row r="136" spans="3:51">
      <c r="C136" s="169" t="s">
        <v>11</v>
      </c>
      <c r="D136" s="4">
        <v>0.36</v>
      </c>
      <c r="E136" s="191" t="s">
        <v>229</v>
      </c>
      <c r="I136" s="55">
        <v>131</v>
      </c>
      <c r="J136" s="33">
        <f t="shared" si="92"/>
        <v>0</v>
      </c>
      <c r="K136" s="33">
        <f t="shared" si="93"/>
        <v>0</v>
      </c>
      <c r="L136" s="33">
        <f t="shared" si="94"/>
        <v>0</v>
      </c>
      <c r="M136" s="33">
        <f t="shared" si="95"/>
        <v>0</v>
      </c>
      <c r="N136" s="33">
        <f t="shared" si="76"/>
        <v>0</v>
      </c>
      <c r="O136" s="34">
        <f t="shared" si="77"/>
        <v>0</v>
      </c>
      <c r="P136" s="55">
        <v>131</v>
      </c>
      <c r="Q136" s="33">
        <f t="shared" si="90"/>
        <v>0</v>
      </c>
      <c r="R136" s="33">
        <f t="shared" si="96"/>
        <v>0</v>
      </c>
      <c r="S136" s="33">
        <f t="shared" si="97"/>
        <v>0</v>
      </c>
      <c r="T136" s="33">
        <f t="shared" si="78"/>
        <v>0</v>
      </c>
      <c r="U136" s="33">
        <f t="shared" si="91"/>
        <v>0</v>
      </c>
      <c r="V136" s="33">
        <f t="shared" si="79"/>
        <v>0</v>
      </c>
      <c r="W136" s="33">
        <v>0</v>
      </c>
      <c r="X136" s="33">
        <f t="shared" si="80"/>
        <v>0</v>
      </c>
      <c r="Y136" s="38">
        <f t="shared" si="81"/>
        <v>0</v>
      </c>
      <c r="AA136" s="71">
        <v>131</v>
      </c>
      <c r="AB136" s="33">
        <f t="shared" si="82"/>
        <v>0</v>
      </c>
      <c r="AC136" s="308">
        <f t="shared" si="73"/>
        <v>0</v>
      </c>
      <c r="AD136" s="101">
        <f t="shared" si="83"/>
        <v>0</v>
      </c>
      <c r="AE136" s="101">
        <f t="shared" si="84"/>
        <v>0</v>
      </c>
      <c r="AF136" s="197">
        <f t="shared" si="69"/>
        <v>0</v>
      </c>
      <c r="AG136" s="197">
        <f t="shared" si="70"/>
        <v>0</v>
      </c>
      <c r="AH136" s="197">
        <f t="shared" si="71"/>
        <v>0</v>
      </c>
      <c r="AI136" s="202">
        <f t="shared" si="72"/>
        <v>0</v>
      </c>
      <c r="AK136" s="71">
        <v>131</v>
      </c>
      <c r="AL136" s="33">
        <f t="shared" si="85"/>
        <v>0</v>
      </c>
      <c r="AM136" s="33">
        <f t="shared" si="86"/>
        <v>0</v>
      </c>
      <c r="AN136" s="33">
        <f t="shared" si="87"/>
        <v>0</v>
      </c>
      <c r="AO136" s="33">
        <f t="shared" si="88"/>
        <v>0</v>
      </c>
      <c r="AP136" s="33">
        <f t="shared" si="89"/>
        <v>0</v>
      </c>
      <c r="AQ136" s="197">
        <f t="shared" si="75"/>
        <v>0</v>
      </c>
      <c r="AR136" s="197">
        <f t="shared" si="75"/>
        <v>0</v>
      </c>
      <c r="AS136" s="197">
        <f t="shared" si="75"/>
        <v>0</v>
      </c>
      <c r="AT136" s="197">
        <f t="shared" si="74"/>
        <v>0</v>
      </c>
      <c r="AU136" s="33"/>
      <c r="AV136" s="33"/>
      <c r="AW136" s="33"/>
      <c r="AX136" s="33"/>
      <c r="AY136" s="76"/>
    </row>
    <row r="137" spans="3:51">
      <c r="C137" s="169" t="s">
        <v>12</v>
      </c>
      <c r="D137" s="4">
        <v>0.61</v>
      </c>
      <c r="E137" s="191" t="s">
        <v>228</v>
      </c>
      <c r="I137" s="55">
        <v>132</v>
      </c>
      <c r="J137" s="33">
        <f t="shared" si="92"/>
        <v>0</v>
      </c>
      <c r="K137" s="33">
        <f t="shared" si="93"/>
        <v>0</v>
      </c>
      <c r="L137" s="33">
        <f t="shared" si="94"/>
        <v>0</v>
      </c>
      <c r="M137" s="33">
        <f t="shared" si="95"/>
        <v>0</v>
      </c>
      <c r="N137" s="33">
        <f t="shared" si="76"/>
        <v>0</v>
      </c>
      <c r="O137" s="34">
        <f t="shared" si="77"/>
        <v>0</v>
      </c>
      <c r="P137" s="55">
        <v>132</v>
      </c>
      <c r="Q137" s="33">
        <f t="shared" si="90"/>
        <v>0</v>
      </c>
      <c r="R137" s="33">
        <f t="shared" si="96"/>
        <v>0</v>
      </c>
      <c r="S137" s="33">
        <f t="shared" si="97"/>
        <v>0</v>
      </c>
      <c r="T137" s="33">
        <f t="shared" si="78"/>
        <v>0</v>
      </c>
      <c r="U137" s="33">
        <f t="shared" si="91"/>
        <v>0</v>
      </c>
      <c r="V137" s="33">
        <f t="shared" si="79"/>
        <v>0</v>
      </c>
      <c r="W137" s="33">
        <v>0</v>
      </c>
      <c r="X137" s="33">
        <f t="shared" si="80"/>
        <v>0</v>
      </c>
      <c r="Y137" s="38">
        <f t="shared" si="81"/>
        <v>0</v>
      </c>
      <c r="AA137" s="71">
        <v>132</v>
      </c>
      <c r="AB137" s="33">
        <f t="shared" si="82"/>
        <v>0</v>
      </c>
      <c r="AC137" s="308">
        <f t="shared" si="73"/>
        <v>0</v>
      </c>
      <c r="AD137" s="101">
        <f t="shared" si="83"/>
        <v>0</v>
      </c>
      <c r="AE137" s="101">
        <f t="shared" si="84"/>
        <v>0</v>
      </c>
      <c r="AF137" s="197">
        <f t="shared" si="69"/>
        <v>0</v>
      </c>
      <c r="AG137" s="197">
        <f t="shared" si="70"/>
        <v>0</v>
      </c>
      <c r="AH137" s="197">
        <f t="shared" si="71"/>
        <v>0</v>
      </c>
      <c r="AI137" s="202">
        <f t="shared" si="72"/>
        <v>0</v>
      </c>
      <c r="AK137" s="71">
        <v>132</v>
      </c>
      <c r="AL137" s="33">
        <f t="shared" si="85"/>
        <v>0</v>
      </c>
      <c r="AM137" s="33">
        <f t="shared" si="86"/>
        <v>0</v>
      </c>
      <c r="AN137" s="33">
        <f t="shared" si="87"/>
        <v>0</v>
      </c>
      <c r="AO137" s="33">
        <f t="shared" si="88"/>
        <v>0</v>
      </c>
      <c r="AP137" s="33">
        <f t="shared" si="89"/>
        <v>0</v>
      </c>
      <c r="AQ137" s="197">
        <f t="shared" si="75"/>
        <v>0</v>
      </c>
      <c r="AR137" s="197">
        <f t="shared" si="75"/>
        <v>0</v>
      </c>
      <c r="AS137" s="197">
        <f t="shared" si="75"/>
        <v>0</v>
      </c>
      <c r="AT137" s="197">
        <f t="shared" si="74"/>
        <v>0</v>
      </c>
      <c r="AU137" s="33"/>
      <c r="AV137" s="33"/>
      <c r="AW137" s="33"/>
      <c r="AX137" s="33"/>
      <c r="AY137" s="76"/>
    </row>
    <row r="138" spans="3:51">
      <c r="C138" s="169" t="s">
        <v>13</v>
      </c>
      <c r="D138" s="4">
        <v>0.66</v>
      </c>
      <c r="E138" s="191" t="s">
        <v>228</v>
      </c>
      <c r="I138" s="55">
        <v>133</v>
      </c>
      <c r="J138" s="33">
        <f t="shared" si="92"/>
        <v>0</v>
      </c>
      <c r="K138" s="33">
        <f t="shared" si="93"/>
        <v>0</v>
      </c>
      <c r="L138" s="33">
        <f t="shared" si="94"/>
        <v>0</v>
      </c>
      <c r="M138" s="33">
        <f t="shared" si="95"/>
        <v>0</v>
      </c>
      <c r="N138" s="33">
        <f t="shared" si="76"/>
        <v>0</v>
      </c>
      <c r="O138" s="34">
        <f t="shared" si="77"/>
        <v>0</v>
      </c>
      <c r="P138" s="55">
        <v>133</v>
      </c>
      <c r="Q138" s="33">
        <f t="shared" si="90"/>
        <v>0</v>
      </c>
      <c r="R138" s="33">
        <f t="shared" si="96"/>
        <v>0</v>
      </c>
      <c r="S138" s="33">
        <f t="shared" si="97"/>
        <v>0</v>
      </c>
      <c r="T138" s="33">
        <f t="shared" si="78"/>
        <v>0</v>
      </c>
      <c r="U138" s="33">
        <f t="shared" si="91"/>
        <v>0</v>
      </c>
      <c r="V138" s="33">
        <f t="shared" si="79"/>
        <v>0</v>
      </c>
      <c r="W138" s="33">
        <v>0</v>
      </c>
      <c r="X138" s="33">
        <f t="shared" si="80"/>
        <v>0</v>
      </c>
      <c r="Y138" s="38">
        <f t="shared" si="81"/>
        <v>0</v>
      </c>
      <c r="AA138" s="71">
        <v>133</v>
      </c>
      <c r="AB138" s="33">
        <f t="shared" si="82"/>
        <v>0</v>
      </c>
      <c r="AC138" s="308">
        <f t="shared" si="73"/>
        <v>0</v>
      </c>
      <c r="AD138" s="101">
        <f t="shared" si="83"/>
        <v>0</v>
      </c>
      <c r="AE138" s="101">
        <f t="shared" si="84"/>
        <v>0</v>
      </c>
      <c r="AF138" s="197">
        <f t="shared" si="69"/>
        <v>0</v>
      </c>
      <c r="AG138" s="197">
        <f t="shared" si="70"/>
        <v>0</v>
      </c>
      <c r="AH138" s="197">
        <f t="shared" si="71"/>
        <v>0</v>
      </c>
      <c r="AI138" s="202">
        <f t="shared" si="72"/>
        <v>0</v>
      </c>
      <c r="AK138" s="71">
        <v>133</v>
      </c>
      <c r="AL138" s="33">
        <f t="shared" si="85"/>
        <v>0</v>
      </c>
      <c r="AM138" s="33">
        <f t="shared" si="86"/>
        <v>0</v>
      </c>
      <c r="AN138" s="33">
        <f t="shared" si="87"/>
        <v>0</v>
      </c>
      <c r="AO138" s="33">
        <f t="shared" si="88"/>
        <v>0</v>
      </c>
      <c r="AP138" s="33">
        <f t="shared" si="89"/>
        <v>0</v>
      </c>
      <c r="AQ138" s="197">
        <f t="shared" si="75"/>
        <v>0</v>
      </c>
      <c r="AR138" s="197">
        <f t="shared" si="75"/>
        <v>0</v>
      </c>
      <c r="AS138" s="197">
        <f t="shared" si="75"/>
        <v>0</v>
      </c>
      <c r="AT138" s="197">
        <f t="shared" si="74"/>
        <v>0</v>
      </c>
      <c r="AU138" s="33"/>
      <c r="AV138" s="33"/>
      <c r="AW138" s="33"/>
      <c r="AX138" s="33"/>
      <c r="AY138" s="76"/>
    </row>
    <row r="139" spans="3:51">
      <c r="C139" s="170" t="s">
        <v>14</v>
      </c>
      <c r="D139" s="135">
        <v>0.47</v>
      </c>
      <c r="E139" s="191" t="s">
        <v>228</v>
      </c>
      <c r="I139" s="55">
        <v>134</v>
      </c>
      <c r="J139" s="33">
        <f t="shared" si="92"/>
        <v>0</v>
      </c>
      <c r="K139" s="33">
        <f t="shared" si="93"/>
        <v>0</v>
      </c>
      <c r="L139" s="33">
        <f t="shared" si="94"/>
        <v>0</v>
      </c>
      <c r="M139" s="33">
        <f t="shared" si="95"/>
        <v>0</v>
      </c>
      <c r="N139" s="33">
        <f t="shared" si="76"/>
        <v>0</v>
      </c>
      <c r="O139" s="34">
        <f t="shared" si="77"/>
        <v>0</v>
      </c>
      <c r="P139" s="55">
        <v>134</v>
      </c>
      <c r="Q139" s="33">
        <f t="shared" si="90"/>
        <v>0</v>
      </c>
      <c r="R139" s="33">
        <f t="shared" si="96"/>
        <v>0</v>
      </c>
      <c r="S139" s="33">
        <f t="shared" si="97"/>
        <v>0</v>
      </c>
      <c r="T139" s="33">
        <f t="shared" si="78"/>
        <v>0</v>
      </c>
      <c r="U139" s="33">
        <f t="shared" si="91"/>
        <v>0</v>
      </c>
      <c r="V139" s="33">
        <f t="shared" si="79"/>
        <v>0</v>
      </c>
      <c r="W139" s="33">
        <v>0</v>
      </c>
      <c r="X139" s="33">
        <f t="shared" si="80"/>
        <v>0</v>
      </c>
      <c r="Y139" s="38">
        <f t="shared" si="81"/>
        <v>0</v>
      </c>
      <c r="AA139" s="71">
        <v>134</v>
      </c>
      <c r="AB139" s="33">
        <f t="shared" si="82"/>
        <v>0</v>
      </c>
      <c r="AC139" s="308">
        <f t="shared" si="73"/>
        <v>0</v>
      </c>
      <c r="AD139" s="101">
        <f t="shared" si="83"/>
        <v>0</v>
      </c>
      <c r="AE139" s="101">
        <f t="shared" si="84"/>
        <v>0</v>
      </c>
      <c r="AF139" s="197">
        <f t="shared" si="69"/>
        <v>0</v>
      </c>
      <c r="AG139" s="197">
        <f t="shared" si="70"/>
        <v>0</v>
      </c>
      <c r="AH139" s="197">
        <f t="shared" si="71"/>
        <v>0</v>
      </c>
      <c r="AI139" s="202">
        <f t="shared" si="72"/>
        <v>0</v>
      </c>
      <c r="AK139" s="71">
        <v>134</v>
      </c>
      <c r="AL139" s="33">
        <f t="shared" si="85"/>
        <v>0</v>
      </c>
      <c r="AM139" s="33">
        <f t="shared" si="86"/>
        <v>0</v>
      </c>
      <c r="AN139" s="33">
        <f t="shared" si="87"/>
        <v>0</v>
      </c>
      <c r="AO139" s="33">
        <f t="shared" si="88"/>
        <v>0</v>
      </c>
      <c r="AP139" s="33">
        <f t="shared" si="89"/>
        <v>0</v>
      </c>
      <c r="AQ139" s="197">
        <f t="shared" si="75"/>
        <v>0</v>
      </c>
      <c r="AR139" s="197">
        <f t="shared" si="75"/>
        <v>0</v>
      </c>
      <c r="AS139" s="197">
        <f t="shared" si="75"/>
        <v>0</v>
      </c>
      <c r="AT139" s="197">
        <f t="shared" si="74"/>
        <v>0</v>
      </c>
      <c r="AU139" s="33"/>
      <c r="AV139" s="33"/>
      <c r="AW139" s="33"/>
      <c r="AX139" s="33"/>
      <c r="AY139" s="76"/>
    </row>
    <row r="140" spans="3:51">
      <c r="C140" s="169" t="s">
        <v>15</v>
      </c>
      <c r="D140" s="4">
        <v>0.67</v>
      </c>
      <c r="E140" s="191" t="s">
        <v>228</v>
      </c>
      <c r="I140" s="55">
        <v>135</v>
      </c>
      <c r="J140" s="33">
        <f t="shared" si="92"/>
        <v>0</v>
      </c>
      <c r="K140" s="33">
        <f t="shared" si="93"/>
        <v>0</v>
      </c>
      <c r="L140" s="33">
        <f t="shared" si="94"/>
        <v>0</v>
      </c>
      <c r="M140" s="33">
        <f t="shared" si="95"/>
        <v>0</v>
      </c>
      <c r="N140" s="33">
        <f t="shared" si="76"/>
        <v>0</v>
      </c>
      <c r="O140" s="34">
        <f t="shared" si="77"/>
        <v>0</v>
      </c>
      <c r="P140" s="55">
        <v>135</v>
      </c>
      <c r="Q140" s="33">
        <f t="shared" si="90"/>
        <v>0</v>
      </c>
      <c r="R140" s="33">
        <f t="shared" si="96"/>
        <v>0</v>
      </c>
      <c r="S140" s="33">
        <f t="shared" si="97"/>
        <v>0</v>
      </c>
      <c r="T140" s="33">
        <f t="shared" si="78"/>
        <v>0</v>
      </c>
      <c r="U140" s="33">
        <f t="shared" si="91"/>
        <v>0</v>
      </c>
      <c r="V140" s="33">
        <f t="shared" si="79"/>
        <v>0</v>
      </c>
      <c r="W140" s="33">
        <v>0</v>
      </c>
      <c r="X140" s="33">
        <f t="shared" si="80"/>
        <v>0</v>
      </c>
      <c r="Y140" s="38">
        <f t="shared" si="81"/>
        <v>0</v>
      </c>
      <c r="AA140" s="71">
        <v>135</v>
      </c>
      <c r="AB140" s="33">
        <f t="shared" si="82"/>
        <v>0</v>
      </c>
      <c r="AC140" s="308">
        <f t="shared" si="73"/>
        <v>0</v>
      </c>
      <c r="AD140" s="101">
        <f t="shared" si="83"/>
        <v>0</v>
      </c>
      <c r="AE140" s="101">
        <f t="shared" si="84"/>
        <v>0</v>
      </c>
      <c r="AF140" s="197">
        <f t="shared" si="69"/>
        <v>0</v>
      </c>
      <c r="AG140" s="197">
        <f t="shared" si="70"/>
        <v>0</v>
      </c>
      <c r="AH140" s="197">
        <f t="shared" si="71"/>
        <v>0</v>
      </c>
      <c r="AI140" s="202">
        <f t="shared" si="72"/>
        <v>0</v>
      </c>
      <c r="AK140" s="71">
        <v>135</v>
      </c>
      <c r="AL140" s="33">
        <f t="shared" si="85"/>
        <v>0</v>
      </c>
      <c r="AM140" s="33">
        <f t="shared" si="86"/>
        <v>0</v>
      </c>
      <c r="AN140" s="33">
        <f t="shared" si="87"/>
        <v>0</v>
      </c>
      <c r="AO140" s="33">
        <f t="shared" si="88"/>
        <v>0</v>
      </c>
      <c r="AP140" s="33">
        <f t="shared" si="89"/>
        <v>0</v>
      </c>
      <c r="AQ140" s="197">
        <f t="shared" si="75"/>
        <v>0</v>
      </c>
      <c r="AR140" s="197">
        <f t="shared" si="75"/>
        <v>0</v>
      </c>
      <c r="AS140" s="197">
        <f t="shared" si="75"/>
        <v>0</v>
      </c>
      <c r="AT140" s="197">
        <f t="shared" si="74"/>
        <v>0</v>
      </c>
      <c r="AU140" s="33"/>
      <c r="AV140" s="33"/>
      <c r="AW140" s="33"/>
      <c r="AX140" s="33"/>
      <c r="AY140" s="76"/>
    </row>
    <row r="141" spans="3:51">
      <c r="C141" s="169" t="s">
        <v>16</v>
      </c>
      <c r="D141" s="4">
        <v>0.7</v>
      </c>
      <c r="E141" s="191" t="s">
        <v>228</v>
      </c>
      <c r="I141" s="55">
        <v>136</v>
      </c>
      <c r="J141" s="33">
        <f t="shared" si="92"/>
        <v>0</v>
      </c>
      <c r="K141" s="33">
        <f t="shared" si="93"/>
        <v>0</v>
      </c>
      <c r="L141" s="33">
        <f t="shared" si="94"/>
        <v>0</v>
      </c>
      <c r="M141" s="33">
        <f t="shared" si="95"/>
        <v>0</v>
      </c>
      <c r="N141" s="33">
        <f t="shared" si="76"/>
        <v>0</v>
      </c>
      <c r="O141" s="34">
        <f t="shared" si="77"/>
        <v>0</v>
      </c>
      <c r="P141" s="55">
        <v>136</v>
      </c>
      <c r="Q141" s="33">
        <f t="shared" si="90"/>
        <v>0</v>
      </c>
      <c r="R141" s="33">
        <f t="shared" si="96"/>
        <v>0</v>
      </c>
      <c r="S141" s="33">
        <f t="shared" si="97"/>
        <v>0</v>
      </c>
      <c r="T141" s="33">
        <f t="shared" si="78"/>
        <v>0</v>
      </c>
      <c r="U141" s="33">
        <f t="shared" si="91"/>
        <v>0</v>
      </c>
      <c r="V141" s="33">
        <f t="shared" si="79"/>
        <v>0</v>
      </c>
      <c r="W141" s="33">
        <v>0</v>
      </c>
      <c r="X141" s="33">
        <f t="shared" si="80"/>
        <v>0</v>
      </c>
      <c r="Y141" s="38">
        <f t="shared" si="81"/>
        <v>0</v>
      </c>
      <c r="AA141" s="71">
        <v>136</v>
      </c>
      <c r="AB141" s="33">
        <f t="shared" si="82"/>
        <v>0</v>
      </c>
      <c r="AC141" s="308">
        <f t="shared" si="73"/>
        <v>0</v>
      </c>
      <c r="AD141" s="101">
        <f t="shared" si="83"/>
        <v>0</v>
      </c>
      <c r="AE141" s="101">
        <f t="shared" si="84"/>
        <v>0</v>
      </c>
      <c r="AF141" s="197">
        <f t="shared" si="69"/>
        <v>0</v>
      </c>
      <c r="AG141" s="197">
        <f t="shared" si="70"/>
        <v>0</v>
      </c>
      <c r="AH141" s="197">
        <f t="shared" si="71"/>
        <v>0</v>
      </c>
      <c r="AI141" s="202">
        <f t="shared" si="72"/>
        <v>0</v>
      </c>
      <c r="AK141" s="71">
        <v>136</v>
      </c>
      <c r="AL141" s="33">
        <f t="shared" si="85"/>
        <v>0</v>
      </c>
      <c r="AM141" s="33">
        <f t="shared" si="86"/>
        <v>0</v>
      </c>
      <c r="AN141" s="33">
        <f t="shared" si="87"/>
        <v>0</v>
      </c>
      <c r="AO141" s="33">
        <f t="shared" si="88"/>
        <v>0</v>
      </c>
      <c r="AP141" s="33">
        <f t="shared" si="89"/>
        <v>0</v>
      </c>
      <c r="AQ141" s="197">
        <f t="shared" si="75"/>
        <v>0</v>
      </c>
      <c r="AR141" s="197">
        <f t="shared" si="75"/>
        <v>0</v>
      </c>
      <c r="AS141" s="197">
        <f t="shared" si="75"/>
        <v>0</v>
      </c>
      <c r="AT141" s="197">
        <f t="shared" si="74"/>
        <v>0</v>
      </c>
      <c r="AU141" s="33"/>
      <c r="AV141" s="33"/>
      <c r="AW141" s="33"/>
      <c r="AX141" s="33"/>
      <c r="AY141" s="76"/>
    </row>
    <row r="142" spans="3:51">
      <c r="C142" s="169" t="s">
        <v>17</v>
      </c>
      <c r="D142" s="4">
        <v>0.54</v>
      </c>
      <c r="E142" s="191" t="s">
        <v>228</v>
      </c>
      <c r="I142" s="55">
        <v>137</v>
      </c>
      <c r="J142" s="33">
        <f t="shared" si="92"/>
        <v>0</v>
      </c>
      <c r="K142" s="33">
        <f t="shared" si="93"/>
        <v>0</v>
      </c>
      <c r="L142" s="33">
        <f t="shared" si="94"/>
        <v>0</v>
      </c>
      <c r="M142" s="33">
        <f t="shared" si="95"/>
        <v>0</v>
      </c>
      <c r="N142" s="33">
        <f t="shared" si="76"/>
        <v>0</v>
      </c>
      <c r="O142" s="34">
        <f t="shared" si="77"/>
        <v>0</v>
      </c>
      <c r="P142" s="55">
        <v>137</v>
      </c>
      <c r="Q142" s="33">
        <f t="shared" si="90"/>
        <v>0</v>
      </c>
      <c r="R142" s="33">
        <f t="shared" si="96"/>
        <v>0</v>
      </c>
      <c r="S142" s="33">
        <f t="shared" si="97"/>
        <v>0</v>
      </c>
      <c r="T142" s="33">
        <f t="shared" si="78"/>
        <v>0</v>
      </c>
      <c r="U142" s="33">
        <f t="shared" si="91"/>
        <v>0</v>
      </c>
      <c r="V142" s="33">
        <f t="shared" si="79"/>
        <v>0</v>
      </c>
      <c r="W142" s="33">
        <v>0</v>
      </c>
      <c r="X142" s="33">
        <f t="shared" si="80"/>
        <v>0</v>
      </c>
      <c r="Y142" s="38">
        <f t="shared" si="81"/>
        <v>0</v>
      </c>
      <c r="AA142" s="71">
        <v>137</v>
      </c>
      <c r="AB142" s="33">
        <f t="shared" si="82"/>
        <v>0</v>
      </c>
      <c r="AC142" s="308">
        <f t="shared" si="73"/>
        <v>0</v>
      </c>
      <c r="AD142" s="101">
        <f t="shared" si="83"/>
        <v>0</v>
      </c>
      <c r="AE142" s="101">
        <f t="shared" si="84"/>
        <v>0</v>
      </c>
      <c r="AF142" s="197">
        <f t="shared" si="69"/>
        <v>0</v>
      </c>
      <c r="AG142" s="197">
        <f t="shared" si="70"/>
        <v>0</v>
      </c>
      <c r="AH142" s="197">
        <f t="shared" si="71"/>
        <v>0</v>
      </c>
      <c r="AI142" s="202">
        <f t="shared" si="72"/>
        <v>0</v>
      </c>
      <c r="AK142" s="71">
        <v>137</v>
      </c>
      <c r="AL142" s="33">
        <f t="shared" si="85"/>
        <v>0</v>
      </c>
      <c r="AM142" s="33">
        <f t="shared" si="86"/>
        <v>0</v>
      </c>
      <c r="AN142" s="33">
        <f t="shared" si="87"/>
        <v>0</v>
      </c>
      <c r="AO142" s="33">
        <f t="shared" si="88"/>
        <v>0</v>
      </c>
      <c r="AP142" s="33">
        <f t="shared" si="89"/>
        <v>0</v>
      </c>
      <c r="AQ142" s="197">
        <f t="shared" si="75"/>
        <v>0</v>
      </c>
      <c r="AR142" s="197">
        <f t="shared" si="75"/>
        <v>0</v>
      </c>
      <c r="AS142" s="197">
        <f t="shared" si="75"/>
        <v>0</v>
      </c>
      <c r="AT142" s="197">
        <f t="shared" si="74"/>
        <v>0</v>
      </c>
      <c r="AU142" s="33"/>
      <c r="AV142" s="33"/>
      <c r="AW142" s="33"/>
      <c r="AX142" s="33"/>
      <c r="AY142" s="76"/>
    </row>
    <row r="143" spans="3:51">
      <c r="C143" s="169" t="s">
        <v>18</v>
      </c>
      <c r="D143" s="4">
        <v>0.65</v>
      </c>
      <c r="E143" s="191" t="s">
        <v>228</v>
      </c>
      <c r="I143" s="55">
        <v>138</v>
      </c>
      <c r="J143" s="33">
        <f t="shared" si="92"/>
        <v>0</v>
      </c>
      <c r="K143" s="33">
        <f t="shared" si="93"/>
        <v>0</v>
      </c>
      <c r="L143" s="33">
        <f t="shared" si="94"/>
        <v>0</v>
      </c>
      <c r="M143" s="33">
        <f t="shared" si="95"/>
        <v>0</v>
      </c>
      <c r="N143" s="33">
        <f t="shared" si="76"/>
        <v>0</v>
      </c>
      <c r="O143" s="34">
        <f t="shared" si="77"/>
        <v>0</v>
      </c>
      <c r="P143" s="55">
        <v>138</v>
      </c>
      <c r="Q143" s="33">
        <f t="shared" si="90"/>
        <v>0</v>
      </c>
      <c r="R143" s="33">
        <f t="shared" si="96"/>
        <v>0</v>
      </c>
      <c r="S143" s="33">
        <f t="shared" si="97"/>
        <v>0</v>
      </c>
      <c r="T143" s="33">
        <f t="shared" si="78"/>
        <v>0</v>
      </c>
      <c r="U143" s="33">
        <f t="shared" si="91"/>
        <v>0</v>
      </c>
      <c r="V143" s="33">
        <f t="shared" si="79"/>
        <v>0</v>
      </c>
      <c r="W143" s="33">
        <v>0</v>
      </c>
      <c r="X143" s="33">
        <f t="shared" si="80"/>
        <v>0</v>
      </c>
      <c r="Y143" s="38">
        <f t="shared" si="81"/>
        <v>0</v>
      </c>
      <c r="AA143" s="71">
        <v>138</v>
      </c>
      <c r="AB143" s="33">
        <f t="shared" si="82"/>
        <v>0</v>
      </c>
      <c r="AC143" s="308">
        <f t="shared" si="73"/>
        <v>0</v>
      </c>
      <c r="AD143" s="101">
        <f t="shared" si="83"/>
        <v>0</v>
      </c>
      <c r="AE143" s="101">
        <f t="shared" si="84"/>
        <v>0</v>
      </c>
      <c r="AF143" s="197">
        <f t="shared" si="69"/>
        <v>0</v>
      </c>
      <c r="AG143" s="197">
        <f t="shared" si="70"/>
        <v>0</v>
      </c>
      <c r="AH143" s="197">
        <f t="shared" si="71"/>
        <v>0</v>
      </c>
      <c r="AI143" s="202">
        <f t="shared" si="72"/>
        <v>0</v>
      </c>
      <c r="AK143" s="71">
        <v>138</v>
      </c>
      <c r="AL143" s="33">
        <f t="shared" si="85"/>
        <v>0</v>
      </c>
      <c r="AM143" s="33">
        <f t="shared" si="86"/>
        <v>0</v>
      </c>
      <c r="AN143" s="33">
        <f t="shared" si="87"/>
        <v>0</v>
      </c>
      <c r="AO143" s="33">
        <f t="shared" si="88"/>
        <v>0</v>
      </c>
      <c r="AP143" s="33">
        <f t="shared" si="89"/>
        <v>0</v>
      </c>
      <c r="AQ143" s="197">
        <f t="shared" si="75"/>
        <v>0</v>
      </c>
      <c r="AR143" s="197">
        <f t="shared" si="75"/>
        <v>0</v>
      </c>
      <c r="AS143" s="197">
        <f t="shared" si="75"/>
        <v>0</v>
      </c>
      <c r="AT143" s="197">
        <f t="shared" si="74"/>
        <v>0</v>
      </c>
      <c r="AU143" s="33"/>
      <c r="AV143" s="33"/>
      <c r="AW143" s="33"/>
      <c r="AX143" s="33"/>
      <c r="AY143" s="76"/>
    </row>
    <row r="144" spans="3:51">
      <c r="C144" s="169" t="s">
        <v>19</v>
      </c>
      <c r="D144" s="4">
        <v>0.56000000000000005</v>
      </c>
      <c r="E144" s="191" t="s">
        <v>228</v>
      </c>
      <c r="I144" s="55">
        <v>139</v>
      </c>
      <c r="J144" s="33">
        <f t="shared" si="92"/>
        <v>0</v>
      </c>
      <c r="K144" s="33">
        <f t="shared" si="93"/>
        <v>0</v>
      </c>
      <c r="L144" s="33">
        <f t="shared" si="94"/>
        <v>0</v>
      </c>
      <c r="M144" s="33">
        <f t="shared" si="95"/>
        <v>0</v>
      </c>
      <c r="N144" s="33">
        <f t="shared" si="76"/>
        <v>0</v>
      </c>
      <c r="O144" s="34">
        <f t="shared" si="77"/>
        <v>0</v>
      </c>
      <c r="P144" s="55">
        <v>139</v>
      </c>
      <c r="Q144" s="33">
        <f t="shared" si="90"/>
        <v>0</v>
      </c>
      <c r="R144" s="33">
        <f t="shared" si="96"/>
        <v>0</v>
      </c>
      <c r="S144" s="33">
        <f t="shared" si="97"/>
        <v>0</v>
      </c>
      <c r="T144" s="33">
        <f t="shared" si="78"/>
        <v>0</v>
      </c>
      <c r="U144" s="33">
        <f t="shared" si="91"/>
        <v>0</v>
      </c>
      <c r="V144" s="33">
        <f t="shared" si="79"/>
        <v>0</v>
      </c>
      <c r="W144" s="33">
        <v>0</v>
      </c>
      <c r="X144" s="33">
        <f t="shared" si="80"/>
        <v>0</v>
      </c>
      <c r="Y144" s="38">
        <f t="shared" si="81"/>
        <v>0</v>
      </c>
      <c r="AA144" s="71">
        <v>139</v>
      </c>
      <c r="AB144" s="33">
        <f t="shared" si="82"/>
        <v>0</v>
      </c>
      <c r="AC144" s="308">
        <f t="shared" si="73"/>
        <v>0</v>
      </c>
      <c r="AD144" s="101">
        <f t="shared" si="83"/>
        <v>0</v>
      </c>
      <c r="AE144" s="101">
        <f t="shared" si="84"/>
        <v>0</v>
      </c>
      <c r="AF144" s="197">
        <f t="shared" si="69"/>
        <v>0</v>
      </c>
      <c r="AG144" s="197">
        <f t="shared" si="70"/>
        <v>0</v>
      </c>
      <c r="AH144" s="197">
        <f t="shared" si="71"/>
        <v>0</v>
      </c>
      <c r="AI144" s="202">
        <f t="shared" si="72"/>
        <v>0</v>
      </c>
      <c r="AK144" s="71">
        <v>139</v>
      </c>
      <c r="AL144" s="33">
        <f t="shared" si="85"/>
        <v>0</v>
      </c>
      <c r="AM144" s="33">
        <f t="shared" si="86"/>
        <v>0</v>
      </c>
      <c r="AN144" s="33">
        <f t="shared" si="87"/>
        <v>0</v>
      </c>
      <c r="AO144" s="33">
        <f t="shared" si="88"/>
        <v>0</v>
      </c>
      <c r="AP144" s="33">
        <f t="shared" si="89"/>
        <v>0</v>
      </c>
      <c r="AQ144" s="197">
        <f t="shared" si="75"/>
        <v>0</v>
      </c>
      <c r="AR144" s="197">
        <f t="shared" si="75"/>
        <v>0</v>
      </c>
      <c r="AS144" s="197">
        <f t="shared" si="75"/>
        <v>0</v>
      </c>
      <c r="AT144" s="197">
        <f t="shared" si="74"/>
        <v>0</v>
      </c>
      <c r="AU144" s="33"/>
      <c r="AV144" s="33"/>
      <c r="AW144" s="33"/>
      <c r="AX144" s="33"/>
      <c r="AY144" s="76"/>
    </row>
    <row r="145" spans="3:51">
      <c r="C145" s="169" t="s">
        <v>20</v>
      </c>
      <c r="D145" s="4">
        <v>0.57999999999999996</v>
      </c>
      <c r="E145" s="191" t="s">
        <v>228</v>
      </c>
      <c r="I145" s="55">
        <v>140</v>
      </c>
      <c r="J145" s="33">
        <f t="shared" si="92"/>
        <v>0</v>
      </c>
      <c r="K145" s="33">
        <f t="shared" si="93"/>
        <v>0</v>
      </c>
      <c r="L145" s="33">
        <f t="shared" si="94"/>
        <v>0</v>
      </c>
      <c r="M145" s="33">
        <f t="shared" si="95"/>
        <v>0</v>
      </c>
      <c r="N145" s="33">
        <f t="shared" si="76"/>
        <v>0</v>
      </c>
      <c r="O145" s="34">
        <f t="shared" si="77"/>
        <v>0</v>
      </c>
      <c r="P145" s="55">
        <v>140</v>
      </c>
      <c r="Q145" s="33">
        <f t="shared" si="90"/>
        <v>0</v>
      </c>
      <c r="R145" s="33">
        <f t="shared" si="96"/>
        <v>0</v>
      </c>
      <c r="S145" s="33">
        <f t="shared" si="97"/>
        <v>0</v>
      </c>
      <c r="T145" s="33">
        <f t="shared" si="78"/>
        <v>0</v>
      </c>
      <c r="U145" s="33">
        <f t="shared" si="91"/>
        <v>0</v>
      </c>
      <c r="V145" s="33">
        <f t="shared" si="79"/>
        <v>0</v>
      </c>
      <c r="W145" s="33">
        <v>0</v>
      </c>
      <c r="X145" s="33">
        <f t="shared" si="80"/>
        <v>0</v>
      </c>
      <c r="Y145" s="38">
        <f t="shared" si="81"/>
        <v>0</v>
      </c>
      <c r="AA145" s="71">
        <v>140</v>
      </c>
      <c r="AB145" s="33">
        <f t="shared" si="82"/>
        <v>0</v>
      </c>
      <c r="AC145" s="308">
        <f t="shared" si="73"/>
        <v>0</v>
      </c>
      <c r="AD145" s="101">
        <f t="shared" si="83"/>
        <v>0</v>
      </c>
      <c r="AE145" s="101">
        <f t="shared" si="84"/>
        <v>0</v>
      </c>
      <c r="AF145" s="197">
        <f t="shared" si="69"/>
        <v>0</v>
      </c>
      <c r="AG145" s="197">
        <f t="shared" si="70"/>
        <v>0</v>
      </c>
      <c r="AH145" s="197">
        <f t="shared" si="71"/>
        <v>0</v>
      </c>
      <c r="AI145" s="202">
        <f t="shared" si="72"/>
        <v>0</v>
      </c>
      <c r="AK145" s="71">
        <v>140</v>
      </c>
      <c r="AL145" s="33">
        <f t="shared" si="85"/>
        <v>0</v>
      </c>
      <c r="AM145" s="33">
        <f t="shared" si="86"/>
        <v>0</v>
      </c>
      <c r="AN145" s="33">
        <f t="shared" si="87"/>
        <v>0</v>
      </c>
      <c r="AO145" s="33">
        <f t="shared" si="88"/>
        <v>0</v>
      </c>
      <c r="AP145" s="33">
        <f t="shared" si="89"/>
        <v>0</v>
      </c>
      <c r="AQ145" s="197">
        <f t="shared" si="75"/>
        <v>0</v>
      </c>
      <c r="AR145" s="197">
        <f t="shared" si="75"/>
        <v>0</v>
      </c>
      <c r="AS145" s="197">
        <f t="shared" si="75"/>
        <v>0</v>
      </c>
      <c r="AT145" s="197">
        <f t="shared" si="74"/>
        <v>0</v>
      </c>
      <c r="AU145" s="33"/>
      <c r="AV145" s="33"/>
      <c r="AW145" s="33"/>
      <c r="AX145" s="33"/>
      <c r="AY145" s="76"/>
    </row>
    <row r="146" spans="3:51">
      <c r="C146" s="169" t="s">
        <v>21</v>
      </c>
      <c r="D146" s="4">
        <v>0.64</v>
      </c>
      <c r="E146" s="191" t="s">
        <v>228</v>
      </c>
      <c r="I146" s="55">
        <v>141</v>
      </c>
      <c r="J146" s="33">
        <f t="shared" si="92"/>
        <v>0</v>
      </c>
      <c r="K146" s="33">
        <f t="shared" si="93"/>
        <v>0</v>
      </c>
      <c r="L146" s="33">
        <f t="shared" si="94"/>
        <v>0</v>
      </c>
      <c r="M146" s="33">
        <f t="shared" si="95"/>
        <v>0</v>
      </c>
      <c r="N146" s="33">
        <f t="shared" si="76"/>
        <v>0</v>
      </c>
      <c r="O146" s="34">
        <f t="shared" si="77"/>
        <v>0</v>
      </c>
      <c r="P146" s="55">
        <v>141</v>
      </c>
      <c r="Q146" s="33">
        <f t="shared" si="90"/>
        <v>0</v>
      </c>
      <c r="R146" s="33">
        <f t="shared" si="96"/>
        <v>0</v>
      </c>
      <c r="S146" s="33">
        <f t="shared" si="97"/>
        <v>0</v>
      </c>
      <c r="T146" s="33">
        <f t="shared" si="78"/>
        <v>0</v>
      </c>
      <c r="U146" s="33">
        <f t="shared" si="91"/>
        <v>0</v>
      </c>
      <c r="V146" s="33">
        <f t="shared" si="79"/>
        <v>0</v>
      </c>
      <c r="W146" s="33">
        <v>0</v>
      </c>
      <c r="X146" s="33">
        <f t="shared" si="80"/>
        <v>0</v>
      </c>
      <c r="Y146" s="38">
        <f t="shared" si="81"/>
        <v>0</v>
      </c>
      <c r="AA146" s="71">
        <v>141</v>
      </c>
      <c r="AB146" s="33">
        <f t="shared" si="82"/>
        <v>0</v>
      </c>
      <c r="AC146" s="308">
        <f t="shared" si="73"/>
        <v>0</v>
      </c>
      <c r="AD146" s="101">
        <f t="shared" si="83"/>
        <v>0</v>
      </c>
      <c r="AE146" s="101">
        <f t="shared" si="84"/>
        <v>0</v>
      </c>
      <c r="AF146" s="197">
        <f t="shared" si="69"/>
        <v>0</v>
      </c>
      <c r="AG146" s="197">
        <f t="shared" si="70"/>
        <v>0</v>
      </c>
      <c r="AH146" s="197">
        <f t="shared" si="71"/>
        <v>0</v>
      </c>
      <c r="AI146" s="202">
        <f t="shared" si="72"/>
        <v>0</v>
      </c>
      <c r="AK146" s="71">
        <v>141</v>
      </c>
      <c r="AL146" s="33">
        <f t="shared" si="85"/>
        <v>0</v>
      </c>
      <c r="AM146" s="33">
        <f t="shared" si="86"/>
        <v>0</v>
      </c>
      <c r="AN146" s="33">
        <f t="shared" si="87"/>
        <v>0</v>
      </c>
      <c r="AO146" s="33">
        <f t="shared" si="88"/>
        <v>0</v>
      </c>
      <c r="AP146" s="33">
        <f t="shared" si="89"/>
        <v>0</v>
      </c>
      <c r="AQ146" s="197">
        <f t="shared" si="75"/>
        <v>0</v>
      </c>
      <c r="AR146" s="197">
        <f t="shared" si="75"/>
        <v>0</v>
      </c>
      <c r="AS146" s="197">
        <f t="shared" si="75"/>
        <v>0</v>
      </c>
      <c r="AT146" s="197">
        <f t="shared" si="74"/>
        <v>0</v>
      </c>
      <c r="AU146" s="33"/>
      <c r="AV146" s="33"/>
      <c r="AW146" s="33"/>
      <c r="AX146" s="33"/>
      <c r="AY146" s="76"/>
    </row>
    <row r="147" spans="3:51">
      <c r="C147" s="169" t="s">
        <v>22</v>
      </c>
      <c r="D147" s="4">
        <v>0.73</v>
      </c>
      <c r="E147" s="191" t="s">
        <v>228</v>
      </c>
      <c r="I147" s="55">
        <v>142</v>
      </c>
      <c r="J147" s="33">
        <f t="shared" si="92"/>
        <v>0</v>
      </c>
      <c r="K147" s="33">
        <f t="shared" si="93"/>
        <v>0</v>
      </c>
      <c r="L147" s="33">
        <f t="shared" si="94"/>
        <v>0</v>
      </c>
      <c r="M147" s="33">
        <f t="shared" si="95"/>
        <v>0</v>
      </c>
      <c r="N147" s="33">
        <f t="shared" si="76"/>
        <v>0</v>
      </c>
      <c r="O147" s="34">
        <f t="shared" si="77"/>
        <v>0</v>
      </c>
      <c r="P147" s="55">
        <v>142</v>
      </c>
      <c r="Q147" s="33">
        <f t="shared" si="90"/>
        <v>0</v>
      </c>
      <c r="R147" s="33">
        <f t="shared" si="96"/>
        <v>0</v>
      </c>
      <c r="S147" s="33">
        <f t="shared" si="97"/>
        <v>0</v>
      </c>
      <c r="T147" s="33">
        <f t="shared" si="78"/>
        <v>0</v>
      </c>
      <c r="U147" s="33">
        <f t="shared" si="91"/>
        <v>0</v>
      </c>
      <c r="V147" s="33">
        <f t="shared" si="79"/>
        <v>0</v>
      </c>
      <c r="W147" s="33">
        <v>0</v>
      </c>
      <c r="X147" s="33">
        <f t="shared" si="80"/>
        <v>0</v>
      </c>
      <c r="Y147" s="38">
        <f t="shared" si="81"/>
        <v>0</v>
      </c>
      <c r="AA147" s="71">
        <v>142</v>
      </c>
      <c r="AB147" s="33">
        <f t="shared" si="82"/>
        <v>0</v>
      </c>
      <c r="AC147" s="308">
        <f t="shared" si="73"/>
        <v>0</v>
      </c>
      <c r="AD147" s="101">
        <f t="shared" si="83"/>
        <v>0</v>
      </c>
      <c r="AE147" s="101">
        <f t="shared" si="84"/>
        <v>0</v>
      </c>
      <c r="AF147" s="197">
        <f t="shared" si="69"/>
        <v>0</v>
      </c>
      <c r="AG147" s="197">
        <f t="shared" si="70"/>
        <v>0</v>
      </c>
      <c r="AH147" s="197">
        <f t="shared" si="71"/>
        <v>0</v>
      </c>
      <c r="AI147" s="202">
        <f t="shared" si="72"/>
        <v>0</v>
      </c>
      <c r="AK147" s="71">
        <v>142</v>
      </c>
      <c r="AL147" s="33">
        <f t="shared" si="85"/>
        <v>0</v>
      </c>
      <c r="AM147" s="33">
        <f t="shared" si="86"/>
        <v>0</v>
      </c>
      <c r="AN147" s="33">
        <f t="shared" si="87"/>
        <v>0</v>
      </c>
      <c r="AO147" s="33">
        <f t="shared" si="88"/>
        <v>0</v>
      </c>
      <c r="AP147" s="33">
        <f t="shared" si="89"/>
        <v>0</v>
      </c>
      <c r="AQ147" s="197">
        <f t="shared" si="75"/>
        <v>0</v>
      </c>
      <c r="AR147" s="197">
        <f t="shared" si="75"/>
        <v>0</v>
      </c>
      <c r="AS147" s="197">
        <f t="shared" si="75"/>
        <v>0</v>
      </c>
      <c r="AT147" s="197">
        <f t="shared" si="74"/>
        <v>0</v>
      </c>
      <c r="AU147" s="33"/>
      <c r="AV147" s="33"/>
      <c r="AW147" s="33"/>
      <c r="AX147" s="33"/>
      <c r="AY147" s="76"/>
    </row>
    <row r="148" spans="3:51">
      <c r="C148" s="169" t="s">
        <v>23</v>
      </c>
      <c r="D148" s="4">
        <v>0.56000000000000005</v>
      </c>
      <c r="E148" s="191" t="s">
        <v>228</v>
      </c>
      <c r="I148" s="55">
        <v>143</v>
      </c>
      <c r="J148" s="33">
        <f t="shared" si="92"/>
        <v>0</v>
      </c>
      <c r="K148" s="33">
        <f t="shared" si="93"/>
        <v>0</v>
      </c>
      <c r="L148" s="33">
        <f t="shared" si="94"/>
        <v>0</v>
      </c>
      <c r="M148" s="33">
        <f t="shared" si="95"/>
        <v>0</v>
      </c>
      <c r="N148" s="33">
        <f t="shared" si="76"/>
        <v>0</v>
      </c>
      <c r="O148" s="34">
        <f t="shared" si="77"/>
        <v>0</v>
      </c>
      <c r="P148" s="55">
        <v>143</v>
      </c>
      <c r="Q148" s="33">
        <f t="shared" si="90"/>
        <v>0</v>
      </c>
      <c r="R148" s="33">
        <f t="shared" si="96"/>
        <v>0</v>
      </c>
      <c r="S148" s="33">
        <f t="shared" si="97"/>
        <v>0</v>
      </c>
      <c r="T148" s="33">
        <f t="shared" si="78"/>
        <v>0</v>
      </c>
      <c r="U148" s="33">
        <f t="shared" si="91"/>
        <v>0</v>
      </c>
      <c r="V148" s="33">
        <f t="shared" si="79"/>
        <v>0</v>
      </c>
      <c r="W148" s="33">
        <v>0</v>
      </c>
      <c r="X148" s="33">
        <f t="shared" si="80"/>
        <v>0</v>
      </c>
      <c r="Y148" s="38">
        <f t="shared" si="81"/>
        <v>0</v>
      </c>
      <c r="AA148" s="71">
        <v>143</v>
      </c>
      <c r="AB148" s="33">
        <f t="shared" si="82"/>
        <v>0</v>
      </c>
      <c r="AC148" s="308">
        <f t="shared" si="73"/>
        <v>0</v>
      </c>
      <c r="AD148" s="101">
        <f t="shared" si="83"/>
        <v>0</v>
      </c>
      <c r="AE148" s="101">
        <f t="shared" si="84"/>
        <v>0</v>
      </c>
      <c r="AF148" s="197">
        <f t="shared" si="69"/>
        <v>0</v>
      </c>
      <c r="AG148" s="197">
        <f t="shared" si="70"/>
        <v>0</v>
      </c>
      <c r="AH148" s="197">
        <f t="shared" si="71"/>
        <v>0</v>
      </c>
      <c r="AI148" s="202">
        <f t="shared" si="72"/>
        <v>0</v>
      </c>
      <c r="AK148" s="71">
        <v>143</v>
      </c>
      <c r="AL148" s="33">
        <f t="shared" si="85"/>
        <v>0</v>
      </c>
      <c r="AM148" s="33">
        <f t="shared" si="86"/>
        <v>0</v>
      </c>
      <c r="AN148" s="33">
        <f t="shared" si="87"/>
        <v>0</v>
      </c>
      <c r="AO148" s="33">
        <f t="shared" si="88"/>
        <v>0</v>
      </c>
      <c r="AP148" s="33">
        <f t="shared" si="89"/>
        <v>0</v>
      </c>
      <c r="AQ148" s="197">
        <f t="shared" si="75"/>
        <v>0</v>
      </c>
      <c r="AR148" s="197">
        <f t="shared" si="75"/>
        <v>0</v>
      </c>
      <c r="AS148" s="197">
        <f t="shared" si="75"/>
        <v>0</v>
      </c>
      <c r="AT148" s="197">
        <f t="shared" si="74"/>
        <v>0</v>
      </c>
      <c r="AU148" s="33"/>
      <c r="AV148" s="33"/>
      <c r="AW148" s="33"/>
      <c r="AX148" s="33"/>
      <c r="AY148" s="76"/>
    </row>
    <row r="149" spans="3:51">
      <c r="C149" s="169" t="s">
        <v>24</v>
      </c>
      <c r="D149" s="4">
        <v>0.74</v>
      </c>
      <c r="E149" s="191" t="s">
        <v>228</v>
      </c>
      <c r="I149" s="55">
        <v>144</v>
      </c>
      <c r="J149" s="33">
        <f t="shared" si="92"/>
        <v>0</v>
      </c>
      <c r="K149" s="33">
        <f t="shared" si="93"/>
        <v>0</v>
      </c>
      <c r="L149" s="33">
        <f t="shared" si="94"/>
        <v>0</v>
      </c>
      <c r="M149" s="33">
        <f t="shared" si="95"/>
        <v>0</v>
      </c>
      <c r="N149" s="33">
        <f t="shared" si="76"/>
        <v>0</v>
      </c>
      <c r="O149" s="34">
        <f t="shared" si="77"/>
        <v>0</v>
      </c>
      <c r="P149" s="55">
        <v>144</v>
      </c>
      <c r="Q149" s="33">
        <f t="shared" si="90"/>
        <v>0</v>
      </c>
      <c r="R149" s="33">
        <f t="shared" si="96"/>
        <v>0</v>
      </c>
      <c r="S149" s="33">
        <f t="shared" si="97"/>
        <v>0</v>
      </c>
      <c r="T149" s="33">
        <f t="shared" si="78"/>
        <v>0</v>
      </c>
      <c r="U149" s="33">
        <f t="shared" si="91"/>
        <v>0</v>
      </c>
      <c r="V149" s="33">
        <f t="shared" si="79"/>
        <v>0</v>
      </c>
      <c r="W149" s="33">
        <v>0</v>
      </c>
      <c r="X149" s="33">
        <f t="shared" si="80"/>
        <v>0</v>
      </c>
      <c r="Y149" s="38">
        <f t="shared" si="81"/>
        <v>0</v>
      </c>
      <c r="AA149" s="71">
        <v>144</v>
      </c>
      <c r="AB149" s="33">
        <f t="shared" si="82"/>
        <v>0</v>
      </c>
      <c r="AC149" s="308">
        <f t="shared" si="73"/>
        <v>0</v>
      </c>
      <c r="AD149" s="101">
        <f t="shared" si="83"/>
        <v>0</v>
      </c>
      <c r="AE149" s="101">
        <f t="shared" si="84"/>
        <v>0</v>
      </c>
      <c r="AF149" s="197">
        <f t="shared" si="69"/>
        <v>0</v>
      </c>
      <c r="AG149" s="197">
        <f t="shared" si="70"/>
        <v>0</v>
      </c>
      <c r="AH149" s="197">
        <f t="shared" si="71"/>
        <v>0</v>
      </c>
      <c r="AI149" s="202">
        <f t="shared" si="72"/>
        <v>0</v>
      </c>
      <c r="AK149" s="71">
        <v>144</v>
      </c>
      <c r="AL149" s="33">
        <f t="shared" si="85"/>
        <v>0</v>
      </c>
      <c r="AM149" s="33">
        <f t="shared" si="86"/>
        <v>0</v>
      </c>
      <c r="AN149" s="33">
        <f t="shared" si="87"/>
        <v>0</v>
      </c>
      <c r="AO149" s="33">
        <f t="shared" si="88"/>
        <v>0</v>
      </c>
      <c r="AP149" s="33">
        <f t="shared" si="89"/>
        <v>0</v>
      </c>
      <c r="AQ149" s="197">
        <f t="shared" si="75"/>
        <v>0</v>
      </c>
      <c r="AR149" s="197">
        <f t="shared" si="75"/>
        <v>0</v>
      </c>
      <c r="AS149" s="197">
        <f t="shared" si="75"/>
        <v>0</v>
      </c>
      <c r="AT149" s="197">
        <f t="shared" si="74"/>
        <v>0</v>
      </c>
      <c r="AU149" s="33"/>
      <c r="AV149" s="33"/>
      <c r="AW149" s="33"/>
      <c r="AX149" s="33"/>
      <c r="AY149" s="76"/>
    </row>
    <row r="150" spans="3:51">
      <c r="C150" s="169" t="s">
        <v>25</v>
      </c>
      <c r="D150" s="4">
        <v>0.4</v>
      </c>
      <c r="E150" s="191" t="s">
        <v>229</v>
      </c>
      <c r="I150" s="55">
        <v>145</v>
      </c>
      <c r="J150" s="33">
        <f t="shared" si="92"/>
        <v>0</v>
      </c>
      <c r="K150" s="33">
        <f t="shared" si="93"/>
        <v>0</v>
      </c>
      <c r="L150" s="33">
        <f t="shared" si="94"/>
        <v>0</v>
      </c>
      <c r="M150" s="33">
        <f t="shared" si="95"/>
        <v>0</v>
      </c>
      <c r="N150" s="33">
        <f t="shared" si="76"/>
        <v>0</v>
      </c>
      <c r="O150" s="34">
        <f t="shared" si="77"/>
        <v>0</v>
      </c>
      <c r="P150" s="55">
        <v>145</v>
      </c>
      <c r="Q150" s="33">
        <f t="shared" si="90"/>
        <v>0</v>
      </c>
      <c r="R150" s="33">
        <f t="shared" si="96"/>
        <v>0</v>
      </c>
      <c r="S150" s="33">
        <f t="shared" si="97"/>
        <v>0</v>
      </c>
      <c r="T150" s="33">
        <f t="shared" si="78"/>
        <v>0</v>
      </c>
      <c r="U150" s="33">
        <f t="shared" si="91"/>
        <v>0</v>
      </c>
      <c r="V150" s="33">
        <f t="shared" si="79"/>
        <v>0</v>
      </c>
      <c r="W150" s="33">
        <v>0</v>
      </c>
      <c r="X150" s="33">
        <f t="shared" si="80"/>
        <v>0</v>
      </c>
      <c r="Y150" s="38">
        <f t="shared" si="81"/>
        <v>0</v>
      </c>
      <c r="AA150" s="71">
        <v>145</v>
      </c>
      <c r="AB150" s="33">
        <f t="shared" si="82"/>
        <v>0</v>
      </c>
      <c r="AC150" s="308">
        <f t="shared" si="73"/>
        <v>0</v>
      </c>
      <c r="AD150" s="101">
        <f t="shared" si="83"/>
        <v>0</v>
      </c>
      <c r="AE150" s="101">
        <f t="shared" si="84"/>
        <v>0</v>
      </c>
      <c r="AF150" s="197">
        <f t="shared" si="69"/>
        <v>0</v>
      </c>
      <c r="AG150" s="197">
        <f t="shared" si="70"/>
        <v>0</v>
      </c>
      <c r="AH150" s="197">
        <f t="shared" si="71"/>
        <v>0</v>
      </c>
      <c r="AI150" s="202">
        <f t="shared" si="72"/>
        <v>0</v>
      </c>
      <c r="AK150" s="71">
        <v>145</v>
      </c>
      <c r="AL150" s="33">
        <f t="shared" si="85"/>
        <v>0</v>
      </c>
      <c r="AM150" s="33">
        <f t="shared" si="86"/>
        <v>0</v>
      </c>
      <c r="AN150" s="33">
        <f t="shared" si="87"/>
        <v>0</v>
      </c>
      <c r="AO150" s="33">
        <f t="shared" si="88"/>
        <v>0</v>
      </c>
      <c r="AP150" s="33">
        <f t="shared" si="89"/>
        <v>0</v>
      </c>
      <c r="AQ150" s="197">
        <f t="shared" si="75"/>
        <v>0</v>
      </c>
      <c r="AR150" s="197">
        <f t="shared" si="75"/>
        <v>0</v>
      </c>
      <c r="AS150" s="197">
        <f t="shared" si="75"/>
        <v>0</v>
      </c>
      <c r="AT150" s="197">
        <f t="shared" si="74"/>
        <v>0</v>
      </c>
      <c r="AU150" s="33"/>
      <c r="AV150" s="33"/>
      <c r="AW150" s="33"/>
      <c r="AX150" s="33"/>
      <c r="AY150" s="76"/>
    </row>
    <row r="151" spans="3:51">
      <c r="C151" s="169" t="s">
        <v>26</v>
      </c>
      <c r="D151" s="4">
        <v>0.6</v>
      </c>
      <c r="E151" s="191" t="s">
        <v>228</v>
      </c>
      <c r="I151" s="55">
        <v>146</v>
      </c>
      <c r="J151" s="33">
        <f t="shared" si="92"/>
        <v>0</v>
      </c>
      <c r="K151" s="33">
        <f t="shared" si="93"/>
        <v>0</v>
      </c>
      <c r="L151" s="33">
        <f t="shared" si="94"/>
        <v>0</v>
      </c>
      <c r="M151" s="33">
        <f t="shared" si="95"/>
        <v>0</v>
      </c>
      <c r="N151" s="33">
        <f t="shared" si="76"/>
        <v>0</v>
      </c>
      <c r="O151" s="34">
        <f t="shared" si="77"/>
        <v>0</v>
      </c>
      <c r="P151" s="55">
        <v>146</v>
      </c>
      <c r="Q151" s="33">
        <f t="shared" si="90"/>
        <v>0</v>
      </c>
      <c r="R151" s="33">
        <f t="shared" si="96"/>
        <v>0</v>
      </c>
      <c r="S151" s="33">
        <f t="shared" si="97"/>
        <v>0</v>
      </c>
      <c r="T151" s="33">
        <f t="shared" si="78"/>
        <v>0</v>
      </c>
      <c r="U151" s="33">
        <f t="shared" si="91"/>
        <v>0</v>
      </c>
      <c r="V151" s="33">
        <f t="shared" si="79"/>
        <v>0</v>
      </c>
      <c r="W151" s="33">
        <v>0</v>
      </c>
      <c r="X151" s="33">
        <f t="shared" si="80"/>
        <v>0</v>
      </c>
      <c r="Y151" s="38">
        <f t="shared" si="81"/>
        <v>0</v>
      </c>
      <c r="AA151" s="71">
        <v>146</v>
      </c>
      <c r="AB151" s="33">
        <f t="shared" si="82"/>
        <v>0</v>
      </c>
      <c r="AC151" s="308">
        <f t="shared" si="73"/>
        <v>0</v>
      </c>
      <c r="AD151" s="101">
        <f t="shared" si="83"/>
        <v>0</v>
      </c>
      <c r="AE151" s="101">
        <f t="shared" si="84"/>
        <v>0</v>
      </c>
      <c r="AF151" s="197">
        <f t="shared" si="69"/>
        <v>0</v>
      </c>
      <c r="AG151" s="197">
        <f t="shared" si="70"/>
        <v>0</v>
      </c>
      <c r="AH151" s="197">
        <f t="shared" si="71"/>
        <v>0</v>
      </c>
      <c r="AI151" s="202">
        <f t="shared" si="72"/>
        <v>0</v>
      </c>
      <c r="AK151" s="71">
        <v>146</v>
      </c>
      <c r="AL151" s="33">
        <f t="shared" si="85"/>
        <v>0</v>
      </c>
      <c r="AM151" s="33">
        <f t="shared" si="86"/>
        <v>0</v>
      </c>
      <c r="AN151" s="33">
        <f t="shared" si="87"/>
        <v>0</v>
      </c>
      <c r="AO151" s="33">
        <f t="shared" si="88"/>
        <v>0</v>
      </c>
      <c r="AP151" s="33">
        <f t="shared" si="89"/>
        <v>0</v>
      </c>
      <c r="AQ151" s="197">
        <f t="shared" si="75"/>
        <v>0</v>
      </c>
      <c r="AR151" s="197">
        <f t="shared" si="75"/>
        <v>0</v>
      </c>
      <c r="AS151" s="197">
        <f t="shared" si="75"/>
        <v>0</v>
      </c>
      <c r="AT151" s="197">
        <f t="shared" si="74"/>
        <v>0</v>
      </c>
      <c r="AU151" s="33"/>
      <c r="AV151" s="33"/>
      <c r="AW151" s="33"/>
      <c r="AX151" s="33"/>
      <c r="AY151" s="76"/>
    </row>
    <row r="152" spans="3:51">
      <c r="C152" s="169" t="s">
        <v>27</v>
      </c>
      <c r="D152" s="4">
        <v>0.43</v>
      </c>
      <c r="E152" s="191" t="s">
        <v>229</v>
      </c>
      <c r="I152" s="55">
        <v>147</v>
      </c>
      <c r="J152" s="33">
        <f t="shared" si="92"/>
        <v>0</v>
      </c>
      <c r="K152" s="33">
        <f t="shared" si="93"/>
        <v>0</v>
      </c>
      <c r="L152" s="33">
        <f t="shared" si="94"/>
        <v>0</v>
      </c>
      <c r="M152" s="33">
        <f t="shared" si="95"/>
        <v>0</v>
      </c>
      <c r="N152" s="33">
        <f t="shared" si="76"/>
        <v>0</v>
      </c>
      <c r="O152" s="34">
        <f t="shared" si="77"/>
        <v>0</v>
      </c>
      <c r="P152" s="55">
        <v>147</v>
      </c>
      <c r="Q152" s="33">
        <f t="shared" si="90"/>
        <v>0</v>
      </c>
      <c r="R152" s="33">
        <f t="shared" si="96"/>
        <v>0</v>
      </c>
      <c r="S152" s="33">
        <f t="shared" si="97"/>
        <v>0</v>
      </c>
      <c r="T152" s="33">
        <f t="shared" si="78"/>
        <v>0</v>
      </c>
      <c r="U152" s="33">
        <f t="shared" si="91"/>
        <v>0</v>
      </c>
      <c r="V152" s="33">
        <f t="shared" si="79"/>
        <v>0</v>
      </c>
      <c r="W152" s="33">
        <v>0</v>
      </c>
      <c r="X152" s="33">
        <f t="shared" si="80"/>
        <v>0</v>
      </c>
      <c r="Y152" s="38">
        <f t="shared" si="81"/>
        <v>0</v>
      </c>
      <c r="AA152" s="71">
        <v>147</v>
      </c>
      <c r="AB152" s="33">
        <f t="shared" si="82"/>
        <v>0</v>
      </c>
      <c r="AC152" s="308">
        <f t="shared" si="73"/>
        <v>0</v>
      </c>
      <c r="AD152" s="101">
        <f t="shared" si="83"/>
        <v>0</v>
      </c>
      <c r="AE152" s="101">
        <f t="shared" si="84"/>
        <v>0</v>
      </c>
      <c r="AF152" s="197">
        <f t="shared" si="69"/>
        <v>0</v>
      </c>
      <c r="AG152" s="197">
        <f t="shared" si="70"/>
        <v>0</v>
      </c>
      <c r="AH152" s="197">
        <f t="shared" si="71"/>
        <v>0</v>
      </c>
      <c r="AI152" s="202">
        <f t="shared" si="72"/>
        <v>0</v>
      </c>
      <c r="AK152" s="71">
        <v>147</v>
      </c>
      <c r="AL152" s="33">
        <f t="shared" si="85"/>
        <v>0</v>
      </c>
      <c r="AM152" s="33">
        <f t="shared" si="86"/>
        <v>0</v>
      </c>
      <c r="AN152" s="33">
        <f t="shared" si="87"/>
        <v>0</v>
      </c>
      <c r="AO152" s="33">
        <f t="shared" si="88"/>
        <v>0</v>
      </c>
      <c r="AP152" s="33">
        <f t="shared" si="89"/>
        <v>0</v>
      </c>
      <c r="AQ152" s="197">
        <f t="shared" si="75"/>
        <v>0</v>
      </c>
      <c r="AR152" s="197">
        <f t="shared" si="75"/>
        <v>0</v>
      </c>
      <c r="AS152" s="197">
        <f t="shared" si="75"/>
        <v>0</v>
      </c>
      <c r="AT152" s="197">
        <f t="shared" si="74"/>
        <v>0</v>
      </c>
      <c r="AU152" s="33"/>
      <c r="AV152" s="33"/>
      <c r="AW152" s="33"/>
      <c r="AX152" s="33"/>
      <c r="AY152" s="76"/>
    </row>
    <row r="153" spans="3:51">
      <c r="C153" s="169" t="s">
        <v>28</v>
      </c>
      <c r="D153" s="4">
        <v>0.37</v>
      </c>
      <c r="E153" s="191" t="s">
        <v>229</v>
      </c>
      <c r="I153" s="55">
        <v>148</v>
      </c>
      <c r="J153" s="33">
        <f t="shared" si="92"/>
        <v>0</v>
      </c>
      <c r="K153" s="33">
        <f t="shared" si="93"/>
        <v>0</v>
      </c>
      <c r="L153" s="33">
        <f t="shared" si="94"/>
        <v>0</v>
      </c>
      <c r="M153" s="33">
        <f t="shared" si="95"/>
        <v>0</v>
      </c>
      <c r="N153" s="33">
        <f t="shared" si="76"/>
        <v>0</v>
      </c>
      <c r="O153" s="34">
        <f t="shared" si="77"/>
        <v>0</v>
      </c>
      <c r="P153" s="55">
        <v>148</v>
      </c>
      <c r="Q153" s="33">
        <f t="shared" si="90"/>
        <v>0</v>
      </c>
      <c r="R153" s="33">
        <f t="shared" si="96"/>
        <v>0</v>
      </c>
      <c r="S153" s="33">
        <f t="shared" si="97"/>
        <v>0</v>
      </c>
      <c r="T153" s="33">
        <f t="shared" si="78"/>
        <v>0</v>
      </c>
      <c r="U153" s="33">
        <f t="shared" si="91"/>
        <v>0</v>
      </c>
      <c r="V153" s="33">
        <f t="shared" si="79"/>
        <v>0</v>
      </c>
      <c r="W153" s="33">
        <v>0</v>
      </c>
      <c r="X153" s="33">
        <f t="shared" si="80"/>
        <v>0</v>
      </c>
      <c r="Y153" s="38">
        <f t="shared" si="81"/>
        <v>0</v>
      </c>
      <c r="AA153" s="71">
        <v>148</v>
      </c>
      <c r="AB153" s="33">
        <f t="shared" si="82"/>
        <v>0</v>
      </c>
      <c r="AC153" s="308">
        <f t="shared" si="73"/>
        <v>0</v>
      </c>
      <c r="AD153" s="101">
        <f t="shared" si="83"/>
        <v>0</v>
      </c>
      <c r="AE153" s="101">
        <f t="shared" si="84"/>
        <v>0</v>
      </c>
      <c r="AF153" s="197">
        <f t="shared" si="69"/>
        <v>0</v>
      </c>
      <c r="AG153" s="197">
        <f t="shared" si="70"/>
        <v>0</v>
      </c>
      <c r="AH153" s="197">
        <f t="shared" si="71"/>
        <v>0</v>
      </c>
      <c r="AI153" s="202">
        <f t="shared" si="72"/>
        <v>0</v>
      </c>
      <c r="AK153" s="71">
        <v>148</v>
      </c>
      <c r="AL153" s="33">
        <f t="shared" si="85"/>
        <v>0</v>
      </c>
      <c r="AM153" s="33">
        <f t="shared" si="86"/>
        <v>0</v>
      </c>
      <c r="AN153" s="33">
        <f t="shared" si="87"/>
        <v>0</v>
      </c>
      <c r="AO153" s="33">
        <f t="shared" si="88"/>
        <v>0</v>
      </c>
      <c r="AP153" s="33">
        <f t="shared" si="89"/>
        <v>0</v>
      </c>
      <c r="AQ153" s="197">
        <f t="shared" si="75"/>
        <v>0</v>
      </c>
      <c r="AR153" s="197">
        <f t="shared" si="75"/>
        <v>0</v>
      </c>
      <c r="AS153" s="197">
        <f t="shared" si="75"/>
        <v>0</v>
      </c>
      <c r="AT153" s="197">
        <f t="shared" si="74"/>
        <v>0</v>
      </c>
      <c r="AU153" s="33"/>
      <c r="AV153" s="33"/>
      <c r="AW153" s="33"/>
      <c r="AX153" s="33"/>
      <c r="AY153" s="76"/>
    </row>
    <row r="154" spans="3:51">
      <c r="C154" s="169" t="s">
        <v>29</v>
      </c>
      <c r="D154" s="4">
        <v>0.36</v>
      </c>
      <c r="E154" s="191" t="s">
        <v>229</v>
      </c>
      <c r="I154" s="55">
        <v>149</v>
      </c>
      <c r="J154" s="33">
        <f t="shared" si="92"/>
        <v>0</v>
      </c>
      <c r="K154" s="33">
        <f t="shared" si="93"/>
        <v>0</v>
      </c>
      <c r="L154" s="33">
        <f t="shared" si="94"/>
        <v>0</v>
      </c>
      <c r="M154" s="33">
        <f t="shared" si="95"/>
        <v>0</v>
      </c>
      <c r="N154" s="33">
        <f t="shared" si="76"/>
        <v>0</v>
      </c>
      <c r="O154" s="34">
        <f t="shared" si="77"/>
        <v>0</v>
      </c>
      <c r="P154" s="55">
        <v>149</v>
      </c>
      <c r="Q154" s="33">
        <f t="shared" si="90"/>
        <v>0</v>
      </c>
      <c r="R154" s="33">
        <f t="shared" si="96"/>
        <v>0</v>
      </c>
      <c r="S154" s="33">
        <f t="shared" si="97"/>
        <v>0</v>
      </c>
      <c r="T154" s="33">
        <f t="shared" si="78"/>
        <v>0</v>
      </c>
      <c r="U154" s="33">
        <f t="shared" si="91"/>
        <v>0</v>
      </c>
      <c r="V154" s="33">
        <f t="shared" si="79"/>
        <v>0</v>
      </c>
      <c r="W154" s="33">
        <v>0</v>
      </c>
      <c r="X154" s="33">
        <f t="shared" si="80"/>
        <v>0</v>
      </c>
      <c r="Y154" s="38">
        <f t="shared" si="81"/>
        <v>0</v>
      </c>
      <c r="AA154" s="71">
        <v>149</v>
      </c>
      <c r="AB154" s="33">
        <f t="shared" si="82"/>
        <v>0</v>
      </c>
      <c r="AC154" s="308">
        <f t="shared" si="73"/>
        <v>0</v>
      </c>
      <c r="AD154" s="101">
        <f t="shared" si="83"/>
        <v>0</v>
      </c>
      <c r="AE154" s="101">
        <f t="shared" si="84"/>
        <v>0</v>
      </c>
      <c r="AF154" s="197">
        <f t="shared" si="69"/>
        <v>0</v>
      </c>
      <c r="AG154" s="197">
        <f t="shared" si="70"/>
        <v>0</v>
      </c>
      <c r="AH154" s="197">
        <f t="shared" si="71"/>
        <v>0</v>
      </c>
      <c r="AI154" s="202">
        <f t="shared" si="72"/>
        <v>0</v>
      </c>
      <c r="AK154" s="71">
        <v>149</v>
      </c>
      <c r="AL154" s="33">
        <f t="shared" si="85"/>
        <v>0</v>
      </c>
      <c r="AM154" s="33">
        <f t="shared" si="86"/>
        <v>0</v>
      </c>
      <c r="AN154" s="33">
        <f t="shared" si="87"/>
        <v>0</v>
      </c>
      <c r="AO154" s="33">
        <f t="shared" si="88"/>
        <v>0</v>
      </c>
      <c r="AP154" s="33">
        <f t="shared" si="89"/>
        <v>0</v>
      </c>
      <c r="AQ154" s="197">
        <f t="shared" si="75"/>
        <v>0</v>
      </c>
      <c r="AR154" s="197">
        <f t="shared" si="75"/>
        <v>0</v>
      </c>
      <c r="AS154" s="197">
        <f t="shared" si="75"/>
        <v>0</v>
      </c>
      <c r="AT154" s="197">
        <f t="shared" si="74"/>
        <v>0</v>
      </c>
      <c r="AU154" s="33"/>
      <c r="AV154" s="33"/>
      <c r="AW154" s="33"/>
      <c r="AX154" s="33"/>
      <c r="AY154" s="76"/>
    </row>
    <row r="155" spans="3:51">
      <c r="C155" s="169" t="s">
        <v>30</v>
      </c>
      <c r="D155" s="4">
        <v>0.51</v>
      </c>
      <c r="E155" s="191" t="s">
        <v>228</v>
      </c>
      <c r="I155" s="55">
        <v>150</v>
      </c>
      <c r="J155" s="33">
        <f t="shared" si="92"/>
        <v>0</v>
      </c>
      <c r="K155" s="33">
        <f t="shared" si="93"/>
        <v>0</v>
      </c>
      <c r="L155" s="33">
        <f t="shared" si="94"/>
        <v>0</v>
      </c>
      <c r="M155" s="33">
        <f t="shared" si="95"/>
        <v>0</v>
      </c>
      <c r="N155" s="33">
        <f t="shared" si="76"/>
        <v>0</v>
      </c>
      <c r="O155" s="34">
        <f t="shared" si="77"/>
        <v>0</v>
      </c>
      <c r="P155" s="55">
        <v>150</v>
      </c>
      <c r="Q155" s="33">
        <f t="shared" si="90"/>
        <v>0</v>
      </c>
      <c r="R155" s="33">
        <f t="shared" si="96"/>
        <v>0</v>
      </c>
      <c r="S155" s="33">
        <f t="shared" si="97"/>
        <v>0</v>
      </c>
      <c r="T155" s="33">
        <f t="shared" si="78"/>
        <v>0</v>
      </c>
      <c r="U155" s="33">
        <f t="shared" si="91"/>
        <v>0</v>
      </c>
      <c r="V155" s="33">
        <f t="shared" si="79"/>
        <v>0</v>
      </c>
      <c r="W155" s="33">
        <v>0</v>
      </c>
      <c r="X155" s="33">
        <f t="shared" si="80"/>
        <v>0</v>
      </c>
      <c r="Y155" s="38">
        <f t="shared" si="81"/>
        <v>0</v>
      </c>
      <c r="AA155" s="71">
        <v>150</v>
      </c>
      <c r="AB155" s="33">
        <f t="shared" si="82"/>
        <v>0</v>
      </c>
      <c r="AC155" s="308">
        <f t="shared" si="73"/>
        <v>0</v>
      </c>
      <c r="AD155" s="101">
        <f t="shared" si="83"/>
        <v>0</v>
      </c>
      <c r="AE155" s="101">
        <f t="shared" si="84"/>
        <v>0</v>
      </c>
      <c r="AF155" s="197">
        <f t="shared" ref="AF155:AF205" si="98">IF(OR(AA155&lt;=$F$18,AA155&lt;=30),EXP(-LN(2)/$D$104)*AF154+((1-EXP(-LN(2)/$D$104))/(LN(2)/$D$104))*$AB155*AC155*0.475*$F$19*44/12,)</f>
        <v>0</v>
      </c>
      <c r="AG155" s="197">
        <f t="shared" ref="AG155:AG205" si="99">IF(OR(AA155&lt;=$F$18,AA155&lt;=30),EXP(-LN(2)/$D$106)*AG154+((1-EXP(-LN(2)/$D$106))/(LN(2)/$D$106))*$AB155*AD155*0.475*$F$19*44/12,)</f>
        <v>0</v>
      </c>
      <c r="AH155" s="197">
        <f t="shared" ref="AH155:AH205" si="100">IF(OR(AA155&lt;=$F$18,AA155&lt;=30),EXP(-LN(2)/$D$105)*AH154+((1-EXP(-LN(2)/$D$105))/(LN(2)/$D$105))*$AB155*AE155*0.475*$F$19*44/12,)</f>
        <v>0</v>
      </c>
      <c r="AI155" s="202">
        <f t="shared" ref="AI155:AI205" si="101">IF(OR(AA155&lt;=$F$18,AA155&lt;=30),SUM(AF155:AH155),)</f>
        <v>0</v>
      </c>
      <c r="AK155" s="71">
        <v>150</v>
      </c>
      <c r="AL155" s="33">
        <f t="shared" si="85"/>
        <v>0</v>
      </c>
      <c r="AM155" s="33">
        <f t="shared" si="86"/>
        <v>0</v>
      </c>
      <c r="AN155" s="33">
        <f t="shared" si="87"/>
        <v>0</v>
      </c>
      <c r="AO155" s="33">
        <f t="shared" si="88"/>
        <v>0</v>
      </c>
      <c r="AP155" s="33">
        <f t="shared" si="89"/>
        <v>0</v>
      </c>
      <c r="AQ155" s="197">
        <f t="shared" si="75"/>
        <v>0</v>
      </c>
      <c r="AR155" s="197">
        <f t="shared" si="75"/>
        <v>0</v>
      </c>
      <c r="AS155" s="197">
        <f t="shared" si="75"/>
        <v>0</v>
      </c>
      <c r="AT155" s="197">
        <f t="shared" si="74"/>
        <v>0</v>
      </c>
      <c r="AU155" s="33"/>
      <c r="AV155" s="33"/>
      <c r="AW155" s="33"/>
      <c r="AX155" s="33"/>
      <c r="AY155" s="76"/>
    </row>
    <row r="156" spans="3:51">
      <c r="C156" s="169" t="s">
        <v>31</v>
      </c>
      <c r="D156" s="4">
        <v>0.56000000000000005</v>
      </c>
      <c r="E156" s="191" t="s">
        <v>228</v>
      </c>
      <c r="I156" s="55">
        <v>151</v>
      </c>
      <c r="J156" s="33">
        <f t="shared" si="92"/>
        <v>0</v>
      </c>
      <c r="K156" s="33">
        <f t="shared" si="93"/>
        <v>0</v>
      </c>
      <c r="L156" s="33">
        <f t="shared" si="94"/>
        <v>0</v>
      </c>
      <c r="M156" s="33">
        <f t="shared" si="95"/>
        <v>0</v>
      </c>
      <c r="N156" s="33">
        <f t="shared" si="76"/>
        <v>0</v>
      </c>
      <c r="O156" s="34">
        <f t="shared" si="77"/>
        <v>0</v>
      </c>
      <c r="P156" s="55">
        <v>151</v>
      </c>
      <c r="Q156" s="33">
        <f t="shared" si="90"/>
        <v>0</v>
      </c>
      <c r="R156" s="33">
        <f t="shared" si="96"/>
        <v>0</v>
      </c>
      <c r="S156" s="33">
        <f t="shared" si="97"/>
        <v>0</v>
      </c>
      <c r="T156" s="33">
        <f t="shared" si="78"/>
        <v>0</v>
      </c>
      <c r="U156" s="33">
        <f t="shared" si="91"/>
        <v>0</v>
      </c>
      <c r="V156" s="33">
        <f t="shared" si="79"/>
        <v>0</v>
      </c>
      <c r="W156" s="33">
        <v>0</v>
      </c>
      <c r="X156" s="33">
        <f t="shared" si="80"/>
        <v>0</v>
      </c>
      <c r="Y156" s="38">
        <f t="shared" si="81"/>
        <v>0</v>
      </c>
      <c r="AA156" s="71">
        <v>151</v>
      </c>
      <c r="AB156" s="33">
        <f t="shared" si="82"/>
        <v>0</v>
      </c>
      <c r="AC156" s="308">
        <f t="shared" si="73"/>
        <v>0</v>
      </c>
      <c r="AD156" s="101">
        <f t="shared" si="83"/>
        <v>0</v>
      </c>
      <c r="AE156" s="101">
        <f t="shared" si="84"/>
        <v>0</v>
      </c>
      <c r="AF156" s="197">
        <f t="shared" si="98"/>
        <v>0</v>
      </c>
      <c r="AG156" s="197">
        <f t="shared" si="99"/>
        <v>0</v>
      </c>
      <c r="AH156" s="197">
        <f t="shared" si="100"/>
        <v>0</v>
      </c>
      <c r="AI156" s="202">
        <f t="shared" si="101"/>
        <v>0</v>
      </c>
      <c r="AK156" s="71">
        <v>151</v>
      </c>
      <c r="AL156" s="33">
        <f t="shared" si="85"/>
        <v>0</v>
      </c>
      <c r="AM156" s="33">
        <f t="shared" si="86"/>
        <v>0</v>
      </c>
      <c r="AN156" s="33">
        <f t="shared" si="87"/>
        <v>0</v>
      </c>
      <c r="AO156" s="33">
        <f t="shared" si="88"/>
        <v>0</v>
      </c>
      <c r="AP156" s="33">
        <f t="shared" si="89"/>
        <v>0</v>
      </c>
      <c r="AQ156" s="197">
        <f t="shared" si="75"/>
        <v>0</v>
      </c>
      <c r="AR156" s="197">
        <f t="shared" si="75"/>
        <v>0</v>
      </c>
      <c r="AS156" s="197">
        <f t="shared" si="75"/>
        <v>0</v>
      </c>
      <c r="AT156" s="197">
        <f t="shared" si="74"/>
        <v>0</v>
      </c>
      <c r="AU156" s="33"/>
      <c r="AV156" s="33"/>
      <c r="AW156" s="33"/>
      <c r="AX156" s="33"/>
      <c r="AY156" s="76"/>
    </row>
    <row r="157" spans="3:51">
      <c r="C157" s="169" t="s">
        <v>32</v>
      </c>
      <c r="D157" s="4">
        <v>0.56000000000000005</v>
      </c>
      <c r="E157" s="191" t="s">
        <v>228</v>
      </c>
      <c r="I157" s="55">
        <v>152</v>
      </c>
      <c r="J157" s="33">
        <f t="shared" si="92"/>
        <v>0</v>
      </c>
      <c r="K157" s="33">
        <f t="shared" si="93"/>
        <v>0</v>
      </c>
      <c r="L157" s="33">
        <f t="shared" si="94"/>
        <v>0</v>
      </c>
      <c r="M157" s="33">
        <f t="shared" si="95"/>
        <v>0</v>
      </c>
      <c r="N157" s="33">
        <f t="shared" si="76"/>
        <v>0</v>
      </c>
      <c r="O157" s="34">
        <f t="shared" si="77"/>
        <v>0</v>
      </c>
      <c r="P157" s="55">
        <v>152</v>
      </c>
      <c r="Q157" s="33">
        <f t="shared" si="90"/>
        <v>0</v>
      </c>
      <c r="R157" s="33">
        <f t="shared" si="96"/>
        <v>0</v>
      </c>
      <c r="S157" s="33">
        <f t="shared" si="97"/>
        <v>0</v>
      </c>
      <c r="T157" s="33">
        <f t="shared" si="78"/>
        <v>0</v>
      </c>
      <c r="U157" s="33">
        <f t="shared" si="91"/>
        <v>0</v>
      </c>
      <c r="V157" s="33">
        <f t="shared" si="79"/>
        <v>0</v>
      </c>
      <c r="W157" s="33">
        <v>0</v>
      </c>
      <c r="X157" s="33">
        <f t="shared" si="80"/>
        <v>0</v>
      </c>
      <c r="Y157" s="38">
        <f t="shared" si="81"/>
        <v>0</v>
      </c>
      <c r="AA157" s="71">
        <v>152</v>
      </c>
      <c r="AB157" s="33">
        <f t="shared" si="82"/>
        <v>0</v>
      </c>
      <c r="AC157" s="308">
        <f t="shared" si="73"/>
        <v>0</v>
      </c>
      <c r="AD157" s="101">
        <f t="shared" si="83"/>
        <v>0</v>
      </c>
      <c r="AE157" s="101">
        <f t="shared" si="84"/>
        <v>0</v>
      </c>
      <c r="AF157" s="197">
        <f t="shared" si="98"/>
        <v>0</v>
      </c>
      <c r="AG157" s="197">
        <f t="shared" si="99"/>
        <v>0</v>
      </c>
      <c r="AH157" s="197">
        <f t="shared" si="100"/>
        <v>0</v>
      </c>
      <c r="AI157" s="202">
        <f t="shared" si="101"/>
        <v>0</v>
      </c>
      <c r="AK157" s="71">
        <v>152</v>
      </c>
      <c r="AL157" s="33">
        <f t="shared" si="85"/>
        <v>0</v>
      </c>
      <c r="AM157" s="33">
        <f t="shared" si="86"/>
        <v>0</v>
      </c>
      <c r="AN157" s="33">
        <f t="shared" si="87"/>
        <v>0</v>
      </c>
      <c r="AO157" s="33">
        <f t="shared" si="88"/>
        <v>0</v>
      </c>
      <c r="AP157" s="33">
        <f t="shared" si="89"/>
        <v>0</v>
      </c>
      <c r="AQ157" s="197">
        <f t="shared" si="75"/>
        <v>0</v>
      </c>
      <c r="AR157" s="197">
        <f t="shared" si="75"/>
        <v>0</v>
      </c>
      <c r="AS157" s="197">
        <f t="shared" si="75"/>
        <v>0</v>
      </c>
      <c r="AT157" s="197">
        <f t="shared" si="74"/>
        <v>0</v>
      </c>
      <c r="AU157" s="33"/>
      <c r="AV157" s="33"/>
      <c r="AW157" s="33"/>
      <c r="AX157" s="33"/>
      <c r="AY157" s="76"/>
    </row>
    <row r="158" spans="3:51">
      <c r="C158" s="169" t="s">
        <v>33</v>
      </c>
      <c r="D158" s="4">
        <v>0.48</v>
      </c>
      <c r="E158" s="191" t="s">
        <v>228</v>
      </c>
      <c r="I158" s="55">
        <v>153</v>
      </c>
      <c r="J158" s="33">
        <f t="shared" si="92"/>
        <v>0</v>
      </c>
      <c r="K158" s="33">
        <f t="shared" si="93"/>
        <v>0</v>
      </c>
      <c r="L158" s="33">
        <f t="shared" si="94"/>
        <v>0</v>
      </c>
      <c r="M158" s="33">
        <f t="shared" si="95"/>
        <v>0</v>
      </c>
      <c r="N158" s="33">
        <f t="shared" si="76"/>
        <v>0</v>
      </c>
      <c r="O158" s="34">
        <f t="shared" si="77"/>
        <v>0</v>
      </c>
      <c r="P158" s="55">
        <v>153</v>
      </c>
      <c r="Q158" s="33">
        <f t="shared" si="90"/>
        <v>0</v>
      </c>
      <c r="R158" s="33">
        <f t="shared" si="96"/>
        <v>0</v>
      </c>
      <c r="S158" s="33">
        <f t="shared" si="97"/>
        <v>0</v>
      </c>
      <c r="T158" s="33">
        <f t="shared" si="78"/>
        <v>0</v>
      </c>
      <c r="U158" s="33">
        <f t="shared" si="91"/>
        <v>0</v>
      </c>
      <c r="V158" s="33">
        <f t="shared" si="79"/>
        <v>0</v>
      </c>
      <c r="W158" s="33">
        <v>0</v>
      </c>
      <c r="X158" s="33">
        <f t="shared" si="80"/>
        <v>0</v>
      </c>
      <c r="Y158" s="38">
        <f t="shared" si="81"/>
        <v>0</v>
      </c>
      <c r="AA158" s="71">
        <v>153</v>
      </c>
      <c r="AB158" s="33">
        <f t="shared" si="82"/>
        <v>0</v>
      </c>
      <c r="AC158" s="308">
        <f t="shared" si="73"/>
        <v>0</v>
      </c>
      <c r="AD158" s="101">
        <f t="shared" si="83"/>
        <v>0</v>
      </c>
      <c r="AE158" s="101">
        <f t="shared" si="84"/>
        <v>0</v>
      </c>
      <c r="AF158" s="197">
        <f t="shared" si="98"/>
        <v>0</v>
      </c>
      <c r="AG158" s="197">
        <f t="shared" si="99"/>
        <v>0</v>
      </c>
      <c r="AH158" s="197">
        <f t="shared" si="100"/>
        <v>0</v>
      </c>
      <c r="AI158" s="202">
        <f t="shared" si="101"/>
        <v>0</v>
      </c>
      <c r="AK158" s="71">
        <v>153</v>
      </c>
      <c r="AL158" s="33">
        <f t="shared" si="85"/>
        <v>0</v>
      </c>
      <c r="AM158" s="33">
        <f t="shared" si="86"/>
        <v>0</v>
      </c>
      <c r="AN158" s="33">
        <f t="shared" si="87"/>
        <v>0</v>
      </c>
      <c r="AO158" s="33">
        <f t="shared" si="88"/>
        <v>0</v>
      </c>
      <c r="AP158" s="33">
        <f t="shared" si="89"/>
        <v>0</v>
      </c>
      <c r="AQ158" s="197">
        <f t="shared" si="75"/>
        <v>0</v>
      </c>
      <c r="AR158" s="197">
        <f t="shared" si="75"/>
        <v>0</v>
      </c>
      <c r="AS158" s="197">
        <f t="shared" si="75"/>
        <v>0</v>
      </c>
      <c r="AT158" s="197">
        <f t="shared" si="74"/>
        <v>0</v>
      </c>
      <c r="AU158" s="33"/>
      <c r="AV158" s="33"/>
      <c r="AW158" s="33"/>
      <c r="AX158" s="33"/>
      <c r="AY158" s="76"/>
    </row>
    <row r="159" spans="3:51">
      <c r="C159" s="169" t="s">
        <v>34</v>
      </c>
      <c r="D159" s="4">
        <v>0.55000000000000004</v>
      </c>
      <c r="E159" s="191" t="s">
        <v>228</v>
      </c>
      <c r="I159" s="55">
        <v>154</v>
      </c>
      <c r="J159" s="33">
        <f t="shared" si="92"/>
        <v>0</v>
      </c>
      <c r="K159" s="33">
        <f t="shared" si="93"/>
        <v>0</v>
      </c>
      <c r="L159" s="33">
        <f t="shared" si="94"/>
        <v>0</v>
      </c>
      <c r="M159" s="33">
        <f t="shared" si="95"/>
        <v>0</v>
      </c>
      <c r="N159" s="33">
        <f t="shared" si="76"/>
        <v>0</v>
      </c>
      <c r="O159" s="34">
        <f t="shared" si="77"/>
        <v>0</v>
      </c>
      <c r="P159" s="55">
        <v>154</v>
      </c>
      <c r="Q159" s="33">
        <f t="shared" si="90"/>
        <v>0</v>
      </c>
      <c r="R159" s="33">
        <f t="shared" si="96"/>
        <v>0</v>
      </c>
      <c r="S159" s="33">
        <f t="shared" si="97"/>
        <v>0</v>
      </c>
      <c r="T159" s="33">
        <f t="shared" si="78"/>
        <v>0</v>
      </c>
      <c r="U159" s="33">
        <f t="shared" si="91"/>
        <v>0</v>
      </c>
      <c r="V159" s="33">
        <f t="shared" si="79"/>
        <v>0</v>
      </c>
      <c r="W159" s="33">
        <v>0</v>
      </c>
      <c r="X159" s="33">
        <f t="shared" si="80"/>
        <v>0</v>
      </c>
      <c r="Y159" s="38">
        <f t="shared" si="81"/>
        <v>0</v>
      </c>
      <c r="AA159" s="71">
        <v>154</v>
      </c>
      <c r="AB159" s="33">
        <f t="shared" si="82"/>
        <v>0</v>
      </c>
      <c r="AC159" s="308">
        <f t="shared" ref="AC159:AC205" si="102">IF(AA159&lt;=$F$18,IFERROR(VLOOKUP($AA159,$B$82:$G$94,3,FALSE),0),)*50%</f>
        <v>0</v>
      </c>
      <c r="AD159" s="101">
        <f t="shared" si="83"/>
        <v>0</v>
      </c>
      <c r="AE159" s="101">
        <f t="shared" si="84"/>
        <v>0</v>
      </c>
      <c r="AF159" s="197">
        <f t="shared" si="98"/>
        <v>0</v>
      </c>
      <c r="AG159" s="197">
        <f t="shared" si="99"/>
        <v>0</v>
      </c>
      <c r="AH159" s="197">
        <f t="shared" si="100"/>
        <v>0</v>
      </c>
      <c r="AI159" s="202">
        <f t="shared" si="101"/>
        <v>0</v>
      </c>
      <c r="AK159" s="71">
        <v>154</v>
      </c>
      <c r="AL159" s="33">
        <f t="shared" si="85"/>
        <v>0</v>
      </c>
      <c r="AM159" s="33">
        <f t="shared" si="86"/>
        <v>0</v>
      </c>
      <c r="AN159" s="33">
        <f t="shared" si="87"/>
        <v>0</v>
      </c>
      <c r="AO159" s="33">
        <f t="shared" si="88"/>
        <v>0</v>
      </c>
      <c r="AP159" s="33">
        <f t="shared" si="89"/>
        <v>0</v>
      </c>
      <c r="AQ159" s="197">
        <f t="shared" si="75"/>
        <v>0</v>
      </c>
      <c r="AR159" s="197">
        <f t="shared" si="75"/>
        <v>0</v>
      </c>
      <c r="AS159" s="197">
        <f t="shared" si="75"/>
        <v>0</v>
      </c>
      <c r="AT159" s="197">
        <f t="shared" si="74"/>
        <v>0</v>
      </c>
      <c r="AU159" s="33"/>
      <c r="AV159" s="33"/>
      <c r="AW159" s="33"/>
      <c r="AX159" s="33"/>
      <c r="AY159" s="76"/>
    </row>
    <row r="160" spans="3:51">
      <c r="C160" s="169" t="s">
        <v>35</v>
      </c>
      <c r="D160" s="4">
        <v>0.56000000000000005</v>
      </c>
      <c r="E160" s="191" t="s">
        <v>228</v>
      </c>
      <c r="I160" s="55">
        <v>155</v>
      </c>
      <c r="J160" s="33">
        <f t="shared" si="92"/>
        <v>0</v>
      </c>
      <c r="K160" s="33">
        <f t="shared" si="93"/>
        <v>0</v>
      </c>
      <c r="L160" s="33">
        <f t="shared" si="94"/>
        <v>0</v>
      </c>
      <c r="M160" s="33">
        <f t="shared" si="95"/>
        <v>0</v>
      </c>
      <c r="N160" s="33">
        <f t="shared" si="76"/>
        <v>0</v>
      </c>
      <c r="O160" s="34">
        <f t="shared" si="77"/>
        <v>0</v>
      </c>
      <c r="P160" s="55">
        <v>155</v>
      </c>
      <c r="Q160" s="33">
        <f t="shared" si="90"/>
        <v>0</v>
      </c>
      <c r="R160" s="33">
        <f t="shared" si="96"/>
        <v>0</v>
      </c>
      <c r="S160" s="33">
        <f t="shared" si="97"/>
        <v>0</v>
      </c>
      <c r="T160" s="33">
        <f t="shared" si="78"/>
        <v>0</v>
      </c>
      <c r="U160" s="33">
        <f t="shared" si="91"/>
        <v>0</v>
      </c>
      <c r="V160" s="33">
        <f t="shared" si="79"/>
        <v>0</v>
      </c>
      <c r="W160" s="33">
        <v>0</v>
      </c>
      <c r="X160" s="33">
        <f t="shared" si="80"/>
        <v>0</v>
      </c>
      <c r="Y160" s="38">
        <f t="shared" si="81"/>
        <v>0</v>
      </c>
      <c r="AA160" s="71">
        <v>155</v>
      </c>
      <c r="AB160" s="33">
        <f t="shared" si="82"/>
        <v>0</v>
      </c>
      <c r="AC160" s="308">
        <f t="shared" si="102"/>
        <v>0</v>
      </c>
      <c r="AD160" s="101">
        <f t="shared" si="83"/>
        <v>0</v>
      </c>
      <c r="AE160" s="101">
        <f t="shared" si="84"/>
        <v>0</v>
      </c>
      <c r="AF160" s="197">
        <f t="shared" si="98"/>
        <v>0</v>
      </c>
      <c r="AG160" s="197">
        <f t="shared" si="99"/>
        <v>0</v>
      </c>
      <c r="AH160" s="197">
        <f t="shared" si="100"/>
        <v>0</v>
      </c>
      <c r="AI160" s="202">
        <f t="shared" si="101"/>
        <v>0</v>
      </c>
      <c r="AK160" s="71">
        <v>155</v>
      </c>
      <c r="AL160" s="33">
        <f t="shared" si="85"/>
        <v>0</v>
      </c>
      <c r="AM160" s="33">
        <f t="shared" si="86"/>
        <v>0</v>
      </c>
      <c r="AN160" s="33">
        <f t="shared" si="87"/>
        <v>0</v>
      </c>
      <c r="AO160" s="33">
        <f t="shared" si="88"/>
        <v>0</v>
      </c>
      <c r="AP160" s="33">
        <f t="shared" si="89"/>
        <v>0</v>
      </c>
      <c r="AQ160" s="197">
        <f t="shared" si="75"/>
        <v>0</v>
      </c>
      <c r="AR160" s="197">
        <f t="shared" si="75"/>
        <v>0</v>
      </c>
      <c r="AS160" s="197">
        <f t="shared" si="75"/>
        <v>0</v>
      </c>
      <c r="AT160" s="197">
        <f t="shared" si="74"/>
        <v>0</v>
      </c>
      <c r="AU160" s="33"/>
      <c r="AV160" s="33"/>
      <c r="AW160" s="33"/>
      <c r="AX160" s="33"/>
      <c r="AY160" s="76"/>
    </row>
    <row r="161" spans="3:51">
      <c r="C161" s="169" t="s">
        <v>36</v>
      </c>
      <c r="D161" s="4">
        <v>0.57999999999999996</v>
      </c>
      <c r="E161" s="191" t="s">
        <v>228</v>
      </c>
      <c r="I161" s="55">
        <v>156</v>
      </c>
      <c r="J161" s="33">
        <f t="shared" si="92"/>
        <v>0</v>
      </c>
      <c r="K161" s="33">
        <f t="shared" si="93"/>
        <v>0</v>
      </c>
      <c r="L161" s="33">
        <f t="shared" si="94"/>
        <v>0</v>
      </c>
      <c r="M161" s="33">
        <f t="shared" si="95"/>
        <v>0</v>
      </c>
      <c r="N161" s="33">
        <f t="shared" si="76"/>
        <v>0</v>
      </c>
      <c r="O161" s="34">
        <f t="shared" si="77"/>
        <v>0</v>
      </c>
      <c r="P161" s="55">
        <v>156</v>
      </c>
      <c r="Q161" s="33">
        <f t="shared" si="90"/>
        <v>0</v>
      </c>
      <c r="R161" s="33">
        <f t="shared" si="96"/>
        <v>0</v>
      </c>
      <c r="S161" s="33">
        <f t="shared" si="97"/>
        <v>0</v>
      </c>
      <c r="T161" s="33">
        <f t="shared" si="78"/>
        <v>0</v>
      </c>
      <c r="U161" s="33">
        <f t="shared" si="91"/>
        <v>0</v>
      </c>
      <c r="V161" s="33">
        <f t="shared" si="79"/>
        <v>0</v>
      </c>
      <c r="W161" s="33">
        <v>0</v>
      </c>
      <c r="X161" s="33">
        <f t="shared" si="80"/>
        <v>0</v>
      </c>
      <c r="Y161" s="38">
        <f t="shared" si="81"/>
        <v>0</v>
      </c>
      <c r="AA161" s="71">
        <v>156</v>
      </c>
      <c r="AB161" s="33">
        <f t="shared" si="82"/>
        <v>0</v>
      </c>
      <c r="AC161" s="308">
        <f t="shared" si="102"/>
        <v>0</v>
      </c>
      <c r="AD161" s="101">
        <f t="shared" si="83"/>
        <v>0</v>
      </c>
      <c r="AE161" s="101">
        <f t="shared" si="84"/>
        <v>0</v>
      </c>
      <c r="AF161" s="197">
        <f t="shared" si="98"/>
        <v>0</v>
      </c>
      <c r="AG161" s="197">
        <f t="shared" si="99"/>
        <v>0</v>
      </c>
      <c r="AH161" s="197">
        <f t="shared" si="100"/>
        <v>0</v>
      </c>
      <c r="AI161" s="202">
        <f t="shared" si="101"/>
        <v>0</v>
      </c>
      <c r="AK161" s="71">
        <v>156</v>
      </c>
      <c r="AL161" s="33">
        <f t="shared" si="85"/>
        <v>0</v>
      </c>
      <c r="AM161" s="33">
        <f t="shared" si="86"/>
        <v>0</v>
      </c>
      <c r="AN161" s="33">
        <f t="shared" si="87"/>
        <v>0</v>
      </c>
      <c r="AO161" s="33">
        <f t="shared" si="88"/>
        <v>0</v>
      </c>
      <c r="AP161" s="33">
        <f t="shared" si="89"/>
        <v>0</v>
      </c>
      <c r="AQ161" s="197">
        <f t="shared" si="75"/>
        <v>0</v>
      </c>
      <c r="AR161" s="197">
        <f t="shared" si="75"/>
        <v>0</v>
      </c>
      <c r="AS161" s="197">
        <f t="shared" si="75"/>
        <v>0</v>
      </c>
      <c r="AT161" s="197">
        <f t="shared" si="74"/>
        <v>0</v>
      </c>
      <c r="AU161" s="33"/>
      <c r="AV161" s="33"/>
      <c r="AW161" s="33"/>
      <c r="AX161" s="33"/>
      <c r="AY161" s="76"/>
    </row>
    <row r="162" spans="3:51">
      <c r="C162" s="169" t="s">
        <v>37</v>
      </c>
      <c r="D162" s="4">
        <v>0.57999999999999996</v>
      </c>
      <c r="E162" s="191" t="s">
        <v>229</v>
      </c>
      <c r="I162" s="55">
        <v>157</v>
      </c>
      <c r="J162" s="33">
        <f t="shared" si="92"/>
        <v>0</v>
      </c>
      <c r="K162" s="33">
        <f t="shared" si="93"/>
        <v>0</v>
      </c>
      <c r="L162" s="33">
        <f t="shared" si="94"/>
        <v>0</v>
      </c>
      <c r="M162" s="33">
        <f t="shared" si="95"/>
        <v>0</v>
      </c>
      <c r="N162" s="33">
        <f t="shared" si="76"/>
        <v>0</v>
      </c>
      <c r="O162" s="34">
        <f t="shared" si="77"/>
        <v>0</v>
      </c>
      <c r="P162" s="55">
        <v>157</v>
      </c>
      <c r="Q162" s="33">
        <f t="shared" si="90"/>
        <v>0</v>
      </c>
      <c r="R162" s="33">
        <f t="shared" si="96"/>
        <v>0</v>
      </c>
      <c r="S162" s="33">
        <f t="shared" si="97"/>
        <v>0</v>
      </c>
      <c r="T162" s="33">
        <f t="shared" si="78"/>
        <v>0</v>
      </c>
      <c r="U162" s="33">
        <f t="shared" si="91"/>
        <v>0</v>
      </c>
      <c r="V162" s="33">
        <f t="shared" si="79"/>
        <v>0</v>
      </c>
      <c r="W162" s="33">
        <v>0</v>
      </c>
      <c r="X162" s="33">
        <f t="shared" si="80"/>
        <v>0</v>
      </c>
      <c r="Y162" s="38">
        <f t="shared" si="81"/>
        <v>0</v>
      </c>
      <c r="AA162" s="71">
        <v>157</v>
      </c>
      <c r="AB162" s="33">
        <f t="shared" si="82"/>
        <v>0</v>
      </c>
      <c r="AC162" s="308">
        <f t="shared" si="102"/>
        <v>0</v>
      </c>
      <c r="AD162" s="101">
        <f t="shared" si="83"/>
        <v>0</v>
      </c>
      <c r="AE162" s="101">
        <f t="shared" si="84"/>
        <v>0</v>
      </c>
      <c r="AF162" s="197">
        <f t="shared" si="98"/>
        <v>0</v>
      </c>
      <c r="AG162" s="197">
        <f t="shared" si="99"/>
        <v>0</v>
      </c>
      <c r="AH162" s="197">
        <f t="shared" si="100"/>
        <v>0</v>
      </c>
      <c r="AI162" s="202">
        <f t="shared" si="101"/>
        <v>0</v>
      </c>
      <c r="AK162" s="71">
        <v>157</v>
      </c>
      <c r="AL162" s="33">
        <f t="shared" si="85"/>
        <v>0</v>
      </c>
      <c r="AM162" s="33">
        <f t="shared" si="86"/>
        <v>0</v>
      </c>
      <c r="AN162" s="33">
        <f t="shared" si="87"/>
        <v>0</v>
      </c>
      <c r="AO162" s="33">
        <f t="shared" si="88"/>
        <v>0</v>
      </c>
      <c r="AP162" s="33">
        <f t="shared" si="89"/>
        <v>0</v>
      </c>
      <c r="AQ162" s="197">
        <f t="shared" si="75"/>
        <v>0</v>
      </c>
      <c r="AR162" s="197">
        <f t="shared" si="75"/>
        <v>0</v>
      </c>
      <c r="AS162" s="197">
        <f t="shared" si="75"/>
        <v>0</v>
      </c>
      <c r="AT162" s="197">
        <f t="shared" si="74"/>
        <v>0</v>
      </c>
      <c r="AU162" s="33"/>
      <c r="AV162" s="33"/>
      <c r="AW162" s="33"/>
      <c r="AX162" s="33"/>
      <c r="AY162" s="76"/>
    </row>
    <row r="163" spans="3:51">
      <c r="C163" s="169" t="s">
        <v>38</v>
      </c>
      <c r="D163" s="4">
        <v>0.48</v>
      </c>
      <c r="E163" s="191" t="s">
        <v>229</v>
      </c>
      <c r="I163" s="55">
        <v>158</v>
      </c>
      <c r="J163" s="33">
        <f t="shared" si="92"/>
        <v>0</v>
      </c>
      <c r="K163" s="33">
        <f t="shared" si="93"/>
        <v>0</v>
      </c>
      <c r="L163" s="33">
        <f t="shared" si="94"/>
        <v>0</v>
      </c>
      <c r="M163" s="33">
        <f t="shared" si="95"/>
        <v>0</v>
      </c>
      <c r="N163" s="33">
        <f t="shared" si="76"/>
        <v>0</v>
      </c>
      <c r="O163" s="34">
        <f t="shared" si="77"/>
        <v>0</v>
      </c>
      <c r="P163" s="55">
        <v>158</v>
      </c>
      <c r="Q163" s="33">
        <f t="shared" si="90"/>
        <v>0</v>
      </c>
      <c r="R163" s="33">
        <f t="shared" si="96"/>
        <v>0</v>
      </c>
      <c r="S163" s="33">
        <f t="shared" si="97"/>
        <v>0</v>
      </c>
      <c r="T163" s="33">
        <f t="shared" si="78"/>
        <v>0</v>
      </c>
      <c r="U163" s="33">
        <f t="shared" si="91"/>
        <v>0</v>
      </c>
      <c r="V163" s="33">
        <f t="shared" si="79"/>
        <v>0</v>
      </c>
      <c r="W163" s="33">
        <v>0</v>
      </c>
      <c r="X163" s="33">
        <f t="shared" si="80"/>
        <v>0</v>
      </c>
      <c r="Y163" s="38">
        <f t="shared" si="81"/>
        <v>0</v>
      </c>
      <c r="AA163" s="71">
        <v>158</v>
      </c>
      <c r="AB163" s="33">
        <f t="shared" si="82"/>
        <v>0</v>
      </c>
      <c r="AC163" s="308">
        <f t="shared" si="102"/>
        <v>0</v>
      </c>
      <c r="AD163" s="101">
        <f t="shared" si="83"/>
        <v>0</v>
      </c>
      <c r="AE163" s="101">
        <f t="shared" si="84"/>
        <v>0</v>
      </c>
      <c r="AF163" s="197">
        <f t="shared" si="98"/>
        <v>0</v>
      </c>
      <c r="AG163" s="197">
        <f t="shared" si="99"/>
        <v>0</v>
      </c>
      <c r="AH163" s="197">
        <f t="shared" si="100"/>
        <v>0</v>
      </c>
      <c r="AI163" s="202">
        <f t="shared" si="101"/>
        <v>0</v>
      </c>
      <c r="AK163" s="71">
        <v>158</v>
      </c>
      <c r="AL163" s="33">
        <f t="shared" si="85"/>
        <v>0</v>
      </c>
      <c r="AM163" s="33">
        <f t="shared" si="86"/>
        <v>0</v>
      </c>
      <c r="AN163" s="33">
        <f t="shared" si="87"/>
        <v>0</v>
      </c>
      <c r="AO163" s="33">
        <f t="shared" si="88"/>
        <v>0</v>
      </c>
      <c r="AP163" s="33">
        <f t="shared" si="89"/>
        <v>0</v>
      </c>
      <c r="AQ163" s="197">
        <f t="shared" si="75"/>
        <v>0</v>
      </c>
      <c r="AR163" s="197">
        <f t="shared" si="75"/>
        <v>0</v>
      </c>
      <c r="AS163" s="197">
        <f t="shared" si="75"/>
        <v>0</v>
      </c>
      <c r="AT163" s="197">
        <f t="shared" si="74"/>
        <v>0</v>
      </c>
      <c r="AU163" s="33"/>
      <c r="AV163" s="33"/>
      <c r="AW163" s="33"/>
      <c r="AX163" s="33"/>
      <c r="AY163" s="76"/>
    </row>
    <row r="164" spans="3:51">
      <c r="C164" s="169" t="s">
        <v>39</v>
      </c>
      <c r="D164" s="4">
        <v>0.42</v>
      </c>
      <c r="E164" s="191" t="s">
        <v>229</v>
      </c>
      <c r="I164" s="55">
        <v>159</v>
      </c>
      <c r="J164" s="33">
        <f t="shared" si="92"/>
        <v>0</v>
      </c>
      <c r="K164" s="33">
        <f t="shared" si="93"/>
        <v>0</v>
      </c>
      <c r="L164" s="33">
        <f t="shared" si="94"/>
        <v>0</v>
      </c>
      <c r="M164" s="33">
        <f t="shared" si="95"/>
        <v>0</v>
      </c>
      <c r="N164" s="33">
        <f t="shared" si="76"/>
        <v>0</v>
      </c>
      <c r="O164" s="34">
        <f t="shared" si="77"/>
        <v>0</v>
      </c>
      <c r="P164" s="55">
        <v>159</v>
      </c>
      <c r="Q164" s="33">
        <f t="shared" si="90"/>
        <v>0</v>
      </c>
      <c r="R164" s="33">
        <f t="shared" si="96"/>
        <v>0</v>
      </c>
      <c r="S164" s="33">
        <f t="shared" si="97"/>
        <v>0</v>
      </c>
      <c r="T164" s="33">
        <f t="shared" si="78"/>
        <v>0</v>
      </c>
      <c r="U164" s="33">
        <f t="shared" si="91"/>
        <v>0</v>
      </c>
      <c r="V164" s="33">
        <f t="shared" si="79"/>
        <v>0</v>
      </c>
      <c r="W164" s="33">
        <v>0</v>
      </c>
      <c r="X164" s="33">
        <f t="shared" si="80"/>
        <v>0</v>
      </c>
      <c r="Y164" s="38">
        <f t="shared" si="81"/>
        <v>0</v>
      </c>
      <c r="AA164" s="71">
        <v>159</v>
      </c>
      <c r="AB164" s="33">
        <f t="shared" si="82"/>
        <v>0</v>
      </c>
      <c r="AC164" s="308">
        <f t="shared" si="102"/>
        <v>0</v>
      </c>
      <c r="AD164" s="101">
        <f t="shared" si="83"/>
        <v>0</v>
      </c>
      <c r="AE164" s="101">
        <f t="shared" si="84"/>
        <v>0</v>
      </c>
      <c r="AF164" s="197">
        <f t="shared" si="98"/>
        <v>0</v>
      </c>
      <c r="AG164" s="197">
        <f t="shared" si="99"/>
        <v>0</v>
      </c>
      <c r="AH164" s="197">
        <f t="shared" si="100"/>
        <v>0</v>
      </c>
      <c r="AI164" s="202">
        <f t="shared" si="101"/>
        <v>0</v>
      </c>
      <c r="AK164" s="71">
        <v>159</v>
      </c>
      <c r="AL164" s="33">
        <f t="shared" si="85"/>
        <v>0</v>
      </c>
      <c r="AM164" s="33">
        <f t="shared" si="86"/>
        <v>0</v>
      </c>
      <c r="AN164" s="33">
        <f t="shared" si="87"/>
        <v>0</v>
      </c>
      <c r="AO164" s="33">
        <f t="shared" si="88"/>
        <v>0</v>
      </c>
      <c r="AP164" s="33">
        <f t="shared" si="89"/>
        <v>0</v>
      </c>
      <c r="AQ164" s="197">
        <f t="shared" si="75"/>
        <v>0</v>
      </c>
      <c r="AR164" s="197">
        <f t="shared" si="75"/>
        <v>0</v>
      </c>
      <c r="AS164" s="197">
        <f t="shared" si="75"/>
        <v>0</v>
      </c>
      <c r="AT164" s="197">
        <f t="shared" si="74"/>
        <v>0</v>
      </c>
      <c r="AU164" s="33"/>
      <c r="AV164" s="33"/>
      <c r="AW164" s="33"/>
      <c r="AX164" s="33"/>
      <c r="AY164" s="76"/>
    </row>
    <row r="165" spans="3:51">
      <c r="C165" s="169" t="s">
        <v>40</v>
      </c>
      <c r="D165" s="4">
        <v>0.5</v>
      </c>
      <c r="E165" s="191" t="s">
        <v>228</v>
      </c>
      <c r="I165" s="55">
        <v>160</v>
      </c>
      <c r="J165" s="33">
        <f t="shared" si="92"/>
        <v>0</v>
      </c>
      <c r="K165" s="33">
        <f t="shared" si="93"/>
        <v>0</v>
      </c>
      <c r="L165" s="33">
        <f t="shared" si="94"/>
        <v>0</v>
      </c>
      <c r="M165" s="33">
        <f t="shared" si="95"/>
        <v>0</v>
      </c>
      <c r="N165" s="33">
        <f t="shared" si="76"/>
        <v>0</v>
      </c>
      <c r="O165" s="34">
        <f t="shared" si="77"/>
        <v>0</v>
      </c>
      <c r="P165" s="55">
        <v>160</v>
      </c>
      <c r="Q165" s="33">
        <f t="shared" si="90"/>
        <v>0</v>
      </c>
      <c r="R165" s="33">
        <f t="shared" si="96"/>
        <v>0</v>
      </c>
      <c r="S165" s="33">
        <f t="shared" si="97"/>
        <v>0</v>
      </c>
      <c r="T165" s="33">
        <f t="shared" si="78"/>
        <v>0</v>
      </c>
      <c r="U165" s="33">
        <f t="shared" si="91"/>
        <v>0</v>
      </c>
      <c r="V165" s="33">
        <f t="shared" si="79"/>
        <v>0</v>
      </c>
      <c r="W165" s="33">
        <v>0</v>
      </c>
      <c r="X165" s="33">
        <f t="shared" si="80"/>
        <v>0</v>
      </c>
      <c r="Y165" s="38">
        <f t="shared" si="81"/>
        <v>0</v>
      </c>
      <c r="AA165" s="71">
        <v>160</v>
      </c>
      <c r="AB165" s="33">
        <f t="shared" si="82"/>
        <v>0</v>
      </c>
      <c r="AC165" s="308">
        <f t="shared" si="102"/>
        <v>0</v>
      </c>
      <c r="AD165" s="101">
        <f t="shared" si="83"/>
        <v>0</v>
      </c>
      <c r="AE165" s="101">
        <f t="shared" si="84"/>
        <v>0</v>
      </c>
      <c r="AF165" s="197">
        <f t="shared" si="98"/>
        <v>0</v>
      </c>
      <c r="AG165" s="197">
        <f t="shared" si="99"/>
        <v>0</v>
      </c>
      <c r="AH165" s="197">
        <f t="shared" si="100"/>
        <v>0</v>
      </c>
      <c r="AI165" s="202">
        <f t="shared" si="101"/>
        <v>0</v>
      </c>
      <c r="AK165" s="71">
        <v>160</v>
      </c>
      <c r="AL165" s="33">
        <f t="shared" si="85"/>
        <v>0</v>
      </c>
      <c r="AM165" s="33">
        <f t="shared" si="86"/>
        <v>0</v>
      </c>
      <c r="AN165" s="33">
        <f t="shared" si="87"/>
        <v>0</v>
      </c>
      <c r="AO165" s="33">
        <f t="shared" si="88"/>
        <v>0</v>
      </c>
      <c r="AP165" s="33">
        <f t="shared" si="89"/>
        <v>0</v>
      </c>
      <c r="AQ165" s="197">
        <f t="shared" si="75"/>
        <v>0</v>
      </c>
      <c r="AR165" s="197">
        <f t="shared" si="75"/>
        <v>0</v>
      </c>
      <c r="AS165" s="197">
        <f t="shared" si="75"/>
        <v>0</v>
      </c>
      <c r="AT165" s="197">
        <f t="shared" si="74"/>
        <v>0</v>
      </c>
      <c r="AU165" s="33"/>
      <c r="AV165" s="33"/>
      <c r="AW165" s="33"/>
      <c r="AX165" s="33"/>
      <c r="AY165" s="76"/>
    </row>
    <row r="166" spans="3:51">
      <c r="C166" s="169" t="s">
        <v>41</v>
      </c>
      <c r="D166" s="4">
        <v>0.55000000000000004</v>
      </c>
      <c r="E166" s="191" t="s">
        <v>228</v>
      </c>
      <c r="I166" s="55">
        <v>161</v>
      </c>
      <c r="J166" s="33">
        <f t="shared" si="92"/>
        <v>0</v>
      </c>
      <c r="K166" s="33">
        <f t="shared" si="93"/>
        <v>0</v>
      </c>
      <c r="L166" s="33">
        <f t="shared" si="94"/>
        <v>0</v>
      </c>
      <c r="M166" s="33">
        <f t="shared" si="95"/>
        <v>0</v>
      </c>
      <c r="N166" s="33">
        <f t="shared" si="76"/>
        <v>0</v>
      </c>
      <c r="O166" s="34">
        <f t="shared" si="77"/>
        <v>0</v>
      </c>
      <c r="P166" s="55">
        <v>161</v>
      </c>
      <c r="Q166" s="33">
        <f t="shared" si="90"/>
        <v>0</v>
      </c>
      <c r="R166" s="33">
        <f t="shared" si="96"/>
        <v>0</v>
      </c>
      <c r="S166" s="33">
        <f t="shared" si="97"/>
        <v>0</v>
      </c>
      <c r="T166" s="33">
        <f t="shared" si="78"/>
        <v>0</v>
      </c>
      <c r="U166" s="33">
        <f t="shared" si="91"/>
        <v>0</v>
      </c>
      <c r="V166" s="33">
        <f t="shared" si="79"/>
        <v>0</v>
      </c>
      <c r="W166" s="33">
        <v>0</v>
      </c>
      <c r="X166" s="33">
        <f t="shared" si="80"/>
        <v>0</v>
      </c>
      <c r="Y166" s="38">
        <f t="shared" si="81"/>
        <v>0</v>
      </c>
      <c r="AA166" s="71">
        <v>161</v>
      </c>
      <c r="AB166" s="33">
        <f t="shared" si="82"/>
        <v>0</v>
      </c>
      <c r="AC166" s="308">
        <f t="shared" si="102"/>
        <v>0</v>
      </c>
      <c r="AD166" s="101">
        <f t="shared" si="83"/>
        <v>0</v>
      </c>
      <c r="AE166" s="101">
        <f t="shared" si="84"/>
        <v>0</v>
      </c>
      <c r="AF166" s="197">
        <f t="shared" si="98"/>
        <v>0</v>
      </c>
      <c r="AG166" s="197">
        <f t="shared" si="99"/>
        <v>0</v>
      </c>
      <c r="AH166" s="197">
        <f t="shared" si="100"/>
        <v>0</v>
      </c>
      <c r="AI166" s="202">
        <f t="shared" si="101"/>
        <v>0</v>
      </c>
      <c r="AK166" s="71">
        <v>161</v>
      </c>
      <c r="AL166" s="33">
        <f t="shared" si="85"/>
        <v>0</v>
      </c>
      <c r="AM166" s="33">
        <f t="shared" si="86"/>
        <v>0</v>
      </c>
      <c r="AN166" s="33">
        <f t="shared" si="87"/>
        <v>0</v>
      </c>
      <c r="AO166" s="33">
        <f t="shared" si="88"/>
        <v>0</v>
      </c>
      <c r="AP166" s="33">
        <f t="shared" si="89"/>
        <v>0</v>
      </c>
      <c r="AQ166" s="197">
        <f t="shared" si="75"/>
        <v>0</v>
      </c>
      <c r="AR166" s="197">
        <f t="shared" si="75"/>
        <v>0</v>
      </c>
      <c r="AS166" s="197">
        <f t="shared" si="75"/>
        <v>0</v>
      </c>
      <c r="AT166" s="197">
        <f t="shared" si="74"/>
        <v>0</v>
      </c>
      <c r="AU166" s="33"/>
      <c r="AV166" s="33"/>
      <c r="AW166" s="33"/>
      <c r="AX166" s="33"/>
      <c r="AY166" s="76"/>
    </row>
    <row r="167" spans="3:51">
      <c r="C167" s="169" t="s">
        <v>42</v>
      </c>
      <c r="D167" s="4">
        <v>0.53</v>
      </c>
      <c r="E167" s="191" t="s">
        <v>228</v>
      </c>
      <c r="I167" s="55">
        <v>162</v>
      </c>
      <c r="J167" s="33">
        <f t="shared" si="92"/>
        <v>0</v>
      </c>
      <c r="K167" s="33">
        <f t="shared" si="93"/>
        <v>0</v>
      </c>
      <c r="L167" s="33">
        <f t="shared" si="94"/>
        <v>0</v>
      </c>
      <c r="M167" s="33">
        <f t="shared" si="95"/>
        <v>0</v>
      </c>
      <c r="N167" s="33">
        <f t="shared" si="76"/>
        <v>0</v>
      </c>
      <c r="O167" s="34">
        <f t="shared" si="77"/>
        <v>0</v>
      </c>
      <c r="P167" s="55">
        <v>162</v>
      </c>
      <c r="Q167" s="33">
        <f t="shared" si="90"/>
        <v>0</v>
      </c>
      <c r="R167" s="33">
        <f t="shared" si="96"/>
        <v>0</v>
      </c>
      <c r="S167" s="33">
        <f t="shared" si="97"/>
        <v>0</v>
      </c>
      <c r="T167" s="33">
        <f t="shared" si="78"/>
        <v>0</v>
      </c>
      <c r="U167" s="33">
        <f t="shared" si="91"/>
        <v>0</v>
      </c>
      <c r="V167" s="33">
        <f t="shared" si="79"/>
        <v>0</v>
      </c>
      <c r="W167" s="33">
        <v>0</v>
      </c>
      <c r="X167" s="33">
        <f t="shared" si="80"/>
        <v>0</v>
      </c>
      <c r="Y167" s="38">
        <f t="shared" si="81"/>
        <v>0</v>
      </c>
      <c r="AA167" s="71">
        <v>162</v>
      </c>
      <c r="AB167" s="33">
        <f t="shared" si="82"/>
        <v>0</v>
      </c>
      <c r="AC167" s="308">
        <f t="shared" si="102"/>
        <v>0</v>
      </c>
      <c r="AD167" s="101">
        <f t="shared" si="83"/>
        <v>0</v>
      </c>
      <c r="AE167" s="101">
        <f t="shared" si="84"/>
        <v>0</v>
      </c>
      <c r="AF167" s="197">
        <f t="shared" si="98"/>
        <v>0</v>
      </c>
      <c r="AG167" s="197">
        <f t="shared" si="99"/>
        <v>0</v>
      </c>
      <c r="AH167" s="197">
        <f t="shared" si="100"/>
        <v>0</v>
      </c>
      <c r="AI167" s="202">
        <f t="shared" si="101"/>
        <v>0</v>
      </c>
      <c r="AK167" s="71">
        <v>162</v>
      </c>
      <c r="AL167" s="33">
        <f t="shared" si="85"/>
        <v>0</v>
      </c>
      <c r="AM167" s="33">
        <f t="shared" si="86"/>
        <v>0</v>
      </c>
      <c r="AN167" s="33">
        <f t="shared" si="87"/>
        <v>0</v>
      </c>
      <c r="AO167" s="33">
        <f t="shared" si="88"/>
        <v>0</v>
      </c>
      <c r="AP167" s="33">
        <f t="shared" si="89"/>
        <v>0</v>
      </c>
      <c r="AQ167" s="197">
        <f t="shared" si="75"/>
        <v>0</v>
      </c>
      <c r="AR167" s="197">
        <f t="shared" si="75"/>
        <v>0</v>
      </c>
      <c r="AS167" s="197">
        <f t="shared" si="75"/>
        <v>0</v>
      </c>
      <c r="AT167" s="197">
        <f t="shared" si="74"/>
        <v>0</v>
      </c>
      <c r="AU167" s="33"/>
      <c r="AV167" s="33"/>
      <c r="AW167" s="33"/>
      <c r="AX167" s="33"/>
      <c r="AY167" s="76"/>
    </row>
    <row r="168" spans="3:51">
      <c r="C168" s="169" t="s">
        <v>43</v>
      </c>
      <c r="D168" s="4">
        <v>0.52</v>
      </c>
      <c r="E168" s="191" t="s">
        <v>228</v>
      </c>
      <c r="I168" s="55">
        <v>163</v>
      </c>
      <c r="J168" s="33">
        <f t="shared" si="92"/>
        <v>0</v>
      </c>
      <c r="K168" s="33">
        <f t="shared" si="93"/>
        <v>0</v>
      </c>
      <c r="L168" s="33">
        <f t="shared" si="94"/>
        <v>0</v>
      </c>
      <c r="M168" s="33">
        <f t="shared" si="95"/>
        <v>0</v>
      </c>
      <c r="N168" s="33">
        <f t="shared" si="76"/>
        <v>0</v>
      </c>
      <c r="O168" s="34">
        <f t="shared" si="77"/>
        <v>0</v>
      </c>
      <c r="P168" s="55">
        <v>163</v>
      </c>
      <c r="Q168" s="33">
        <f t="shared" si="90"/>
        <v>0</v>
      </c>
      <c r="R168" s="33">
        <f t="shared" si="96"/>
        <v>0</v>
      </c>
      <c r="S168" s="33">
        <f t="shared" si="97"/>
        <v>0</v>
      </c>
      <c r="T168" s="33">
        <f t="shared" si="78"/>
        <v>0</v>
      </c>
      <c r="U168" s="33">
        <f t="shared" si="91"/>
        <v>0</v>
      </c>
      <c r="V168" s="33">
        <f t="shared" si="79"/>
        <v>0</v>
      </c>
      <c r="W168" s="33">
        <v>0</v>
      </c>
      <c r="X168" s="33">
        <f t="shared" si="80"/>
        <v>0</v>
      </c>
      <c r="Y168" s="38">
        <f t="shared" si="81"/>
        <v>0</v>
      </c>
      <c r="AA168" s="71">
        <v>163</v>
      </c>
      <c r="AB168" s="33">
        <f t="shared" si="82"/>
        <v>0</v>
      </c>
      <c r="AC168" s="308">
        <f t="shared" si="102"/>
        <v>0</v>
      </c>
      <c r="AD168" s="101">
        <f t="shared" si="83"/>
        <v>0</v>
      </c>
      <c r="AE168" s="101">
        <f t="shared" si="84"/>
        <v>0</v>
      </c>
      <c r="AF168" s="197">
        <f t="shared" si="98"/>
        <v>0</v>
      </c>
      <c r="AG168" s="197">
        <f t="shared" si="99"/>
        <v>0</v>
      </c>
      <c r="AH168" s="197">
        <f t="shared" si="100"/>
        <v>0</v>
      </c>
      <c r="AI168" s="202">
        <f t="shared" si="101"/>
        <v>0</v>
      </c>
      <c r="AK168" s="71">
        <v>163</v>
      </c>
      <c r="AL168" s="33">
        <f t="shared" si="85"/>
        <v>0</v>
      </c>
      <c r="AM168" s="33">
        <f t="shared" si="86"/>
        <v>0</v>
      </c>
      <c r="AN168" s="33">
        <f t="shared" si="87"/>
        <v>0</v>
      </c>
      <c r="AO168" s="33">
        <f t="shared" si="88"/>
        <v>0</v>
      </c>
      <c r="AP168" s="33">
        <f t="shared" si="89"/>
        <v>0</v>
      </c>
      <c r="AQ168" s="197">
        <f t="shared" si="75"/>
        <v>0</v>
      </c>
      <c r="AR168" s="197">
        <f t="shared" si="75"/>
        <v>0</v>
      </c>
      <c r="AS168" s="197">
        <f t="shared" si="75"/>
        <v>0</v>
      </c>
      <c r="AT168" s="197">
        <f t="shared" si="74"/>
        <v>0</v>
      </c>
      <c r="AU168" s="33"/>
      <c r="AV168" s="33"/>
      <c r="AW168" s="33"/>
      <c r="AX168" s="33"/>
      <c r="AY168" s="76"/>
    </row>
    <row r="169" spans="3:51">
      <c r="C169" s="169" t="s">
        <v>44</v>
      </c>
      <c r="D169" s="4">
        <v>0.52</v>
      </c>
      <c r="E169" s="191" t="s">
        <v>228</v>
      </c>
      <c r="I169" s="55">
        <v>164</v>
      </c>
      <c r="J169" s="33">
        <f t="shared" si="92"/>
        <v>0</v>
      </c>
      <c r="K169" s="33">
        <f t="shared" si="93"/>
        <v>0</v>
      </c>
      <c r="L169" s="33">
        <f t="shared" si="94"/>
        <v>0</v>
      </c>
      <c r="M169" s="33">
        <f t="shared" si="95"/>
        <v>0</v>
      </c>
      <c r="N169" s="33">
        <f t="shared" si="76"/>
        <v>0</v>
      </c>
      <c r="O169" s="34">
        <f t="shared" si="77"/>
        <v>0</v>
      </c>
      <c r="P169" s="55">
        <v>164</v>
      </c>
      <c r="Q169" s="33">
        <f t="shared" si="90"/>
        <v>0</v>
      </c>
      <c r="R169" s="33">
        <f t="shared" si="96"/>
        <v>0</v>
      </c>
      <c r="S169" s="33">
        <f t="shared" si="97"/>
        <v>0</v>
      </c>
      <c r="T169" s="33">
        <f t="shared" si="78"/>
        <v>0</v>
      </c>
      <c r="U169" s="33">
        <f t="shared" si="91"/>
        <v>0</v>
      </c>
      <c r="V169" s="33">
        <f t="shared" si="79"/>
        <v>0</v>
      </c>
      <c r="W169" s="33">
        <v>0</v>
      </c>
      <c r="X169" s="33">
        <f t="shared" si="80"/>
        <v>0</v>
      </c>
      <c r="Y169" s="38">
        <f t="shared" si="81"/>
        <v>0</v>
      </c>
      <c r="AA169" s="71">
        <v>164</v>
      </c>
      <c r="AB169" s="33">
        <f t="shared" si="82"/>
        <v>0</v>
      </c>
      <c r="AC169" s="308">
        <f t="shared" si="102"/>
        <v>0</v>
      </c>
      <c r="AD169" s="101">
        <f t="shared" si="83"/>
        <v>0</v>
      </c>
      <c r="AE169" s="101">
        <f t="shared" si="84"/>
        <v>0</v>
      </c>
      <c r="AF169" s="197">
        <f t="shared" si="98"/>
        <v>0</v>
      </c>
      <c r="AG169" s="197">
        <f t="shared" si="99"/>
        <v>0</v>
      </c>
      <c r="AH169" s="197">
        <f t="shared" si="100"/>
        <v>0</v>
      </c>
      <c r="AI169" s="202">
        <f t="shared" si="101"/>
        <v>0</v>
      </c>
      <c r="AK169" s="71">
        <v>164</v>
      </c>
      <c r="AL169" s="33">
        <f t="shared" si="85"/>
        <v>0</v>
      </c>
      <c r="AM169" s="33">
        <f t="shared" si="86"/>
        <v>0</v>
      </c>
      <c r="AN169" s="33">
        <f t="shared" si="87"/>
        <v>0</v>
      </c>
      <c r="AO169" s="33">
        <f t="shared" si="88"/>
        <v>0</v>
      </c>
      <c r="AP169" s="33">
        <f t="shared" si="89"/>
        <v>0</v>
      </c>
      <c r="AQ169" s="197">
        <f t="shared" si="75"/>
        <v>0</v>
      </c>
      <c r="AR169" s="197">
        <f t="shared" si="75"/>
        <v>0</v>
      </c>
      <c r="AS169" s="197">
        <f t="shared" si="75"/>
        <v>0</v>
      </c>
      <c r="AT169" s="197">
        <f t="shared" si="75"/>
        <v>0</v>
      </c>
      <c r="AU169" s="33"/>
      <c r="AV169" s="33"/>
      <c r="AW169" s="33"/>
      <c r="AX169" s="33"/>
      <c r="AY169" s="76"/>
    </row>
    <row r="170" spans="3:51">
      <c r="C170" s="169" t="s">
        <v>45</v>
      </c>
      <c r="D170" s="4">
        <v>0.75</v>
      </c>
      <c r="E170" s="191" t="s">
        <v>228</v>
      </c>
      <c r="I170" s="55">
        <v>165</v>
      </c>
      <c r="J170" s="33">
        <f t="shared" si="92"/>
        <v>0</v>
      </c>
      <c r="K170" s="33">
        <f t="shared" si="93"/>
        <v>0</v>
      </c>
      <c r="L170" s="33">
        <f t="shared" si="94"/>
        <v>0</v>
      </c>
      <c r="M170" s="33">
        <f t="shared" si="95"/>
        <v>0</v>
      </c>
      <c r="N170" s="33">
        <f t="shared" si="76"/>
        <v>0</v>
      </c>
      <c r="O170" s="34">
        <f t="shared" si="77"/>
        <v>0</v>
      </c>
      <c r="P170" s="55">
        <v>165</v>
      </c>
      <c r="Q170" s="33">
        <f t="shared" si="90"/>
        <v>0</v>
      </c>
      <c r="R170" s="33">
        <f t="shared" si="96"/>
        <v>0</v>
      </c>
      <c r="S170" s="33">
        <f t="shared" si="97"/>
        <v>0</v>
      </c>
      <c r="T170" s="33">
        <f t="shared" si="78"/>
        <v>0</v>
      </c>
      <c r="U170" s="33">
        <f t="shared" si="91"/>
        <v>0</v>
      </c>
      <c r="V170" s="33">
        <f t="shared" si="79"/>
        <v>0</v>
      </c>
      <c r="W170" s="33">
        <v>0</v>
      </c>
      <c r="X170" s="33">
        <f t="shared" si="80"/>
        <v>0</v>
      </c>
      <c r="Y170" s="38">
        <f t="shared" si="81"/>
        <v>0</v>
      </c>
      <c r="AA170" s="71">
        <v>165</v>
      </c>
      <c r="AB170" s="33">
        <f t="shared" si="82"/>
        <v>0</v>
      </c>
      <c r="AC170" s="308">
        <f t="shared" si="102"/>
        <v>0</v>
      </c>
      <c r="AD170" s="101">
        <f t="shared" si="83"/>
        <v>0</v>
      </c>
      <c r="AE170" s="101">
        <f t="shared" si="84"/>
        <v>0</v>
      </c>
      <c r="AF170" s="197">
        <f t="shared" si="98"/>
        <v>0</v>
      </c>
      <c r="AG170" s="197">
        <f t="shared" si="99"/>
        <v>0</v>
      </c>
      <c r="AH170" s="197">
        <f t="shared" si="100"/>
        <v>0</v>
      </c>
      <c r="AI170" s="202">
        <f t="shared" si="101"/>
        <v>0</v>
      </c>
      <c r="AK170" s="71">
        <v>165</v>
      </c>
      <c r="AL170" s="33">
        <f t="shared" si="85"/>
        <v>0</v>
      </c>
      <c r="AM170" s="33">
        <f t="shared" si="86"/>
        <v>0</v>
      </c>
      <c r="AN170" s="33">
        <f t="shared" si="87"/>
        <v>0</v>
      </c>
      <c r="AO170" s="33">
        <f t="shared" si="88"/>
        <v>0</v>
      </c>
      <c r="AP170" s="33">
        <f t="shared" si="89"/>
        <v>0</v>
      </c>
      <c r="AQ170" s="197">
        <f t="shared" ref="AQ170:AT205" si="103">IF($AK170&lt;=$F$18,$AL170*AM170,)</f>
        <v>0</v>
      </c>
      <c r="AR170" s="197">
        <f t="shared" si="103"/>
        <v>0</v>
      </c>
      <c r="AS170" s="197">
        <f t="shared" si="103"/>
        <v>0</v>
      </c>
      <c r="AT170" s="197">
        <f t="shared" si="103"/>
        <v>0</v>
      </c>
      <c r="AU170" s="33"/>
      <c r="AV170" s="33"/>
      <c r="AW170" s="33"/>
      <c r="AX170" s="33"/>
      <c r="AY170" s="76"/>
    </row>
    <row r="171" spans="3:51">
      <c r="C171" s="169" t="s">
        <v>46</v>
      </c>
      <c r="D171" s="4">
        <v>0.52</v>
      </c>
      <c r="E171" s="191" t="s">
        <v>228</v>
      </c>
      <c r="I171" s="55">
        <v>166</v>
      </c>
      <c r="J171" s="33">
        <f t="shared" si="92"/>
        <v>0</v>
      </c>
      <c r="K171" s="33">
        <f t="shared" si="93"/>
        <v>0</v>
      </c>
      <c r="L171" s="33">
        <f t="shared" si="94"/>
        <v>0</v>
      </c>
      <c r="M171" s="33">
        <f t="shared" si="95"/>
        <v>0</v>
      </c>
      <c r="N171" s="33">
        <f t="shared" si="76"/>
        <v>0</v>
      </c>
      <c r="O171" s="34">
        <f t="shared" si="77"/>
        <v>0</v>
      </c>
      <c r="P171" s="55">
        <v>166</v>
      </c>
      <c r="Q171" s="33">
        <f t="shared" si="90"/>
        <v>0</v>
      </c>
      <c r="R171" s="33">
        <f t="shared" si="96"/>
        <v>0</v>
      </c>
      <c r="S171" s="33">
        <f t="shared" si="97"/>
        <v>0</v>
      </c>
      <c r="T171" s="33">
        <f t="shared" si="78"/>
        <v>0</v>
      </c>
      <c r="U171" s="33">
        <f t="shared" si="91"/>
        <v>0</v>
      </c>
      <c r="V171" s="33">
        <f t="shared" si="79"/>
        <v>0</v>
      </c>
      <c r="W171" s="33">
        <v>0</v>
      </c>
      <c r="X171" s="33">
        <f t="shared" si="80"/>
        <v>0</v>
      </c>
      <c r="Y171" s="38">
        <f t="shared" si="81"/>
        <v>0</v>
      </c>
      <c r="AA171" s="71">
        <v>166</v>
      </c>
      <c r="AB171" s="33">
        <f t="shared" si="82"/>
        <v>0</v>
      </c>
      <c r="AC171" s="308">
        <f t="shared" si="102"/>
        <v>0</v>
      </c>
      <c r="AD171" s="101">
        <f t="shared" si="83"/>
        <v>0</v>
      </c>
      <c r="AE171" s="101">
        <f t="shared" si="84"/>
        <v>0</v>
      </c>
      <c r="AF171" s="197">
        <f t="shared" si="98"/>
        <v>0</v>
      </c>
      <c r="AG171" s="197">
        <f t="shared" si="99"/>
        <v>0</v>
      </c>
      <c r="AH171" s="197">
        <f t="shared" si="100"/>
        <v>0</v>
      </c>
      <c r="AI171" s="202">
        <f t="shared" si="101"/>
        <v>0</v>
      </c>
      <c r="AK171" s="71">
        <v>166</v>
      </c>
      <c r="AL171" s="33">
        <f t="shared" si="85"/>
        <v>0</v>
      </c>
      <c r="AM171" s="33">
        <f t="shared" si="86"/>
        <v>0</v>
      </c>
      <c r="AN171" s="33">
        <f t="shared" si="87"/>
        <v>0</v>
      </c>
      <c r="AO171" s="33">
        <f t="shared" si="88"/>
        <v>0</v>
      </c>
      <c r="AP171" s="33">
        <f t="shared" si="89"/>
        <v>0</v>
      </c>
      <c r="AQ171" s="197">
        <f t="shared" si="103"/>
        <v>0</v>
      </c>
      <c r="AR171" s="197">
        <f t="shared" si="103"/>
        <v>0</v>
      </c>
      <c r="AS171" s="197">
        <f t="shared" si="103"/>
        <v>0</v>
      </c>
      <c r="AT171" s="197">
        <f t="shared" si="103"/>
        <v>0</v>
      </c>
      <c r="AU171" s="33"/>
      <c r="AV171" s="33"/>
      <c r="AW171" s="33"/>
      <c r="AX171" s="33"/>
      <c r="AY171" s="76"/>
    </row>
    <row r="172" spans="3:51">
      <c r="C172" s="169" t="s">
        <v>47</v>
      </c>
      <c r="D172" s="4">
        <v>0.35</v>
      </c>
      <c r="E172" s="191" t="s">
        <v>230</v>
      </c>
      <c r="I172" s="55">
        <v>167</v>
      </c>
      <c r="J172" s="33">
        <f t="shared" si="92"/>
        <v>0</v>
      </c>
      <c r="K172" s="33">
        <f t="shared" si="93"/>
        <v>0</v>
      </c>
      <c r="L172" s="33">
        <f t="shared" si="94"/>
        <v>0</v>
      </c>
      <c r="M172" s="33">
        <f t="shared" si="95"/>
        <v>0</v>
      </c>
      <c r="N172" s="33">
        <f t="shared" si="76"/>
        <v>0</v>
      </c>
      <c r="O172" s="34">
        <f t="shared" si="77"/>
        <v>0</v>
      </c>
      <c r="P172" s="55">
        <v>167</v>
      </c>
      <c r="Q172" s="33">
        <f t="shared" si="90"/>
        <v>0</v>
      </c>
      <c r="R172" s="33">
        <f t="shared" si="96"/>
        <v>0</v>
      </c>
      <c r="S172" s="33">
        <f t="shared" si="97"/>
        <v>0</v>
      </c>
      <c r="T172" s="33">
        <f t="shared" si="78"/>
        <v>0</v>
      </c>
      <c r="U172" s="33">
        <f t="shared" si="91"/>
        <v>0</v>
      </c>
      <c r="V172" s="33">
        <f t="shared" si="79"/>
        <v>0</v>
      </c>
      <c r="W172" s="33">
        <v>0</v>
      </c>
      <c r="X172" s="33">
        <f t="shared" si="80"/>
        <v>0</v>
      </c>
      <c r="Y172" s="38">
        <f t="shared" si="81"/>
        <v>0</v>
      </c>
      <c r="AA172" s="71">
        <v>167</v>
      </c>
      <c r="AB172" s="33">
        <f t="shared" si="82"/>
        <v>0</v>
      </c>
      <c r="AC172" s="308">
        <f t="shared" si="102"/>
        <v>0</v>
      </c>
      <c r="AD172" s="101">
        <f t="shared" si="83"/>
        <v>0</v>
      </c>
      <c r="AE172" s="101">
        <f t="shared" si="84"/>
        <v>0</v>
      </c>
      <c r="AF172" s="197">
        <f t="shared" si="98"/>
        <v>0</v>
      </c>
      <c r="AG172" s="197">
        <f t="shared" si="99"/>
        <v>0</v>
      </c>
      <c r="AH172" s="197">
        <f t="shared" si="100"/>
        <v>0</v>
      </c>
      <c r="AI172" s="202">
        <f t="shared" si="101"/>
        <v>0</v>
      </c>
      <c r="AK172" s="71">
        <v>167</v>
      </c>
      <c r="AL172" s="33">
        <f t="shared" si="85"/>
        <v>0</v>
      </c>
      <c r="AM172" s="33">
        <f t="shared" si="86"/>
        <v>0</v>
      </c>
      <c r="AN172" s="33">
        <f t="shared" si="87"/>
        <v>0</v>
      </c>
      <c r="AO172" s="33">
        <f t="shared" si="88"/>
        <v>0</v>
      </c>
      <c r="AP172" s="33">
        <f t="shared" si="89"/>
        <v>0</v>
      </c>
      <c r="AQ172" s="197">
        <f t="shared" si="103"/>
        <v>0</v>
      </c>
      <c r="AR172" s="197">
        <f t="shared" si="103"/>
        <v>0</v>
      </c>
      <c r="AS172" s="197">
        <f t="shared" si="103"/>
        <v>0</v>
      </c>
      <c r="AT172" s="197">
        <f t="shared" si="103"/>
        <v>0</v>
      </c>
      <c r="AU172" s="33"/>
      <c r="AV172" s="33"/>
      <c r="AW172" s="33"/>
      <c r="AX172" s="33"/>
      <c r="AY172" s="76"/>
    </row>
    <row r="173" spans="3:51">
      <c r="C173" s="169" t="s">
        <v>48</v>
      </c>
      <c r="D173" s="4">
        <v>0.37</v>
      </c>
      <c r="E173" s="191" t="s">
        <v>228</v>
      </c>
      <c r="I173" s="55">
        <v>168</v>
      </c>
      <c r="J173" s="33">
        <f t="shared" si="92"/>
        <v>0</v>
      </c>
      <c r="K173" s="33">
        <f t="shared" si="93"/>
        <v>0</v>
      </c>
      <c r="L173" s="33">
        <f t="shared" si="94"/>
        <v>0</v>
      </c>
      <c r="M173" s="33">
        <f t="shared" si="95"/>
        <v>0</v>
      </c>
      <c r="N173" s="33">
        <f t="shared" si="76"/>
        <v>0</v>
      </c>
      <c r="O173" s="34">
        <f t="shared" si="77"/>
        <v>0</v>
      </c>
      <c r="P173" s="55">
        <v>168</v>
      </c>
      <c r="Q173" s="33">
        <f t="shared" si="90"/>
        <v>0</v>
      </c>
      <c r="R173" s="33">
        <f t="shared" si="96"/>
        <v>0</v>
      </c>
      <c r="S173" s="33">
        <f t="shared" si="97"/>
        <v>0</v>
      </c>
      <c r="T173" s="33">
        <f t="shared" si="78"/>
        <v>0</v>
      </c>
      <c r="U173" s="33">
        <f t="shared" si="91"/>
        <v>0</v>
      </c>
      <c r="V173" s="33">
        <f t="shared" si="79"/>
        <v>0</v>
      </c>
      <c r="W173" s="33">
        <v>0</v>
      </c>
      <c r="X173" s="33">
        <f t="shared" si="80"/>
        <v>0</v>
      </c>
      <c r="Y173" s="38">
        <f t="shared" si="81"/>
        <v>0</v>
      </c>
      <c r="AA173" s="71">
        <v>168</v>
      </c>
      <c r="AB173" s="33">
        <f t="shared" si="82"/>
        <v>0</v>
      </c>
      <c r="AC173" s="308">
        <f t="shared" si="102"/>
        <v>0</v>
      </c>
      <c r="AD173" s="101">
        <f t="shared" si="83"/>
        <v>0</v>
      </c>
      <c r="AE173" s="101">
        <f t="shared" si="84"/>
        <v>0</v>
      </c>
      <c r="AF173" s="197">
        <f t="shared" si="98"/>
        <v>0</v>
      </c>
      <c r="AG173" s="197">
        <f t="shared" si="99"/>
        <v>0</v>
      </c>
      <c r="AH173" s="197">
        <f t="shared" si="100"/>
        <v>0</v>
      </c>
      <c r="AI173" s="202">
        <f t="shared" si="101"/>
        <v>0</v>
      </c>
      <c r="AK173" s="71">
        <v>168</v>
      </c>
      <c r="AL173" s="33">
        <f t="shared" si="85"/>
        <v>0</v>
      </c>
      <c r="AM173" s="33">
        <f t="shared" si="86"/>
        <v>0</v>
      </c>
      <c r="AN173" s="33">
        <f t="shared" si="87"/>
        <v>0</v>
      </c>
      <c r="AO173" s="33">
        <f t="shared" si="88"/>
        <v>0</v>
      </c>
      <c r="AP173" s="33">
        <f t="shared" si="89"/>
        <v>0</v>
      </c>
      <c r="AQ173" s="197">
        <f t="shared" si="103"/>
        <v>0</v>
      </c>
      <c r="AR173" s="197">
        <f t="shared" si="103"/>
        <v>0</v>
      </c>
      <c r="AS173" s="197">
        <f t="shared" si="103"/>
        <v>0</v>
      </c>
      <c r="AT173" s="197">
        <f t="shared" si="103"/>
        <v>0</v>
      </c>
      <c r="AU173" s="33"/>
      <c r="AV173" s="33"/>
      <c r="AW173" s="33"/>
      <c r="AX173" s="33"/>
      <c r="AY173" s="76"/>
    </row>
    <row r="174" spans="3:51">
      <c r="C174" s="169" t="s">
        <v>49</v>
      </c>
      <c r="D174" s="4">
        <v>0.45</v>
      </c>
      <c r="E174" s="191" t="s">
        <v>229</v>
      </c>
      <c r="I174" s="55">
        <v>169</v>
      </c>
      <c r="J174" s="33">
        <f t="shared" si="92"/>
        <v>0</v>
      </c>
      <c r="K174" s="33">
        <f t="shared" si="93"/>
        <v>0</v>
      </c>
      <c r="L174" s="33">
        <f t="shared" si="94"/>
        <v>0</v>
      </c>
      <c r="M174" s="33">
        <f t="shared" si="95"/>
        <v>0</v>
      </c>
      <c r="N174" s="33">
        <f t="shared" si="76"/>
        <v>0</v>
      </c>
      <c r="O174" s="34">
        <f t="shared" si="77"/>
        <v>0</v>
      </c>
      <c r="P174" s="55">
        <v>169</v>
      </c>
      <c r="Q174" s="33">
        <f t="shared" si="90"/>
        <v>0</v>
      </c>
      <c r="R174" s="33">
        <f t="shared" si="96"/>
        <v>0</v>
      </c>
      <c r="S174" s="33">
        <f t="shared" si="97"/>
        <v>0</v>
      </c>
      <c r="T174" s="33">
        <f t="shared" si="78"/>
        <v>0</v>
      </c>
      <c r="U174" s="33">
        <f t="shared" si="91"/>
        <v>0</v>
      </c>
      <c r="V174" s="33">
        <f t="shared" si="79"/>
        <v>0</v>
      </c>
      <c r="W174" s="33">
        <v>0</v>
      </c>
      <c r="X174" s="33">
        <f t="shared" si="80"/>
        <v>0</v>
      </c>
      <c r="Y174" s="38">
        <f t="shared" si="81"/>
        <v>0</v>
      </c>
      <c r="AA174" s="71">
        <v>169</v>
      </c>
      <c r="AB174" s="33">
        <f t="shared" si="82"/>
        <v>0</v>
      </c>
      <c r="AC174" s="308">
        <f t="shared" si="102"/>
        <v>0</v>
      </c>
      <c r="AD174" s="101">
        <f t="shared" si="83"/>
        <v>0</v>
      </c>
      <c r="AE174" s="101">
        <f t="shared" si="84"/>
        <v>0</v>
      </c>
      <c r="AF174" s="197">
        <f t="shared" si="98"/>
        <v>0</v>
      </c>
      <c r="AG174" s="197">
        <f t="shared" si="99"/>
        <v>0</v>
      </c>
      <c r="AH174" s="197">
        <f t="shared" si="100"/>
        <v>0</v>
      </c>
      <c r="AI174" s="202">
        <f t="shared" si="101"/>
        <v>0</v>
      </c>
      <c r="AK174" s="71">
        <v>169</v>
      </c>
      <c r="AL174" s="33">
        <f t="shared" si="85"/>
        <v>0</v>
      </c>
      <c r="AM174" s="33">
        <f t="shared" si="86"/>
        <v>0</v>
      </c>
      <c r="AN174" s="33">
        <f t="shared" si="87"/>
        <v>0</v>
      </c>
      <c r="AO174" s="33">
        <f t="shared" si="88"/>
        <v>0</v>
      </c>
      <c r="AP174" s="33">
        <f t="shared" si="89"/>
        <v>0</v>
      </c>
      <c r="AQ174" s="197">
        <f t="shared" si="103"/>
        <v>0</v>
      </c>
      <c r="AR174" s="197">
        <f t="shared" si="103"/>
        <v>0</v>
      </c>
      <c r="AS174" s="197">
        <f t="shared" si="103"/>
        <v>0</v>
      </c>
      <c r="AT174" s="197">
        <f t="shared" si="103"/>
        <v>0</v>
      </c>
      <c r="AU174" s="33"/>
      <c r="AV174" s="33"/>
      <c r="AW174" s="33"/>
      <c r="AX174" s="33"/>
      <c r="AY174" s="76"/>
    </row>
    <row r="175" spans="3:51">
      <c r="C175" s="169" t="s">
        <v>50</v>
      </c>
      <c r="D175" s="4">
        <v>0.39</v>
      </c>
      <c r="E175" s="191" t="s">
        <v>229</v>
      </c>
      <c r="I175" s="55">
        <v>170</v>
      </c>
      <c r="J175" s="33">
        <f t="shared" si="92"/>
        <v>0</v>
      </c>
      <c r="K175" s="33">
        <f t="shared" si="93"/>
        <v>0</v>
      </c>
      <c r="L175" s="33">
        <f t="shared" si="94"/>
        <v>0</v>
      </c>
      <c r="M175" s="33">
        <f t="shared" si="95"/>
        <v>0</v>
      </c>
      <c r="N175" s="33">
        <f t="shared" si="76"/>
        <v>0</v>
      </c>
      <c r="O175" s="34">
        <f t="shared" si="77"/>
        <v>0</v>
      </c>
      <c r="P175" s="55">
        <v>170</v>
      </c>
      <c r="Q175" s="33">
        <f t="shared" si="90"/>
        <v>0</v>
      </c>
      <c r="R175" s="33">
        <f t="shared" si="96"/>
        <v>0</v>
      </c>
      <c r="S175" s="33">
        <f t="shared" si="97"/>
        <v>0</v>
      </c>
      <c r="T175" s="33">
        <f t="shared" si="78"/>
        <v>0</v>
      </c>
      <c r="U175" s="33">
        <f t="shared" si="91"/>
        <v>0</v>
      </c>
      <c r="V175" s="33">
        <f t="shared" si="79"/>
        <v>0</v>
      </c>
      <c r="W175" s="33">
        <v>0</v>
      </c>
      <c r="X175" s="33">
        <f t="shared" si="80"/>
        <v>0</v>
      </c>
      <c r="Y175" s="38">
        <f t="shared" si="81"/>
        <v>0</v>
      </c>
      <c r="AA175" s="71">
        <v>170</v>
      </c>
      <c r="AB175" s="33">
        <f t="shared" si="82"/>
        <v>0</v>
      </c>
      <c r="AC175" s="308">
        <f t="shared" si="102"/>
        <v>0</v>
      </c>
      <c r="AD175" s="101">
        <f t="shared" si="83"/>
        <v>0</v>
      </c>
      <c r="AE175" s="101">
        <f t="shared" si="84"/>
        <v>0</v>
      </c>
      <c r="AF175" s="197">
        <f t="shared" si="98"/>
        <v>0</v>
      </c>
      <c r="AG175" s="197">
        <f t="shared" si="99"/>
        <v>0</v>
      </c>
      <c r="AH175" s="197">
        <f t="shared" si="100"/>
        <v>0</v>
      </c>
      <c r="AI175" s="202">
        <f t="shared" si="101"/>
        <v>0</v>
      </c>
      <c r="AK175" s="71">
        <v>170</v>
      </c>
      <c r="AL175" s="33">
        <f t="shared" si="85"/>
        <v>0</v>
      </c>
      <c r="AM175" s="33">
        <f t="shared" si="86"/>
        <v>0</v>
      </c>
      <c r="AN175" s="33">
        <f t="shared" si="87"/>
        <v>0</v>
      </c>
      <c r="AO175" s="33">
        <f t="shared" si="88"/>
        <v>0</v>
      </c>
      <c r="AP175" s="33">
        <f t="shared" si="89"/>
        <v>0</v>
      </c>
      <c r="AQ175" s="197">
        <f t="shared" si="103"/>
        <v>0</v>
      </c>
      <c r="AR175" s="197">
        <f t="shared" si="103"/>
        <v>0</v>
      </c>
      <c r="AS175" s="197">
        <f t="shared" si="103"/>
        <v>0</v>
      </c>
      <c r="AT175" s="197">
        <f t="shared" si="103"/>
        <v>0</v>
      </c>
      <c r="AU175" s="33"/>
      <c r="AV175" s="33"/>
      <c r="AW175" s="33"/>
      <c r="AX175" s="33"/>
      <c r="AY175" s="76"/>
    </row>
    <row r="176" spans="3:51">
      <c r="C176" s="169" t="s">
        <v>51</v>
      </c>
      <c r="D176" s="4">
        <v>0.44</v>
      </c>
      <c r="E176" s="191" t="s">
        <v>229</v>
      </c>
      <c r="I176" s="55">
        <v>171</v>
      </c>
      <c r="J176" s="33">
        <f t="shared" si="92"/>
        <v>0</v>
      </c>
      <c r="K176" s="33">
        <f t="shared" si="93"/>
        <v>0</v>
      </c>
      <c r="L176" s="33">
        <f t="shared" si="94"/>
        <v>0</v>
      </c>
      <c r="M176" s="33">
        <f t="shared" si="95"/>
        <v>0</v>
      </c>
      <c r="N176" s="33">
        <f t="shared" si="76"/>
        <v>0</v>
      </c>
      <c r="O176" s="34">
        <f t="shared" si="77"/>
        <v>0</v>
      </c>
      <c r="P176" s="55">
        <v>171</v>
      </c>
      <c r="Q176" s="33">
        <f t="shared" si="90"/>
        <v>0</v>
      </c>
      <c r="R176" s="33">
        <f t="shared" si="96"/>
        <v>0</v>
      </c>
      <c r="S176" s="33">
        <f t="shared" si="97"/>
        <v>0</v>
      </c>
      <c r="T176" s="33">
        <f t="shared" si="78"/>
        <v>0</v>
      </c>
      <c r="U176" s="33">
        <f t="shared" si="91"/>
        <v>0</v>
      </c>
      <c r="V176" s="33">
        <f t="shared" si="79"/>
        <v>0</v>
      </c>
      <c r="W176" s="33">
        <v>0</v>
      </c>
      <c r="X176" s="33">
        <f t="shared" si="80"/>
        <v>0</v>
      </c>
      <c r="Y176" s="38">
        <f t="shared" si="81"/>
        <v>0</v>
      </c>
      <c r="AA176" s="71">
        <v>171</v>
      </c>
      <c r="AB176" s="33">
        <f t="shared" si="82"/>
        <v>0</v>
      </c>
      <c r="AC176" s="308">
        <f t="shared" si="102"/>
        <v>0</v>
      </c>
      <c r="AD176" s="101">
        <f t="shared" si="83"/>
        <v>0</v>
      </c>
      <c r="AE176" s="101">
        <f t="shared" si="84"/>
        <v>0</v>
      </c>
      <c r="AF176" s="197">
        <f t="shared" si="98"/>
        <v>0</v>
      </c>
      <c r="AG176" s="197">
        <f t="shared" si="99"/>
        <v>0</v>
      </c>
      <c r="AH176" s="197">
        <f t="shared" si="100"/>
        <v>0</v>
      </c>
      <c r="AI176" s="202">
        <f t="shared" si="101"/>
        <v>0</v>
      </c>
      <c r="AK176" s="71">
        <v>171</v>
      </c>
      <c r="AL176" s="33">
        <f t="shared" si="85"/>
        <v>0</v>
      </c>
      <c r="AM176" s="33">
        <f t="shared" si="86"/>
        <v>0</v>
      </c>
      <c r="AN176" s="33">
        <f t="shared" si="87"/>
        <v>0</v>
      </c>
      <c r="AO176" s="33">
        <f t="shared" si="88"/>
        <v>0</v>
      </c>
      <c r="AP176" s="33">
        <f t="shared" si="89"/>
        <v>0</v>
      </c>
      <c r="AQ176" s="197">
        <f t="shared" si="103"/>
        <v>0</v>
      </c>
      <c r="AR176" s="197">
        <f t="shared" si="103"/>
        <v>0</v>
      </c>
      <c r="AS176" s="197">
        <f t="shared" si="103"/>
        <v>0</v>
      </c>
      <c r="AT176" s="197">
        <f t="shared" si="103"/>
        <v>0</v>
      </c>
      <c r="AU176" s="33"/>
      <c r="AV176" s="33"/>
      <c r="AW176" s="33"/>
      <c r="AX176" s="33"/>
      <c r="AY176" s="76"/>
    </row>
    <row r="177" spans="3:51">
      <c r="C177" s="169" t="s">
        <v>52</v>
      </c>
      <c r="D177" s="4">
        <v>0.46</v>
      </c>
      <c r="E177" s="191" t="s">
        <v>229</v>
      </c>
      <c r="I177" s="55">
        <v>172</v>
      </c>
      <c r="J177" s="33">
        <f t="shared" si="92"/>
        <v>0</v>
      </c>
      <c r="K177" s="33">
        <f t="shared" si="93"/>
        <v>0</v>
      </c>
      <c r="L177" s="33">
        <f t="shared" si="94"/>
        <v>0</v>
      </c>
      <c r="M177" s="33">
        <f t="shared" si="95"/>
        <v>0</v>
      </c>
      <c r="N177" s="33">
        <f t="shared" si="76"/>
        <v>0</v>
      </c>
      <c r="O177" s="34">
        <f t="shared" si="77"/>
        <v>0</v>
      </c>
      <c r="P177" s="55">
        <v>172</v>
      </c>
      <c r="Q177" s="33">
        <f t="shared" si="90"/>
        <v>0</v>
      </c>
      <c r="R177" s="33">
        <f t="shared" si="96"/>
        <v>0</v>
      </c>
      <c r="S177" s="33">
        <f t="shared" si="97"/>
        <v>0</v>
      </c>
      <c r="T177" s="33">
        <f t="shared" si="78"/>
        <v>0</v>
      </c>
      <c r="U177" s="33">
        <f t="shared" si="91"/>
        <v>0</v>
      </c>
      <c r="V177" s="33">
        <f t="shared" si="79"/>
        <v>0</v>
      </c>
      <c r="W177" s="33">
        <v>0</v>
      </c>
      <c r="X177" s="33">
        <f t="shared" si="80"/>
        <v>0</v>
      </c>
      <c r="Y177" s="38">
        <f t="shared" si="81"/>
        <v>0</v>
      </c>
      <c r="AA177" s="71">
        <v>172</v>
      </c>
      <c r="AB177" s="33">
        <f t="shared" si="82"/>
        <v>0</v>
      </c>
      <c r="AC177" s="308">
        <f t="shared" si="102"/>
        <v>0</v>
      </c>
      <c r="AD177" s="101">
        <f t="shared" si="83"/>
        <v>0</v>
      </c>
      <c r="AE177" s="101">
        <f t="shared" si="84"/>
        <v>0</v>
      </c>
      <c r="AF177" s="197">
        <f t="shared" si="98"/>
        <v>0</v>
      </c>
      <c r="AG177" s="197">
        <f t="shared" si="99"/>
        <v>0</v>
      </c>
      <c r="AH177" s="197">
        <f t="shared" si="100"/>
        <v>0</v>
      </c>
      <c r="AI177" s="202">
        <f t="shared" si="101"/>
        <v>0</v>
      </c>
      <c r="AK177" s="71">
        <v>172</v>
      </c>
      <c r="AL177" s="33">
        <f t="shared" si="85"/>
        <v>0</v>
      </c>
      <c r="AM177" s="33">
        <f t="shared" si="86"/>
        <v>0</v>
      </c>
      <c r="AN177" s="33">
        <f t="shared" si="87"/>
        <v>0</v>
      </c>
      <c r="AO177" s="33">
        <f t="shared" si="88"/>
        <v>0</v>
      </c>
      <c r="AP177" s="33">
        <f t="shared" si="89"/>
        <v>0</v>
      </c>
      <c r="AQ177" s="197">
        <f t="shared" si="103"/>
        <v>0</v>
      </c>
      <c r="AR177" s="197">
        <f t="shared" si="103"/>
        <v>0</v>
      </c>
      <c r="AS177" s="197">
        <f t="shared" si="103"/>
        <v>0</v>
      </c>
      <c r="AT177" s="197">
        <f t="shared" si="103"/>
        <v>0</v>
      </c>
      <c r="AU177" s="33"/>
      <c r="AV177" s="33"/>
      <c r="AW177" s="33"/>
      <c r="AX177" s="33"/>
      <c r="AY177" s="76"/>
    </row>
    <row r="178" spans="3:51" ht="30">
      <c r="C178" s="169" t="s">
        <v>53</v>
      </c>
      <c r="D178" s="4">
        <v>0.46</v>
      </c>
      <c r="E178" s="191" t="s">
        <v>231</v>
      </c>
      <c r="I178" s="55">
        <v>173</v>
      </c>
      <c r="J178" s="33">
        <f t="shared" si="92"/>
        <v>0</v>
      </c>
      <c r="K178" s="33">
        <f t="shared" si="93"/>
        <v>0</v>
      </c>
      <c r="L178" s="33">
        <f t="shared" si="94"/>
        <v>0</v>
      </c>
      <c r="M178" s="33">
        <f t="shared" si="95"/>
        <v>0</v>
      </c>
      <c r="N178" s="33">
        <f t="shared" si="76"/>
        <v>0</v>
      </c>
      <c r="O178" s="34">
        <f t="shared" si="77"/>
        <v>0</v>
      </c>
      <c r="P178" s="55">
        <v>173</v>
      </c>
      <c r="Q178" s="33">
        <f t="shared" si="90"/>
        <v>0</v>
      </c>
      <c r="R178" s="33">
        <f t="shared" si="96"/>
        <v>0</v>
      </c>
      <c r="S178" s="33">
        <f t="shared" si="97"/>
        <v>0</v>
      </c>
      <c r="T178" s="33">
        <f t="shared" si="78"/>
        <v>0</v>
      </c>
      <c r="U178" s="33">
        <f t="shared" si="91"/>
        <v>0</v>
      </c>
      <c r="V178" s="33">
        <f t="shared" si="79"/>
        <v>0</v>
      </c>
      <c r="W178" s="33">
        <v>0</v>
      </c>
      <c r="X178" s="33">
        <f t="shared" si="80"/>
        <v>0</v>
      </c>
      <c r="Y178" s="38">
        <f t="shared" si="81"/>
        <v>0</v>
      </c>
      <c r="AA178" s="71">
        <v>173</v>
      </c>
      <c r="AB178" s="33">
        <f t="shared" si="82"/>
        <v>0</v>
      </c>
      <c r="AC178" s="308">
        <f t="shared" si="102"/>
        <v>0</v>
      </c>
      <c r="AD178" s="101">
        <f t="shared" si="83"/>
        <v>0</v>
      </c>
      <c r="AE178" s="101">
        <f t="shared" si="84"/>
        <v>0</v>
      </c>
      <c r="AF178" s="197">
        <f t="shared" si="98"/>
        <v>0</v>
      </c>
      <c r="AG178" s="197">
        <f t="shared" si="99"/>
        <v>0</v>
      </c>
      <c r="AH178" s="197">
        <f t="shared" si="100"/>
        <v>0</v>
      </c>
      <c r="AI178" s="202">
        <f t="shared" si="101"/>
        <v>0</v>
      </c>
      <c r="AK178" s="71">
        <v>173</v>
      </c>
      <c r="AL178" s="33">
        <f t="shared" si="85"/>
        <v>0</v>
      </c>
      <c r="AM178" s="33">
        <f t="shared" si="86"/>
        <v>0</v>
      </c>
      <c r="AN178" s="33">
        <f t="shared" si="87"/>
        <v>0</v>
      </c>
      <c r="AO178" s="33">
        <f t="shared" si="88"/>
        <v>0</v>
      </c>
      <c r="AP178" s="33">
        <f t="shared" si="89"/>
        <v>0</v>
      </c>
      <c r="AQ178" s="197">
        <f t="shared" si="103"/>
        <v>0</v>
      </c>
      <c r="AR178" s="197">
        <f t="shared" si="103"/>
        <v>0</v>
      </c>
      <c r="AS178" s="197">
        <f t="shared" si="103"/>
        <v>0</v>
      </c>
      <c r="AT178" s="197">
        <f t="shared" si="103"/>
        <v>0</v>
      </c>
      <c r="AU178" s="33"/>
      <c r="AV178" s="33"/>
      <c r="AW178" s="33"/>
      <c r="AX178" s="33"/>
      <c r="AY178" s="76"/>
    </row>
    <row r="179" spans="3:51">
      <c r="C179" s="169" t="s">
        <v>54</v>
      </c>
      <c r="D179" s="4">
        <v>0.44</v>
      </c>
      <c r="E179" s="191" t="s">
        <v>229</v>
      </c>
      <c r="I179" s="55">
        <v>174</v>
      </c>
      <c r="J179" s="33">
        <f t="shared" si="92"/>
        <v>0</v>
      </c>
      <c r="K179" s="33">
        <f t="shared" si="93"/>
        <v>0</v>
      </c>
      <c r="L179" s="33">
        <f t="shared" si="94"/>
        <v>0</v>
      </c>
      <c r="M179" s="33">
        <f t="shared" si="95"/>
        <v>0</v>
      </c>
      <c r="N179" s="33">
        <f t="shared" si="76"/>
        <v>0</v>
      </c>
      <c r="O179" s="34">
        <f t="shared" si="77"/>
        <v>0</v>
      </c>
      <c r="P179" s="55">
        <v>174</v>
      </c>
      <c r="Q179" s="33">
        <f t="shared" si="90"/>
        <v>0</v>
      </c>
      <c r="R179" s="33">
        <f t="shared" si="96"/>
        <v>0</v>
      </c>
      <c r="S179" s="33">
        <f t="shared" si="97"/>
        <v>0</v>
      </c>
      <c r="T179" s="33">
        <f t="shared" si="78"/>
        <v>0</v>
      </c>
      <c r="U179" s="33">
        <f t="shared" si="91"/>
        <v>0</v>
      </c>
      <c r="V179" s="33">
        <f t="shared" si="79"/>
        <v>0</v>
      </c>
      <c r="W179" s="33">
        <v>0</v>
      </c>
      <c r="X179" s="33">
        <f t="shared" si="80"/>
        <v>0</v>
      </c>
      <c r="Y179" s="38">
        <f t="shared" si="81"/>
        <v>0</v>
      </c>
      <c r="AA179" s="71">
        <v>174</v>
      </c>
      <c r="AB179" s="33">
        <f t="shared" si="82"/>
        <v>0</v>
      </c>
      <c r="AC179" s="308">
        <f t="shared" si="102"/>
        <v>0</v>
      </c>
      <c r="AD179" s="101">
        <f t="shared" si="83"/>
        <v>0</v>
      </c>
      <c r="AE179" s="101">
        <f t="shared" si="84"/>
        <v>0</v>
      </c>
      <c r="AF179" s="197">
        <f t="shared" si="98"/>
        <v>0</v>
      </c>
      <c r="AG179" s="197">
        <f t="shared" si="99"/>
        <v>0</v>
      </c>
      <c r="AH179" s="197">
        <f t="shared" si="100"/>
        <v>0</v>
      </c>
      <c r="AI179" s="202">
        <f t="shared" si="101"/>
        <v>0</v>
      </c>
      <c r="AK179" s="71">
        <v>174</v>
      </c>
      <c r="AL179" s="33">
        <f t="shared" si="85"/>
        <v>0</v>
      </c>
      <c r="AM179" s="33">
        <f t="shared" si="86"/>
        <v>0</v>
      </c>
      <c r="AN179" s="33">
        <f t="shared" si="87"/>
        <v>0</v>
      </c>
      <c r="AO179" s="33">
        <f t="shared" si="88"/>
        <v>0</v>
      </c>
      <c r="AP179" s="33">
        <f t="shared" si="89"/>
        <v>0</v>
      </c>
      <c r="AQ179" s="197">
        <f t="shared" si="103"/>
        <v>0</v>
      </c>
      <c r="AR179" s="197">
        <f t="shared" si="103"/>
        <v>0</v>
      </c>
      <c r="AS179" s="197">
        <f t="shared" si="103"/>
        <v>0</v>
      </c>
      <c r="AT179" s="197">
        <f t="shared" si="103"/>
        <v>0</v>
      </c>
      <c r="AU179" s="33"/>
      <c r="AV179" s="33"/>
      <c r="AW179" s="33"/>
      <c r="AX179" s="33"/>
      <c r="AY179" s="76"/>
    </row>
    <row r="180" spans="3:51">
      <c r="C180" s="169" t="s">
        <v>55</v>
      </c>
      <c r="D180" s="4">
        <v>0.46</v>
      </c>
      <c r="E180" s="191" t="s">
        <v>229</v>
      </c>
      <c r="I180" s="55">
        <v>175</v>
      </c>
      <c r="J180" s="33">
        <f t="shared" si="92"/>
        <v>0</v>
      </c>
      <c r="K180" s="33">
        <f t="shared" si="93"/>
        <v>0</v>
      </c>
      <c r="L180" s="33">
        <f t="shared" si="94"/>
        <v>0</v>
      </c>
      <c r="M180" s="33">
        <f t="shared" si="95"/>
        <v>0</v>
      </c>
      <c r="N180" s="33">
        <f t="shared" si="76"/>
        <v>0</v>
      </c>
      <c r="O180" s="34">
        <f t="shared" si="77"/>
        <v>0</v>
      </c>
      <c r="P180" s="55">
        <v>175</v>
      </c>
      <c r="Q180" s="33">
        <f t="shared" si="90"/>
        <v>0</v>
      </c>
      <c r="R180" s="33">
        <f t="shared" si="96"/>
        <v>0</v>
      </c>
      <c r="S180" s="33">
        <f t="shared" si="97"/>
        <v>0</v>
      </c>
      <c r="T180" s="33">
        <f t="shared" si="78"/>
        <v>0</v>
      </c>
      <c r="U180" s="33">
        <f t="shared" si="91"/>
        <v>0</v>
      </c>
      <c r="V180" s="33">
        <f t="shared" si="79"/>
        <v>0</v>
      </c>
      <c r="W180" s="33">
        <v>0</v>
      </c>
      <c r="X180" s="33">
        <f t="shared" si="80"/>
        <v>0</v>
      </c>
      <c r="Y180" s="38">
        <f t="shared" si="81"/>
        <v>0</v>
      </c>
      <c r="AA180" s="71">
        <v>175</v>
      </c>
      <c r="AB180" s="33">
        <f t="shared" si="82"/>
        <v>0</v>
      </c>
      <c r="AC180" s="308">
        <f t="shared" si="102"/>
        <v>0</v>
      </c>
      <c r="AD180" s="101">
        <f t="shared" si="83"/>
        <v>0</v>
      </c>
      <c r="AE180" s="101">
        <f t="shared" si="84"/>
        <v>0</v>
      </c>
      <c r="AF180" s="197">
        <f t="shared" si="98"/>
        <v>0</v>
      </c>
      <c r="AG180" s="197">
        <f t="shared" si="99"/>
        <v>0</v>
      </c>
      <c r="AH180" s="197">
        <f t="shared" si="100"/>
        <v>0</v>
      </c>
      <c r="AI180" s="202">
        <f t="shared" si="101"/>
        <v>0</v>
      </c>
      <c r="AK180" s="71">
        <v>175</v>
      </c>
      <c r="AL180" s="33">
        <f t="shared" si="85"/>
        <v>0</v>
      </c>
      <c r="AM180" s="33">
        <f t="shared" si="86"/>
        <v>0</v>
      </c>
      <c r="AN180" s="33">
        <f t="shared" si="87"/>
        <v>0</v>
      </c>
      <c r="AO180" s="33">
        <f t="shared" si="88"/>
        <v>0</v>
      </c>
      <c r="AP180" s="33">
        <f t="shared" si="89"/>
        <v>0</v>
      </c>
      <c r="AQ180" s="197">
        <f t="shared" si="103"/>
        <v>0</v>
      </c>
      <c r="AR180" s="197">
        <f t="shared" si="103"/>
        <v>0</v>
      </c>
      <c r="AS180" s="197">
        <f t="shared" si="103"/>
        <v>0</v>
      </c>
      <c r="AT180" s="197">
        <f t="shared" si="103"/>
        <v>0</v>
      </c>
      <c r="AU180" s="33"/>
      <c r="AV180" s="33"/>
      <c r="AW180" s="33"/>
      <c r="AX180" s="33"/>
      <c r="AY180" s="76"/>
    </row>
    <row r="181" spans="3:51">
      <c r="C181" s="169" t="s">
        <v>56</v>
      </c>
      <c r="D181" s="4">
        <v>0.48</v>
      </c>
      <c r="E181" s="191" t="s">
        <v>229</v>
      </c>
      <c r="I181" s="55">
        <v>176</v>
      </c>
      <c r="J181" s="33">
        <f t="shared" si="92"/>
        <v>0</v>
      </c>
      <c r="K181" s="33">
        <f t="shared" si="93"/>
        <v>0</v>
      </c>
      <c r="L181" s="33">
        <f t="shared" si="94"/>
        <v>0</v>
      </c>
      <c r="M181" s="33">
        <f t="shared" si="95"/>
        <v>0</v>
      </c>
      <c r="N181" s="33">
        <f t="shared" si="76"/>
        <v>0</v>
      </c>
      <c r="O181" s="34">
        <f t="shared" si="77"/>
        <v>0</v>
      </c>
      <c r="P181" s="55">
        <v>176</v>
      </c>
      <c r="Q181" s="33">
        <f t="shared" si="90"/>
        <v>0</v>
      </c>
      <c r="R181" s="33">
        <f t="shared" si="96"/>
        <v>0</v>
      </c>
      <c r="S181" s="33">
        <f t="shared" si="97"/>
        <v>0</v>
      </c>
      <c r="T181" s="33">
        <f t="shared" si="78"/>
        <v>0</v>
      </c>
      <c r="U181" s="33">
        <f t="shared" si="91"/>
        <v>0</v>
      </c>
      <c r="V181" s="33">
        <f t="shared" si="79"/>
        <v>0</v>
      </c>
      <c r="W181" s="33">
        <v>0</v>
      </c>
      <c r="X181" s="33">
        <f t="shared" si="80"/>
        <v>0</v>
      </c>
      <c r="Y181" s="38">
        <f t="shared" si="81"/>
        <v>0</v>
      </c>
      <c r="AA181" s="71">
        <v>176</v>
      </c>
      <c r="AB181" s="33">
        <f t="shared" si="82"/>
        <v>0</v>
      </c>
      <c r="AC181" s="308">
        <f t="shared" si="102"/>
        <v>0</v>
      </c>
      <c r="AD181" s="101">
        <f t="shared" si="83"/>
        <v>0</v>
      </c>
      <c r="AE181" s="101">
        <f t="shared" si="84"/>
        <v>0</v>
      </c>
      <c r="AF181" s="197">
        <f t="shared" si="98"/>
        <v>0</v>
      </c>
      <c r="AG181" s="197">
        <f t="shared" si="99"/>
        <v>0</v>
      </c>
      <c r="AH181" s="197">
        <f t="shared" si="100"/>
        <v>0</v>
      </c>
      <c r="AI181" s="202">
        <f t="shared" si="101"/>
        <v>0</v>
      </c>
      <c r="AK181" s="71">
        <v>176</v>
      </c>
      <c r="AL181" s="33">
        <f t="shared" si="85"/>
        <v>0</v>
      </c>
      <c r="AM181" s="33">
        <f t="shared" si="86"/>
        <v>0</v>
      </c>
      <c r="AN181" s="33">
        <f t="shared" si="87"/>
        <v>0</v>
      </c>
      <c r="AO181" s="33">
        <f t="shared" si="88"/>
        <v>0</v>
      </c>
      <c r="AP181" s="33">
        <f t="shared" si="89"/>
        <v>0</v>
      </c>
      <c r="AQ181" s="197">
        <f t="shared" si="103"/>
        <v>0</v>
      </c>
      <c r="AR181" s="197">
        <f t="shared" si="103"/>
        <v>0</v>
      </c>
      <c r="AS181" s="197">
        <f t="shared" si="103"/>
        <v>0</v>
      </c>
      <c r="AT181" s="197">
        <f t="shared" si="103"/>
        <v>0</v>
      </c>
      <c r="AU181" s="33"/>
      <c r="AV181" s="33"/>
      <c r="AW181" s="33"/>
      <c r="AX181" s="33"/>
      <c r="AY181" s="76"/>
    </row>
    <row r="182" spans="3:51">
      <c r="C182" s="169" t="s">
        <v>57</v>
      </c>
      <c r="D182" s="4">
        <v>0.44</v>
      </c>
      <c r="E182" s="191" t="s">
        <v>229</v>
      </c>
      <c r="I182" s="55">
        <v>177</v>
      </c>
      <c r="J182" s="33">
        <f t="shared" si="92"/>
        <v>0</v>
      </c>
      <c r="K182" s="33">
        <f t="shared" si="93"/>
        <v>0</v>
      </c>
      <c r="L182" s="33">
        <f t="shared" si="94"/>
        <v>0</v>
      </c>
      <c r="M182" s="33">
        <f t="shared" si="95"/>
        <v>0</v>
      </c>
      <c r="N182" s="33">
        <f t="shared" si="76"/>
        <v>0</v>
      </c>
      <c r="O182" s="34">
        <f t="shared" si="77"/>
        <v>0</v>
      </c>
      <c r="P182" s="55">
        <v>177</v>
      </c>
      <c r="Q182" s="33">
        <f t="shared" si="90"/>
        <v>0</v>
      </c>
      <c r="R182" s="33">
        <f t="shared" si="96"/>
        <v>0</v>
      </c>
      <c r="S182" s="33">
        <f t="shared" si="97"/>
        <v>0</v>
      </c>
      <c r="T182" s="33">
        <f t="shared" si="78"/>
        <v>0</v>
      </c>
      <c r="U182" s="33">
        <f t="shared" si="91"/>
        <v>0</v>
      </c>
      <c r="V182" s="33">
        <f t="shared" si="79"/>
        <v>0</v>
      </c>
      <c r="W182" s="33">
        <v>0</v>
      </c>
      <c r="X182" s="33">
        <f t="shared" si="80"/>
        <v>0</v>
      </c>
      <c r="Y182" s="38">
        <f t="shared" si="81"/>
        <v>0</v>
      </c>
      <c r="AA182" s="71">
        <v>177</v>
      </c>
      <c r="AB182" s="33">
        <f t="shared" si="82"/>
        <v>0</v>
      </c>
      <c r="AC182" s="308">
        <f t="shared" si="102"/>
        <v>0</v>
      </c>
      <c r="AD182" s="101">
        <f t="shared" si="83"/>
        <v>0</v>
      </c>
      <c r="AE182" s="101">
        <f t="shared" si="84"/>
        <v>0</v>
      </c>
      <c r="AF182" s="197">
        <f t="shared" si="98"/>
        <v>0</v>
      </c>
      <c r="AG182" s="197">
        <f t="shared" si="99"/>
        <v>0</v>
      </c>
      <c r="AH182" s="197">
        <f t="shared" si="100"/>
        <v>0</v>
      </c>
      <c r="AI182" s="202">
        <f t="shared" si="101"/>
        <v>0</v>
      </c>
      <c r="AK182" s="71">
        <v>177</v>
      </c>
      <c r="AL182" s="33">
        <f t="shared" si="85"/>
        <v>0</v>
      </c>
      <c r="AM182" s="33">
        <f t="shared" si="86"/>
        <v>0</v>
      </c>
      <c r="AN182" s="33">
        <f t="shared" si="87"/>
        <v>0</v>
      </c>
      <c r="AO182" s="33">
        <f t="shared" si="88"/>
        <v>0</v>
      </c>
      <c r="AP182" s="33">
        <f t="shared" si="89"/>
        <v>0</v>
      </c>
      <c r="AQ182" s="197">
        <f t="shared" si="103"/>
        <v>0</v>
      </c>
      <c r="AR182" s="197">
        <f t="shared" si="103"/>
        <v>0</v>
      </c>
      <c r="AS182" s="197">
        <f t="shared" si="103"/>
        <v>0</v>
      </c>
      <c r="AT182" s="197">
        <f t="shared" si="103"/>
        <v>0</v>
      </c>
      <c r="AU182" s="33"/>
      <c r="AV182" s="33"/>
      <c r="AW182" s="33"/>
      <c r="AX182" s="33"/>
      <c r="AY182" s="76"/>
    </row>
    <row r="183" spans="3:51">
      <c r="C183" s="169" t="s">
        <v>58</v>
      </c>
      <c r="D183" s="4">
        <v>0.34</v>
      </c>
      <c r="E183" s="191" t="s">
        <v>229</v>
      </c>
      <c r="I183" s="55">
        <v>178</v>
      </c>
      <c r="J183" s="33">
        <f t="shared" si="92"/>
        <v>0</v>
      </c>
      <c r="K183" s="33">
        <f t="shared" si="93"/>
        <v>0</v>
      </c>
      <c r="L183" s="33">
        <f t="shared" si="94"/>
        <v>0</v>
      </c>
      <c r="M183" s="33">
        <f t="shared" si="95"/>
        <v>0</v>
      </c>
      <c r="N183" s="33">
        <f t="shared" si="76"/>
        <v>0</v>
      </c>
      <c r="O183" s="34">
        <f t="shared" si="77"/>
        <v>0</v>
      </c>
      <c r="P183" s="55">
        <v>178</v>
      </c>
      <c r="Q183" s="33">
        <f t="shared" si="90"/>
        <v>0</v>
      </c>
      <c r="R183" s="33">
        <f t="shared" si="96"/>
        <v>0</v>
      </c>
      <c r="S183" s="33">
        <f t="shared" si="97"/>
        <v>0</v>
      </c>
      <c r="T183" s="33">
        <f t="shared" si="78"/>
        <v>0</v>
      </c>
      <c r="U183" s="33">
        <f t="shared" si="91"/>
        <v>0</v>
      </c>
      <c r="V183" s="33">
        <f t="shared" si="79"/>
        <v>0</v>
      </c>
      <c r="W183" s="33">
        <v>0</v>
      </c>
      <c r="X183" s="33">
        <f t="shared" si="80"/>
        <v>0</v>
      </c>
      <c r="Y183" s="38">
        <f t="shared" si="81"/>
        <v>0</v>
      </c>
      <c r="AA183" s="71">
        <v>178</v>
      </c>
      <c r="AB183" s="33">
        <f t="shared" si="82"/>
        <v>0</v>
      </c>
      <c r="AC183" s="308">
        <f t="shared" si="102"/>
        <v>0</v>
      </c>
      <c r="AD183" s="101">
        <f t="shared" si="83"/>
        <v>0</v>
      </c>
      <c r="AE183" s="101">
        <f t="shared" si="84"/>
        <v>0</v>
      </c>
      <c r="AF183" s="197">
        <f t="shared" si="98"/>
        <v>0</v>
      </c>
      <c r="AG183" s="197">
        <f t="shared" si="99"/>
        <v>0</v>
      </c>
      <c r="AH183" s="197">
        <f t="shared" si="100"/>
        <v>0</v>
      </c>
      <c r="AI183" s="202">
        <f t="shared" si="101"/>
        <v>0</v>
      </c>
      <c r="AK183" s="71">
        <v>178</v>
      </c>
      <c r="AL183" s="33">
        <f t="shared" si="85"/>
        <v>0</v>
      </c>
      <c r="AM183" s="33">
        <f t="shared" si="86"/>
        <v>0</v>
      </c>
      <c r="AN183" s="33">
        <f t="shared" si="87"/>
        <v>0</v>
      </c>
      <c r="AO183" s="33">
        <f t="shared" si="88"/>
        <v>0</v>
      </c>
      <c r="AP183" s="33">
        <f t="shared" si="89"/>
        <v>0</v>
      </c>
      <c r="AQ183" s="197">
        <f t="shared" si="103"/>
        <v>0</v>
      </c>
      <c r="AR183" s="197">
        <f t="shared" si="103"/>
        <v>0</v>
      </c>
      <c r="AS183" s="197">
        <f t="shared" si="103"/>
        <v>0</v>
      </c>
      <c r="AT183" s="197">
        <f t="shared" si="103"/>
        <v>0</v>
      </c>
      <c r="AU183" s="33"/>
      <c r="AV183" s="33"/>
      <c r="AW183" s="33"/>
      <c r="AX183" s="33"/>
      <c r="AY183" s="76"/>
    </row>
    <row r="184" spans="3:51">
      <c r="C184" s="169" t="s">
        <v>59</v>
      </c>
      <c r="D184" s="4">
        <v>0.5</v>
      </c>
      <c r="E184" s="191" t="s">
        <v>228</v>
      </c>
      <c r="I184" s="55">
        <v>179</v>
      </c>
      <c r="J184" s="33">
        <f t="shared" si="92"/>
        <v>0</v>
      </c>
      <c r="K184" s="33">
        <f t="shared" si="93"/>
        <v>0</v>
      </c>
      <c r="L184" s="33">
        <f t="shared" si="94"/>
        <v>0</v>
      </c>
      <c r="M184" s="33">
        <f t="shared" si="95"/>
        <v>0</v>
      </c>
      <c r="N184" s="33">
        <f t="shared" si="76"/>
        <v>0</v>
      </c>
      <c r="O184" s="34">
        <f t="shared" si="77"/>
        <v>0</v>
      </c>
      <c r="P184" s="55">
        <v>179</v>
      </c>
      <c r="Q184" s="33">
        <f t="shared" si="90"/>
        <v>0</v>
      </c>
      <c r="R184" s="33">
        <f t="shared" si="96"/>
        <v>0</v>
      </c>
      <c r="S184" s="33">
        <f t="shared" si="97"/>
        <v>0</v>
      </c>
      <c r="T184" s="33">
        <f t="shared" si="78"/>
        <v>0</v>
      </c>
      <c r="U184" s="33">
        <f t="shared" si="91"/>
        <v>0</v>
      </c>
      <c r="V184" s="33">
        <f t="shared" si="79"/>
        <v>0</v>
      </c>
      <c r="W184" s="33">
        <v>0</v>
      </c>
      <c r="X184" s="33">
        <f t="shared" si="80"/>
        <v>0</v>
      </c>
      <c r="Y184" s="38">
        <f t="shared" si="81"/>
        <v>0</v>
      </c>
      <c r="AA184" s="71">
        <v>179</v>
      </c>
      <c r="AB184" s="33">
        <f t="shared" si="82"/>
        <v>0</v>
      </c>
      <c r="AC184" s="308">
        <f t="shared" si="102"/>
        <v>0</v>
      </c>
      <c r="AD184" s="101">
        <f t="shared" si="83"/>
        <v>0</v>
      </c>
      <c r="AE184" s="101">
        <f t="shared" si="84"/>
        <v>0</v>
      </c>
      <c r="AF184" s="197">
        <f t="shared" si="98"/>
        <v>0</v>
      </c>
      <c r="AG184" s="197">
        <f t="shared" si="99"/>
        <v>0</v>
      </c>
      <c r="AH184" s="197">
        <f t="shared" si="100"/>
        <v>0</v>
      </c>
      <c r="AI184" s="202">
        <f t="shared" si="101"/>
        <v>0</v>
      </c>
      <c r="AK184" s="71">
        <v>179</v>
      </c>
      <c r="AL184" s="33">
        <f t="shared" si="85"/>
        <v>0</v>
      </c>
      <c r="AM184" s="33">
        <f t="shared" si="86"/>
        <v>0</v>
      </c>
      <c r="AN184" s="33">
        <f t="shared" si="87"/>
        <v>0</v>
      </c>
      <c r="AO184" s="33">
        <f t="shared" si="88"/>
        <v>0</v>
      </c>
      <c r="AP184" s="33">
        <f t="shared" si="89"/>
        <v>0</v>
      </c>
      <c r="AQ184" s="197">
        <f t="shared" si="103"/>
        <v>0</v>
      </c>
      <c r="AR184" s="197">
        <f t="shared" si="103"/>
        <v>0</v>
      </c>
      <c r="AS184" s="197">
        <f t="shared" si="103"/>
        <v>0</v>
      </c>
      <c r="AT184" s="197">
        <f t="shared" si="103"/>
        <v>0</v>
      </c>
      <c r="AU184" s="33"/>
      <c r="AV184" s="33"/>
      <c r="AW184" s="33"/>
      <c r="AX184" s="33"/>
      <c r="AY184" s="76"/>
    </row>
    <row r="185" spans="3:51">
      <c r="C185" s="169" t="s">
        <v>60</v>
      </c>
      <c r="D185" s="4">
        <v>0.57999999999999996</v>
      </c>
      <c r="E185" s="191" t="s">
        <v>228</v>
      </c>
      <c r="I185" s="55">
        <v>180</v>
      </c>
      <c r="J185" s="33">
        <f t="shared" si="92"/>
        <v>0</v>
      </c>
      <c r="K185" s="33">
        <f t="shared" si="93"/>
        <v>0</v>
      </c>
      <c r="L185" s="33">
        <f t="shared" si="94"/>
        <v>0</v>
      </c>
      <c r="M185" s="33">
        <f t="shared" si="95"/>
        <v>0</v>
      </c>
      <c r="N185" s="33">
        <f t="shared" si="76"/>
        <v>0</v>
      </c>
      <c r="O185" s="34">
        <f t="shared" si="77"/>
        <v>0</v>
      </c>
      <c r="P185" s="55">
        <v>180</v>
      </c>
      <c r="Q185" s="33">
        <f t="shared" si="90"/>
        <v>0</v>
      </c>
      <c r="R185" s="33">
        <f t="shared" si="96"/>
        <v>0</v>
      </c>
      <c r="S185" s="33">
        <f t="shared" si="97"/>
        <v>0</v>
      </c>
      <c r="T185" s="33">
        <f t="shared" si="78"/>
        <v>0</v>
      </c>
      <c r="U185" s="33">
        <f t="shared" si="91"/>
        <v>0</v>
      </c>
      <c r="V185" s="33">
        <f t="shared" si="79"/>
        <v>0</v>
      </c>
      <c r="W185" s="33">
        <v>0</v>
      </c>
      <c r="X185" s="33">
        <f t="shared" si="80"/>
        <v>0</v>
      </c>
      <c r="Y185" s="38">
        <f t="shared" si="81"/>
        <v>0</v>
      </c>
      <c r="AA185" s="71">
        <v>180</v>
      </c>
      <c r="AB185" s="33">
        <f t="shared" si="82"/>
        <v>0</v>
      </c>
      <c r="AC185" s="308">
        <f t="shared" si="102"/>
        <v>0</v>
      </c>
      <c r="AD185" s="101">
        <f t="shared" si="83"/>
        <v>0</v>
      </c>
      <c r="AE185" s="101">
        <f t="shared" si="84"/>
        <v>0</v>
      </c>
      <c r="AF185" s="197">
        <f t="shared" si="98"/>
        <v>0</v>
      </c>
      <c r="AG185" s="197">
        <f t="shared" si="99"/>
        <v>0</v>
      </c>
      <c r="AH185" s="197">
        <f t="shared" si="100"/>
        <v>0</v>
      </c>
      <c r="AI185" s="202">
        <f t="shared" si="101"/>
        <v>0</v>
      </c>
      <c r="AK185" s="71">
        <v>180</v>
      </c>
      <c r="AL185" s="33">
        <f t="shared" si="85"/>
        <v>0</v>
      </c>
      <c r="AM185" s="33">
        <f t="shared" si="86"/>
        <v>0</v>
      </c>
      <c r="AN185" s="33">
        <f t="shared" si="87"/>
        <v>0</v>
      </c>
      <c r="AO185" s="33">
        <f t="shared" si="88"/>
        <v>0</v>
      </c>
      <c r="AP185" s="33">
        <f t="shared" si="89"/>
        <v>0</v>
      </c>
      <c r="AQ185" s="197">
        <f t="shared" si="103"/>
        <v>0</v>
      </c>
      <c r="AR185" s="197">
        <f t="shared" si="103"/>
        <v>0</v>
      </c>
      <c r="AS185" s="197">
        <f t="shared" si="103"/>
        <v>0</v>
      </c>
      <c r="AT185" s="197">
        <f t="shared" si="103"/>
        <v>0</v>
      </c>
      <c r="AU185" s="33"/>
      <c r="AV185" s="33"/>
      <c r="AW185" s="33"/>
      <c r="AX185" s="33"/>
      <c r="AY185" s="76"/>
    </row>
    <row r="186" spans="3:51">
      <c r="C186" s="169" t="s">
        <v>61</v>
      </c>
      <c r="D186" s="4">
        <v>0.37</v>
      </c>
      <c r="E186" s="191" t="s">
        <v>229</v>
      </c>
      <c r="I186" s="55">
        <v>181</v>
      </c>
      <c r="J186" s="33">
        <f t="shared" si="92"/>
        <v>0</v>
      </c>
      <c r="K186" s="33">
        <f t="shared" si="93"/>
        <v>0</v>
      </c>
      <c r="L186" s="33">
        <f t="shared" si="94"/>
        <v>0</v>
      </c>
      <c r="M186" s="33">
        <f t="shared" si="95"/>
        <v>0</v>
      </c>
      <c r="N186" s="33">
        <f t="shared" si="76"/>
        <v>0</v>
      </c>
      <c r="O186" s="34">
        <f t="shared" si="77"/>
        <v>0</v>
      </c>
      <c r="P186" s="55">
        <v>181</v>
      </c>
      <c r="Q186" s="33">
        <f t="shared" si="90"/>
        <v>0</v>
      </c>
      <c r="R186" s="33">
        <f t="shared" si="96"/>
        <v>0</v>
      </c>
      <c r="S186" s="33">
        <f t="shared" si="97"/>
        <v>0</v>
      </c>
      <c r="T186" s="33">
        <f t="shared" si="78"/>
        <v>0</v>
      </c>
      <c r="U186" s="33">
        <f t="shared" si="91"/>
        <v>0</v>
      </c>
      <c r="V186" s="33">
        <f t="shared" si="79"/>
        <v>0</v>
      </c>
      <c r="W186" s="33">
        <v>0</v>
      </c>
      <c r="X186" s="33">
        <f t="shared" si="80"/>
        <v>0</v>
      </c>
      <c r="Y186" s="38">
        <f t="shared" si="81"/>
        <v>0</v>
      </c>
      <c r="AA186" s="71">
        <v>181</v>
      </c>
      <c r="AB186" s="33">
        <f t="shared" si="82"/>
        <v>0</v>
      </c>
      <c r="AC186" s="308">
        <f t="shared" si="102"/>
        <v>0</v>
      </c>
      <c r="AD186" s="101">
        <f t="shared" si="83"/>
        <v>0</v>
      </c>
      <c r="AE186" s="101">
        <f t="shared" si="84"/>
        <v>0</v>
      </c>
      <c r="AF186" s="197">
        <f t="shared" si="98"/>
        <v>0</v>
      </c>
      <c r="AG186" s="197">
        <f t="shared" si="99"/>
        <v>0</v>
      </c>
      <c r="AH186" s="197">
        <f t="shared" si="100"/>
        <v>0</v>
      </c>
      <c r="AI186" s="202">
        <f t="shared" si="101"/>
        <v>0</v>
      </c>
      <c r="AK186" s="71">
        <v>181</v>
      </c>
      <c r="AL186" s="33">
        <f t="shared" si="85"/>
        <v>0</v>
      </c>
      <c r="AM186" s="33">
        <f t="shared" si="86"/>
        <v>0</v>
      </c>
      <c r="AN186" s="33">
        <f t="shared" si="87"/>
        <v>0</v>
      </c>
      <c r="AO186" s="33">
        <f t="shared" si="88"/>
        <v>0</v>
      </c>
      <c r="AP186" s="33">
        <f t="shared" si="89"/>
        <v>0</v>
      </c>
      <c r="AQ186" s="197">
        <f t="shared" si="103"/>
        <v>0</v>
      </c>
      <c r="AR186" s="197">
        <f t="shared" si="103"/>
        <v>0</v>
      </c>
      <c r="AS186" s="197">
        <f t="shared" si="103"/>
        <v>0</v>
      </c>
      <c r="AT186" s="197">
        <f t="shared" si="103"/>
        <v>0</v>
      </c>
      <c r="AU186" s="33"/>
      <c r="AV186" s="33"/>
      <c r="AW186" s="33"/>
      <c r="AX186" s="33"/>
      <c r="AY186" s="76"/>
    </row>
    <row r="187" spans="3:51">
      <c r="C187" s="169" t="s">
        <v>62</v>
      </c>
      <c r="D187" s="4">
        <v>0.37</v>
      </c>
      <c r="E187" s="191" t="s">
        <v>229</v>
      </c>
      <c r="I187" s="55">
        <v>182</v>
      </c>
      <c r="J187" s="33">
        <f t="shared" si="92"/>
        <v>0</v>
      </c>
      <c r="K187" s="33">
        <f t="shared" si="93"/>
        <v>0</v>
      </c>
      <c r="L187" s="33">
        <f t="shared" si="94"/>
        <v>0</v>
      </c>
      <c r="M187" s="33">
        <f t="shared" si="95"/>
        <v>0</v>
      </c>
      <c r="N187" s="33">
        <f t="shared" si="76"/>
        <v>0</v>
      </c>
      <c r="O187" s="34">
        <f t="shared" si="77"/>
        <v>0</v>
      </c>
      <c r="P187" s="55">
        <v>182</v>
      </c>
      <c r="Q187" s="33">
        <f t="shared" si="90"/>
        <v>0</v>
      </c>
      <c r="R187" s="33">
        <f t="shared" si="96"/>
        <v>0</v>
      </c>
      <c r="S187" s="33">
        <f t="shared" si="97"/>
        <v>0</v>
      </c>
      <c r="T187" s="33">
        <f t="shared" si="78"/>
        <v>0</v>
      </c>
      <c r="U187" s="33">
        <f t="shared" si="91"/>
        <v>0</v>
      </c>
      <c r="V187" s="33">
        <f t="shared" si="79"/>
        <v>0</v>
      </c>
      <c r="W187" s="33">
        <v>0</v>
      </c>
      <c r="X187" s="33">
        <f t="shared" si="80"/>
        <v>0</v>
      </c>
      <c r="Y187" s="38">
        <f t="shared" si="81"/>
        <v>0</v>
      </c>
      <c r="AA187" s="71">
        <v>182</v>
      </c>
      <c r="AB187" s="33">
        <f t="shared" si="82"/>
        <v>0</v>
      </c>
      <c r="AC187" s="308">
        <f t="shared" si="102"/>
        <v>0</v>
      </c>
      <c r="AD187" s="101">
        <f t="shared" si="83"/>
        <v>0</v>
      </c>
      <c r="AE187" s="101">
        <f t="shared" si="84"/>
        <v>0</v>
      </c>
      <c r="AF187" s="197">
        <f t="shared" si="98"/>
        <v>0</v>
      </c>
      <c r="AG187" s="197">
        <f t="shared" si="99"/>
        <v>0</v>
      </c>
      <c r="AH187" s="197">
        <f t="shared" si="100"/>
        <v>0</v>
      </c>
      <c r="AI187" s="202">
        <f t="shared" si="101"/>
        <v>0</v>
      </c>
      <c r="AK187" s="71">
        <v>182</v>
      </c>
      <c r="AL187" s="33">
        <f t="shared" si="85"/>
        <v>0</v>
      </c>
      <c r="AM187" s="33">
        <f t="shared" si="86"/>
        <v>0</v>
      </c>
      <c r="AN187" s="33">
        <f t="shared" si="87"/>
        <v>0</v>
      </c>
      <c r="AO187" s="33">
        <f t="shared" si="88"/>
        <v>0</v>
      </c>
      <c r="AP187" s="33">
        <f t="shared" si="89"/>
        <v>0</v>
      </c>
      <c r="AQ187" s="197">
        <f t="shared" si="103"/>
        <v>0</v>
      </c>
      <c r="AR187" s="197">
        <f t="shared" si="103"/>
        <v>0</v>
      </c>
      <c r="AS187" s="197">
        <f t="shared" si="103"/>
        <v>0</v>
      </c>
      <c r="AT187" s="197">
        <f t="shared" si="103"/>
        <v>0</v>
      </c>
      <c r="AU187" s="33"/>
      <c r="AV187" s="33"/>
      <c r="AW187" s="33"/>
      <c r="AX187" s="33"/>
      <c r="AY187" s="76"/>
    </row>
    <row r="188" spans="3:51">
      <c r="C188" s="169" t="s">
        <v>63</v>
      </c>
      <c r="D188" s="4">
        <v>0.38</v>
      </c>
      <c r="E188" s="191" t="s">
        <v>229</v>
      </c>
      <c r="I188" s="55">
        <v>183</v>
      </c>
      <c r="J188" s="33">
        <f t="shared" si="92"/>
        <v>0</v>
      </c>
      <c r="K188" s="33">
        <f t="shared" si="93"/>
        <v>0</v>
      </c>
      <c r="L188" s="33">
        <f t="shared" si="94"/>
        <v>0</v>
      </c>
      <c r="M188" s="33">
        <f t="shared" si="95"/>
        <v>0</v>
      </c>
      <c r="N188" s="33">
        <f t="shared" si="76"/>
        <v>0</v>
      </c>
      <c r="O188" s="34">
        <f t="shared" si="77"/>
        <v>0</v>
      </c>
      <c r="P188" s="55">
        <v>183</v>
      </c>
      <c r="Q188" s="33">
        <f t="shared" si="90"/>
        <v>0</v>
      </c>
      <c r="R188" s="33">
        <f t="shared" si="96"/>
        <v>0</v>
      </c>
      <c r="S188" s="33">
        <f t="shared" si="97"/>
        <v>0</v>
      </c>
      <c r="T188" s="33">
        <f t="shared" si="78"/>
        <v>0</v>
      </c>
      <c r="U188" s="33">
        <f t="shared" si="91"/>
        <v>0</v>
      </c>
      <c r="V188" s="33">
        <f t="shared" si="79"/>
        <v>0</v>
      </c>
      <c r="W188" s="33">
        <v>0</v>
      </c>
      <c r="X188" s="33">
        <f t="shared" si="80"/>
        <v>0</v>
      </c>
      <c r="Y188" s="38">
        <f t="shared" si="81"/>
        <v>0</v>
      </c>
      <c r="AA188" s="71">
        <v>183</v>
      </c>
      <c r="AB188" s="33">
        <f t="shared" si="82"/>
        <v>0</v>
      </c>
      <c r="AC188" s="308">
        <f t="shared" si="102"/>
        <v>0</v>
      </c>
      <c r="AD188" s="101">
        <f t="shared" si="83"/>
        <v>0</v>
      </c>
      <c r="AE188" s="101">
        <f t="shared" si="84"/>
        <v>0</v>
      </c>
      <c r="AF188" s="197">
        <f t="shared" si="98"/>
        <v>0</v>
      </c>
      <c r="AG188" s="197">
        <f t="shared" si="99"/>
        <v>0</v>
      </c>
      <c r="AH188" s="197">
        <f t="shared" si="100"/>
        <v>0</v>
      </c>
      <c r="AI188" s="202">
        <f t="shared" si="101"/>
        <v>0</v>
      </c>
      <c r="AK188" s="71">
        <v>183</v>
      </c>
      <c r="AL188" s="33">
        <f t="shared" si="85"/>
        <v>0</v>
      </c>
      <c r="AM188" s="33">
        <f t="shared" si="86"/>
        <v>0</v>
      </c>
      <c r="AN188" s="33">
        <f t="shared" si="87"/>
        <v>0</v>
      </c>
      <c r="AO188" s="33">
        <f t="shared" si="88"/>
        <v>0</v>
      </c>
      <c r="AP188" s="33">
        <f t="shared" si="89"/>
        <v>0</v>
      </c>
      <c r="AQ188" s="197">
        <f t="shared" si="103"/>
        <v>0</v>
      </c>
      <c r="AR188" s="197">
        <f t="shared" si="103"/>
        <v>0</v>
      </c>
      <c r="AS188" s="197">
        <f t="shared" si="103"/>
        <v>0</v>
      </c>
      <c r="AT188" s="197">
        <f t="shared" si="103"/>
        <v>0</v>
      </c>
      <c r="AU188" s="33"/>
      <c r="AV188" s="33"/>
      <c r="AW188" s="33"/>
      <c r="AX188" s="33"/>
      <c r="AY188" s="76"/>
    </row>
    <row r="189" spans="3:51">
      <c r="C189" s="169" t="s">
        <v>64</v>
      </c>
      <c r="D189" s="4">
        <v>0.36</v>
      </c>
      <c r="E189" s="191" t="s">
        <v>229</v>
      </c>
      <c r="I189" s="55">
        <v>184</v>
      </c>
      <c r="J189" s="33">
        <f t="shared" si="92"/>
        <v>0</v>
      </c>
      <c r="K189" s="33">
        <f t="shared" si="93"/>
        <v>0</v>
      </c>
      <c r="L189" s="33">
        <f t="shared" si="94"/>
        <v>0</v>
      </c>
      <c r="M189" s="33">
        <f t="shared" si="95"/>
        <v>0</v>
      </c>
      <c r="N189" s="33">
        <f t="shared" si="76"/>
        <v>0</v>
      </c>
      <c r="O189" s="34">
        <f t="shared" si="77"/>
        <v>0</v>
      </c>
      <c r="P189" s="55">
        <v>184</v>
      </c>
      <c r="Q189" s="33">
        <f t="shared" si="90"/>
        <v>0</v>
      </c>
      <c r="R189" s="33">
        <f t="shared" si="96"/>
        <v>0</v>
      </c>
      <c r="S189" s="33">
        <f t="shared" si="97"/>
        <v>0</v>
      </c>
      <c r="T189" s="33">
        <f t="shared" si="78"/>
        <v>0</v>
      </c>
      <c r="U189" s="33">
        <f t="shared" si="91"/>
        <v>0</v>
      </c>
      <c r="V189" s="33">
        <f t="shared" si="79"/>
        <v>0</v>
      </c>
      <c r="W189" s="33">
        <v>0</v>
      </c>
      <c r="X189" s="33">
        <f t="shared" si="80"/>
        <v>0</v>
      </c>
      <c r="Y189" s="38">
        <f t="shared" si="81"/>
        <v>0</v>
      </c>
      <c r="AA189" s="71">
        <v>184</v>
      </c>
      <c r="AB189" s="33">
        <f t="shared" si="82"/>
        <v>0</v>
      </c>
      <c r="AC189" s="308">
        <f t="shared" si="102"/>
        <v>0</v>
      </c>
      <c r="AD189" s="101">
        <f t="shared" si="83"/>
        <v>0</v>
      </c>
      <c r="AE189" s="101">
        <f t="shared" si="84"/>
        <v>0</v>
      </c>
      <c r="AF189" s="197">
        <f t="shared" si="98"/>
        <v>0</v>
      </c>
      <c r="AG189" s="197">
        <f t="shared" si="99"/>
        <v>0</v>
      </c>
      <c r="AH189" s="197">
        <f t="shared" si="100"/>
        <v>0</v>
      </c>
      <c r="AI189" s="202">
        <f t="shared" si="101"/>
        <v>0</v>
      </c>
      <c r="AK189" s="71">
        <v>184</v>
      </c>
      <c r="AL189" s="33">
        <f t="shared" si="85"/>
        <v>0</v>
      </c>
      <c r="AM189" s="33">
        <f t="shared" si="86"/>
        <v>0</v>
      </c>
      <c r="AN189" s="33">
        <f t="shared" si="87"/>
        <v>0</v>
      </c>
      <c r="AO189" s="33">
        <f t="shared" si="88"/>
        <v>0</v>
      </c>
      <c r="AP189" s="33">
        <f t="shared" si="89"/>
        <v>0</v>
      </c>
      <c r="AQ189" s="197">
        <f t="shared" si="103"/>
        <v>0</v>
      </c>
      <c r="AR189" s="197">
        <f t="shared" si="103"/>
        <v>0</v>
      </c>
      <c r="AS189" s="197">
        <f t="shared" si="103"/>
        <v>0</v>
      </c>
      <c r="AT189" s="197">
        <f t="shared" si="103"/>
        <v>0</v>
      </c>
      <c r="AU189" s="33"/>
      <c r="AV189" s="33"/>
      <c r="AW189" s="33"/>
      <c r="AX189" s="33"/>
      <c r="AY189" s="76"/>
    </row>
    <row r="190" spans="3:51">
      <c r="C190" s="169" t="s">
        <v>65</v>
      </c>
      <c r="D190" s="4">
        <v>0.37</v>
      </c>
      <c r="E190" s="191" t="s">
        <v>228</v>
      </c>
      <c r="I190" s="55">
        <v>185</v>
      </c>
      <c r="J190" s="33">
        <f t="shared" si="92"/>
        <v>0</v>
      </c>
      <c r="K190" s="33">
        <f t="shared" si="93"/>
        <v>0</v>
      </c>
      <c r="L190" s="33">
        <f t="shared" si="94"/>
        <v>0</v>
      </c>
      <c r="M190" s="33">
        <f t="shared" si="95"/>
        <v>0</v>
      </c>
      <c r="N190" s="33">
        <f t="shared" si="76"/>
        <v>0</v>
      </c>
      <c r="O190" s="34">
        <f t="shared" si="77"/>
        <v>0</v>
      </c>
      <c r="P190" s="55">
        <v>185</v>
      </c>
      <c r="Q190" s="33">
        <f t="shared" si="90"/>
        <v>0</v>
      </c>
      <c r="R190" s="33">
        <f t="shared" si="96"/>
        <v>0</v>
      </c>
      <c r="S190" s="33">
        <f t="shared" si="97"/>
        <v>0</v>
      </c>
      <c r="T190" s="33">
        <f t="shared" si="78"/>
        <v>0</v>
      </c>
      <c r="U190" s="33">
        <f t="shared" si="91"/>
        <v>0</v>
      </c>
      <c r="V190" s="33">
        <f t="shared" si="79"/>
        <v>0</v>
      </c>
      <c r="W190" s="33">
        <v>0</v>
      </c>
      <c r="X190" s="33">
        <f t="shared" si="80"/>
        <v>0</v>
      </c>
      <c r="Y190" s="38">
        <f t="shared" si="81"/>
        <v>0</v>
      </c>
      <c r="AA190" s="71">
        <v>185</v>
      </c>
      <c r="AB190" s="33">
        <f t="shared" si="82"/>
        <v>0</v>
      </c>
      <c r="AC190" s="308">
        <f t="shared" si="102"/>
        <v>0</v>
      </c>
      <c r="AD190" s="101">
        <f t="shared" si="83"/>
        <v>0</v>
      </c>
      <c r="AE190" s="101">
        <f t="shared" si="84"/>
        <v>0</v>
      </c>
      <c r="AF190" s="197">
        <f t="shared" si="98"/>
        <v>0</v>
      </c>
      <c r="AG190" s="197">
        <f t="shared" si="99"/>
        <v>0</v>
      </c>
      <c r="AH190" s="197">
        <f t="shared" si="100"/>
        <v>0</v>
      </c>
      <c r="AI190" s="202">
        <f t="shared" si="101"/>
        <v>0</v>
      </c>
      <c r="AK190" s="71">
        <v>185</v>
      </c>
      <c r="AL190" s="33">
        <f t="shared" si="85"/>
        <v>0</v>
      </c>
      <c r="AM190" s="33">
        <f t="shared" si="86"/>
        <v>0</v>
      </c>
      <c r="AN190" s="33">
        <f t="shared" si="87"/>
        <v>0</v>
      </c>
      <c r="AO190" s="33">
        <f t="shared" si="88"/>
        <v>0</v>
      </c>
      <c r="AP190" s="33">
        <f t="shared" si="89"/>
        <v>0</v>
      </c>
      <c r="AQ190" s="197">
        <f t="shared" si="103"/>
        <v>0</v>
      </c>
      <c r="AR190" s="197">
        <f t="shared" si="103"/>
        <v>0</v>
      </c>
      <c r="AS190" s="197">
        <f t="shared" si="103"/>
        <v>0</v>
      </c>
      <c r="AT190" s="197">
        <f t="shared" si="103"/>
        <v>0</v>
      </c>
      <c r="AU190" s="33"/>
      <c r="AV190" s="33"/>
      <c r="AW190" s="33"/>
      <c r="AX190" s="33"/>
      <c r="AY190" s="76"/>
    </row>
    <row r="191" spans="3:51">
      <c r="C191" s="169" t="s">
        <v>66</v>
      </c>
      <c r="D191" s="4">
        <v>0.53</v>
      </c>
      <c r="E191" s="191" t="s">
        <v>228</v>
      </c>
      <c r="I191" s="55">
        <v>186</v>
      </c>
      <c r="J191" s="33">
        <f t="shared" si="92"/>
        <v>0</v>
      </c>
      <c r="K191" s="33">
        <f t="shared" si="93"/>
        <v>0</v>
      </c>
      <c r="L191" s="33">
        <f t="shared" si="94"/>
        <v>0</v>
      </c>
      <c r="M191" s="33">
        <f t="shared" si="95"/>
        <v>0</v>
      </c>
      <c r="N191" s="33">
        <f t="shared" si="76"/>
        <v>0</v>
      </c>
      <c r="O191" s="34">
        <f t="shared" si="77"/>
        <v>0</v>
      </c>
      <c r="P191" s="55">
        <v>186</v>
      </c>
      <c r="Q191" s="33">
        <f t="shared" si="90"/>
        <v>0</v>
      </c>
      <c r="R191" s="33">
        <f t="shared" si="96"/>
        <v>0</v>
      </c>
      <c r="S191" s="33">
        <f t="shared" si="97"/>
        <v>0</v>
      </c>
      <c r="T191" s="33">
        <f t="shared" si="78"/>
        <v>0</v>
      </c>
      <c r="U191" s="33">
        <f t="shared" si="91"/>
        <v>0</v>
      </c>
      <c r="V191" s="33">
        <f t="shared" si="79"/>
        <v>0</v>
      </c>
      <c r="W191" s="33">
        <v>0</v>
      </c>
      <c r="X191" s="33">
        <f t="shared" si="80"/>
        <v>0</v>
      </c>
      <c r="Y191" s="38">
        <f t="shared" si="81"/>
        <v>0</v>
      </c>
      <c r="AA191" s="71">
        <v>186</v>
      </c>
      <c r="AB191" s="33">
        <f t="shared" si="82"/>
        <v>0</v>
      </c>
      <c r="AC191" s="308">
        <f t="shared" si="102"/>
        <v>0</v>
      </c>
      <c r="AD191" s="101">
        <f t="shared" si="83"/>
        <v>0</v>
      </c>
      <c r="AE191" s="101">
        <f t="shared" si="84"/>
        <v>0</v>
      </c>
      <c r="AF191" s="197">
        <f t="shared" si="98"/>
        <v>0</v>
      </c>
      <c r="AG191" s="197">
        <f t="shared" si="99"/>
        <v>0</v>
      </c>
      <c r="AH191" s="197">
        <f t="shared" si="100"/>
        <v>0</v>
      </c>
      <c r="AI191" s="202">
        <f t="shared" si="101"/>
        <v>0</v>
      </c>
      <c r="AK191" s="71">
        <v>186</v>
      </c>
      <c r="AL191" s="33">
        <f t="shared" si="85"/>
        <v>0</v>
      </c>
      <c r="AM191" s="33">
        <f t="shared" si="86"/>
        <v>0</v>
      </c>
      <c r="AN191" s="33">
        <f t="shared" si="87"/>
        <v>0</v>
      </c>
      <c r="AO191" s="33">
        <f t="shared" si="88"/>
        <v>0</v>
      </c>
      <c r="AP191" s="33">
        <f t="shared" si="89"/>
        <v>0</v>
      </c>
      <c r="AQ191" s="197">
        <f t="shared" si="103"/>
        <v>0</v>
      </c>
      <c r="AR191" s="197">
        <f t="shared" si="103"/>
        <v>0</v>
      </c>
      <c r="AS191" s="197">
        <f t="shared" si="103"/>
        <v>0</v>
      </c>
      <c r="AT191" s="197">
        <f t="shared" si="103"/>
        <v>0</v>
      </c>
      <c r="AU191" s="33"/>
      <c r="AV191" s="33"/>
      <c r="AW191" s="33"/>
      <c r="AX191" s="33"/>
      <c r="AY191" s="76"/>
    </row>
    <row r="192" spans="3:51">
      <c r="C192" s="169" t="s">
        <v>67</v>
      </c>
      <c r="D192" s="4">
        <v>0.43</v>
      </c>
      <c r="E192" s="191" t="s">
        <v>228</v>
      </c>
      <c r="I192" s="55">
        <v>187</v>
      </c>
      <c r="J192" s="33">
        <f t="shared" si="92"/>
        <v>0</v>
      </c>
      <c r="K192" s="33">
        <f t="shared" si="93"/>
        <v>0</v>
      </c>
      <c r="L192" s="33">
        <f t="shared" si="94"/>
        <v>0</v>
      </c>
      <c r="M192" s="33">
        <f t="shared" si="95"/>
        <v>0</v>
      </c>
      <c r="N192" s="33">
        <f t="shared" si="76"/>
        <v>0</v>
      </c>
      <c r="O192" s="34">
        <f t="shared" si="77"/>
        <v>0</v>
      </c>
      <c r="P192" s="55">
        <v>187</v>
      </c>
      <c r="Q192" s="33">
        <f t="shared" si="90"/>
        <v>0</v>
      </c>
      <c r="R192" s="33">
        <f t="shared" si="96"/>
        <v>0</v>
      </c>
      <c r="S192" s="33">
        <f t="shared" si="97"/>
        <v>0</v>
      </c>
      <c r="T192" s="33">
        <f t="shared" si="78"/>
        <v>0</v>
      </c>
      <c r="U192" s="33">
        <f t="shared" si="91"/>
        <v>0</v>
      </c>
      <c r="V192" s="33">
        <f t="shared" si="79"/>
        <v>0</v>
      </c>
      <c r="W192" s="33">
        <v>0</v>
      </c>
      <c r="X192" s="33">
        <f t="shared" si="80"/>
        <v>0</v>
      </c>
      <c r="Y192" s="38">
        <f t="shared" si="81"/>
        <v>0</v>
      </c>
      <c r="AA192" s="71">
        <v>187</v>
      </c>
      <c r="AB192" s="33">
        <f t="shared" si="82"/>
        <v>0</v>
      </c>
      <c r="AC192" s="308">
        <f t="shared" si="102"/>
        <v>0</v>
      </c>
      <c r="AD192" s="101">
        <f t="shared" si="83"/>
        <v>0</v>
      </c>
      <c r="AE192" s="101">
        <f t="shared" si="84"/>
        <v>0</v>
      </c>
      <c r="AF192" s="197">
        <f t="shared" si="98"/>
        <v>0</v>
      </c>
      <c r="AG192" s="197">
        <f t="shared" si="99"/>
        <v>0</v>
      </c>
      <c r="AH192" s="197">
        <f t="shared" si="100"/>
        <v>0</v>
      </c>
      <c r="AI192" s="202">
        <f t="shared" si="101"/>
        <v>0</v>
      </c>
      <c r="AK192" s="71">
        <v>187</v>
      </c>
      <c r="AL192" s="33">
        <f t="shared" si="85"/>
        <v>0</v>
      </c>
      <c r="AM192" s="33">
        <f t="shared" si="86"/>
        <v>0</v>
      </c>
      <c r="AN192" s="33">
        <f t="shared" si="87"/>
        <v>0</v>
      </c>
      <c r="AO192" s="33">
        <f t="shared" si="88"/>
        <v>0</v>
      </c>
      <c r="AP192" s="33">
        <f t="shared" si="89"/>
        <v>0</v>
      </c>
      <c r="AQ192" s="197">
        <f t="shared" si="103"/>
        <v>0</v>
      </c>
      <c r="AR192" s="197">
        <f t="shared" si="103"/>
        <v>0</v>
      </c>
      <c r="AS192" s="197">
        <f t="shared" si="103"/>
        <v>0</v>
      </c>
      <c r="AT192" s="197">
        <f t="shared" si="103"/>
        <v>0</v>
      </c>
      <c r="AU192" s="33"/>
      <c r="AV192" s="33"/>
      <c r="AW192" s="33"/>
      <c r="AX192" s="33"/>
      <c r="AY192" s="76"/>
    </row>
    <row r="193" spans="3:51">
      <c r="C193" s="169" t="s">
        <v>68</v>
      </c>
      <c r="D193" s="4">
        <v>0.38</v>
      </c>
      <c r="E193" s="191" t="s">
        <v>228</v>
      </c>
      <c r="I193" s="55">
        <v>188</v>
      </c>
      <c r="J193" s="33">
        <f t="shared" si="92"/>
        <v>0</v>
      </c>
      <c r="K193" s="33">
        <f t="shared" si="93"/>
        <v>0</v>
      </c>
      <c r="L193" s="33">
        <f t="shared" si="94"/>
        <v>0</v>
      </c>
      <c r="M193" s="33">
        <f t="shared" si="95"/>
        <v>0</v>
      </c>
      <c r="N193" s="33">
        <f t="shared" si="76"/>
        <v>0</v>
      </c>
      <c r="O193" s="34">
        <f t="shared" si="77"/>
        <v>0</v>
      </c>
      <c r="P193" s="55">
        <v>188</v>
      </c>
      <c r="Q193" s="33">
        <f t="shared" si="90"/>
        <v>0</v>
      </c>
      <c r="R193" s="33">
        <f t="shared" si="96"/>
        <v>0</v>
      </c>
      <c r="S193" s="33">
        <f t="shared" si="97"/>
        <v>0</v>
      </c>
      <c r="T193" s="33">
        <f t="shared" si="78"/>
        <v>0</v>
      </c>
      <c r="U193" s="33">
        <f t="shared" si="91"/>
        <v>0</v>
      </c>
      <c r="V193" s="33">
        <f t="shared" si="79"/>
        <v>0</v>
      </c>
      <c r="W193" s="33">
        <v>0</v>
      </c>
      <c r="X193" s="33">
        <f t="shared" si="80"/>
        <v>0</v>
      </c>
      <c r="Y193" s="38">
        <f t="shared" si="81"/>
        <v>0</v>
      </c>
      <c r="AA193" s="71">
        <v>188</v>
      </c>
      <c r="AB193" s="33">
        <f t="shared" si="82"/>
        <v>0</v>
      </c>
      <c r="AC193" s="308">
        <f t="shared" si="102"/>
        <v>0</v>
      </c>
      <c r="AD193" s="101">
        <f t="shared" si="83"/>
        <v>0</v>
      </c>
      <c r="AE193" s="101">
        <f t="shared" si="84"/>
        <v>0</v>
      </c>
      <c r="AF193" s="197">
        <f t="shared" si="98"/>
        <v>0</v>
      </c>
      <c r="AG193" s="197">
        <f t="shared" si="99"/>
        <v>0</v>
      </c>
      <c r="AH193" s="197">
        <f t="shared" si="100"/>
        <v>0</v>
      </c>
      <c r="AI193" s="202">
        <f t="shared" si="101"/>
        <v>0</v>
      </c>
      <c r="AK193" s="71">
        <v>188</v>
      </c>
      <c r="AL193" s="33">
        <f t="shared" si="85"/>
        <v>0</v>
      </c>
      <c r="AM193" s="33">
        <f t="shared" si="86"/>
        <v>0</v>
      </c>
      <c r="AN193" s="33">
        <f t="shared" si="87"/>
        <v>0</v>
      </c>
      <c r="AO193" s="33">
        <f t="shared" si="88"/>
        <v>0</v>
      </c>
      <c r="AP193" s="33">
        <f t="shared" si="89"/>
        <v>0</v>
      </c>
      <c r="AQ193" s="197">
        <f t="shared" si="103"/>
        <v>0</v>
      </c>
      <c r="AR193" s="197">
        <f t="shared" si="103"/>
        <v>0</v>
      </c>
      <c r="AS193" s="197">
        <f t="shared" si="103"/>
        <v>0</v>
      </c>
      <c r="AT193" s="197">
        <f t="shared" si="103"/>
        <v>0</v>
      </c>
      <c r="AU193" s="33"/>
      <c r="AV193" s="33"/>
      <c r="AW193" s="33"/>
      <c r="AX193" s="33"/>
      <c r="AY193" s="76"/>
    </row>
    <row r="194" spans="3:51">
      <c r="C194" s="171" t="s">
        <v>69</v>
      </c>
      <c r="D194" s="3">
        <v>0.42</v>
      </c>
      <c r="E194" s="191" t="s">
        <v>229</v>
      </c>
      <c r="I194" s="55">
        <v>189</v>
      </c>
      <c r="J194" s="33">
        <f t="shared" si="92"/>
        <v>0</v>
      </c>
      <c r="K194" s="33">
        <f t="shared" si="93"/>
        <v>0</v>
      </c>
      <c r="L194" s="33">
        <f t="shared" si="94"/>
        <v>0</v>
      </c>
      <c r="M194" s="33">
        <f t="shared" si="95"/>
        <v>0</v>
      </c>
      <c r="N194" s="33">
        <f t="shared" si="76"/>
        <v>0</v>
      </c>
      <c r="O194" s="34">
        <f t="shared" si="77"/>
        <v>0</v>
      </c>
      <c r="P194" s="55">
        <v>189</v>
      </c>
      <c r="Q194" s="33">
        <f t="shared" si="90"/>
        <v>0</v>
      </c>
      <c r="R194" s="33">
        <f t="shared" si="96"/>
        <v>0</v>
      </c>
      <c r="S194" s="33">
        <f t="shared" si="97"/>
        <v>0</v>
      </c>
      <c r="T194" s="33">
        <f t="shared" si="78"/>
        <v>0</v>
      </c>
      <c r="U194" s="33">
        <f t="shared" si="91"/>
        <v>0</v>
      </c>
      <c r="V194" s="33">
        <f t="shared" si="79"/>
        <v>0</v>
      </c>
      <c r="W194" s="33">
        <v>0</v>
      </c>
      <c r="X194" s="33">
        <f t="shared" si="80"/>
        <v>0</v>
      </c>
      <c r="Y194" s="38">
        <f t="shared" si="81"/>
        <v>0</v>
      </c>
      <c r="AA194" s="71">
        <v>189</v>
      </c>
      <c r="AB194" s="33">
        <f t="shared" si="82"/>
        <v>0</v>
      </c>
      <c r="AC194" s="308">
        <f t="shared" si="102"/>
        <v>0</v>
      </c>
      <c r="AD194" s="101">
        <f t="shared" si="83"/>
        <v>0</v>
      </c>
      <c r="AE194" s="101">
        <f t="shared" si="84"/>
        <v>0</v>
      </c>
      <c r="AF194" s="197">
        <f t="shared" si="98"/>
        <v>0</v>
      </c>
      <c r="AG194" s="197">
        <f t="shared" si="99"/>
        <v>0</v>
      </c>
      <c r="AH194" s="197">
        <f t="shared" si="100"/>
        <v>0</v>
      </c>
      <c r="AI194" s="202">
        <f t="shared" si="101"/>
        <v>0</v>
      </c>
      <c r="AK194" s="71">
        <v>189</v>
      </c>
      <c r="AL194" s="33">
        <f t="shared" si="85"/>
        <v>0</v>
      </c>
      <c r="AM194" s="33">
        <f t="shared" si="86"/>
        <v>0</v>
      </c>
      <c r="AN194" s="33">
        <f t="shared" si="87"/>
        <v>0</v>
      </c>
      <c r="AO194" s="33">
        <f t="shared" si="88"/>
        <v>0</v>
      </c>
      <c r="AP194" s="33">
        <f t="shared" si="89"/>
        <v>0</v>
      </c>
      <c r="AQ194" s="197">
        <f t="shared" si="103"/>
        <v>0</v>
      </c>
      <c r="AR194" s="197">
        <f t="shared" si="103"/>
        <v>0</v>
      </c>
      <c r="AS194" s="197">
        <f t="shared" si="103"/>
        <v>0</v>
      </c>
      <c r="AT194" s="197">
        <f t="shared" si="103"/>
        <v>0</v>
      </c>
      <c r="AU194" s="33"/>
      <c r="AV194" s="33"/>
      <c r="AW194" s="33"/>
      <c r="AX194" s="33"/>
      <c r="AY194" s="76"/>
    </row>
    <row r="195" spans="3:51">
      <c r="C195" s="171" t="s">
        <v>70</v>
      </c>
      <c r="D195" s="3">
        <v>0.56999999999999995</v>
      </c>
      <c r="E195" s="191" t="s">
        <v>228</v>
      </c>
      <c r="I195" s="55">
        <v>190</v>
      </c>
      <c r="J195" s="33">
        <f t="shared" si="92"/>
        <v>0</v>
      </c>
      <c r="K195" s="33">
        <f t="shared" si="93"/>
        <v>0</v>
      </c>
      <c r="L195" s="33">
        <f t="shared" si="94"/>
        <v>0</v>
      </c>
      <c r="M195" s="33">
        <f t="shared" si="95"/>
        <v>0</v>
      </c>
      <c r="N195" s="33">
        <f t="shared" si="76"/>
        <v>0</v>
      </c>
      <c r="O195" s="34">
        <f t="shared" si="77"/>
        <v>0</v>
      </c>
      <c r="P195" s="55">
        <v>190</v>
      </c>
      <c r="Q195" s="33">
        <f t="shared" si="90"/>
        <v>0</v>
      </c>
      <c r="R195" s="33">
        <f t="shared" si="96"/>
        <v>0</v>
      </c>
      <c r="S195" s="33">
        <f t="shared" si="97"/>
        <v>0</v>
      </c>
      <c r="T195" s="33">
        <f t="shared" si="78"/>
        <v>0</v>
      </c>
      <c r="U195" s="33">
        <f t="shared" si="91"/>
        <v>0</v>
      </c>
      <c r="V195" s="33">
        <f t="shared" si="79"/>
        <v>0</v>
      </c>
      <c r="W195" s="33">
        <v>0</v>
      </c>
      <c r="X195" s="33">
        <f t="shared" si="80"/>
        <v>0</v>
      </c>
      <c r="Y195" s="38">
        <f t="shared" si="81"/>
        <v>0</v>
      </c>
      <c r="AA195" s="71">
        <v>190</v>
      </c>
      <c r="AB195" s="33">
        <f t="shared" si="82"/>
        <v>0</v>
      </c>
      <c r="AC195" s="308">
        <f t="shared" si="102"/>
        <v>0</v>
      </c>
      <c r="AD195" s="101">
        <f t="shared" si="83"/>
        <v>0</v>
      </c>
      <c r="AE195" s="101">
        <f t="shared" si="84"/>
        <v>0</v>
      </c>
      <c r="AF195" s="197">
        <f t="shared" si="98"/>
        <v>0</v>
      </c>
      <c r="AG195" s="197">
        <f t="shared" si="99"/>
        <v>0</v>
      </c>
      <c r="AH195" s="197">
        <f t="shared" si="100"/>
        <v>0</v>
      </c>
      <c r="AI195" s="202">
        <f t="shared" si="101"/>
        <v>0</v>
      </c>
      <c r="AK195" s="71">
        <v>190</v>
      </c>
      <c r="AL195" s="33">
        <f t="shared" si="85"/>
        <v>0</v>
      </c>
      <c r="AM195" s="33">
        <f t="shared" si="86"/>
        <v>0</v>
      </c>
      <c r="AN195" s="33">
        <f t="shared" si="87"/>
        <v>0</v>
      </c>
      <c r="AO195" s="33">
        <f t="shared" si="88"/>
        <v>0</v>
      </c>
      <c r="AP195" s="33">
        <f t="shared" si="89"/>
        <v>0</v>
      </c>
      <c r="AQ195" s="197">
        <f t="shared" si="103"/>
        <v>0</v>
      </c>
      <c r="AR195" s="197">
        <f t="shared" si="103"/>
        <v>0</v>
      </c>
      <c r="AS195" s="197">
        <f t="shared" si="103"/>
        <v>0</v>
      </c>
      <c r="AT195" s="197">
        <f t="shared" si="103"/>
        <v>0</v>
      </c>
      <c r="AU195" s="33"/>
      <c r="AV195" s="33"/>
      <c r="AW195" s="33"/>
      <c r="AX195" s="33"/>
      <c r="AY195" s="76"/>
    </row>
    <row r="196" spans="3:51">
      <c r="C196" s="171" t="s">
        <v>71</v>
      </c>
      <c r="D196" s="3">
        <v>0.54</v>
      </c>
      <c r="E196" s="191"/>
      <c r="I196" s="55">
        <v>191</v>
      </c>
      <c r="J196" s="33">
        <f t="shared" si="92"/>
        <v>0</v>
      </c>
      <c r="K196" s="33">
        <f t="shared" si="93"/>
        <v>0</v>
      </c>
      <c r="L196" s="33">
        <f t="shared" si="94"/>
        <v>0</v>
      </c>
      <c r="M196" s="33">
        <f t="shared" si="95"/>
        <v>0</v>
      </c>
      <c r="N196" s="33">
        <f t="shared" si="76"/>
        <v>0</v>
      </c>
      <c r="O196" s="34">
        <f t="shared" si="77"/>
        <v>0</v>
      </c>
      <c r="P196" s="55">
        <v>191</v>
      </c>
      <c r="Q196" s="33">
        <f t="shared" si="90"/>
        <v>0</v>
      </c>
      <c r="R196" s="33">
        <f t="shared" si="96"/>
        <v>0</v>
      </c>
      <c r="S196" s="33">
        <f t="shared" si="97"/>
        <v>0</v>
      </c>
      <c r="T196" s="33">
        <f t="shared" si="78"/>
        <v>0</v>
      </c>
      <c r="U196" s="33">
        <f t="shared" si="91"/>
        <v>0</v>
      </c>
      <c r="V196" s="33">
        <f t="shared" si="79"/>
        <v>0</v>
      </c>
      <c r="W196" s="33">
        <v>0</v>
      </c>
      <c r="X196" s="33">
        <f t="shared" si="80"/>
        <v>0</v>
      </c>
      <c r="Y196" s="38">
        <f t="shared" si="81"/>
        <v>0</v>
      </c>
      <c r="AA196" s="71">
        <v>191</v>
      </c>
      <c r="AB196" s="33">
        <f t="shared" si="82"/>
        <v>0</v>
      </c>
      <c r="AC196" s="308">
        <f t="shared" si="102"/>
        <v>0</v>
      </c>
      <c r="AD196" s="101">
        <f t="shared" si="83"/>
        <v>0</v>
      </c>
      <c r="AE196" s="101">
        <f t="shared" si="84"/>
        <v>0</v>
      </c>
      <c r="AF196" s="197">
        <f t="shared" si="98"/>
        <v>0</v>
      </c>
      <c r="AG196" s="197">
        <f t="shared" si="99"/>
        <v>0</v>
      </c>
      <c r="AH196" s="197">
        <f t="shared" si="100"/>
        <v>0</v>
      </c>
      <c r="AI196" s="202">
        <f t="shared" si="101"/>
        <v>0</v>
      </c>
      <c r="AK196" s="71">
        <v>191</v>
      </c>
      <c r="AL196" s="33">
        <f t="shared" si="85"/>
        <v>0</v>
      </c>
      <c r="AM196" s="33">
        <f t="shared" si="86"/>
        <v>0</v>
      </c>
      <c r="AN196" s="33">
        <f t="shared" si="87"/>
        <v>0</v>
      </c>
      <c r="AO196" s="33">
        <f t="shared" si="88"/>
        <v>0</v>
      </c>
      <c r="AP196" s="33">
        <f t="shared" si="89"/>
        <v>0</v>
      </c>
      <c r="AQ196" s="197">
        <f t="shared" si="103"/>
        <v>0</v>
      </c>
      <c r="AR196" s="197">
        <f t="shared" si="103"/>
        <v>0</v>
      </c>
      <c r="AS196" s="197">
        <f t="shared" si="103"/>
        <v>0</v>
      </c>
      <c r="AT196" s="197">
        <f t="shared" si="103"/>
        <v>0</v>
      </c>
      <c r="AU196" s="33"/>
      <c r="AV196" s="33"/>
      <c r="AW196" s="33"/>
      <c r="AX196" s="33"/>
      <c r="AY196" s="76"/>
    </row>
    <row r="197" spans="3:51">
      <c r="E197" s="24"/>
      <c r="I197" s="55">
        <v>192</v>
      </c>
      <c r="J197" s="33">
        <f t="shared" si="92"/>
        <v>0</v>
      </c>
      <c r="K197" s="33">
        <f t="shared" si="93"/>
        <v>0</v>
      </c>
      <c r="L197" s="33">
        <f t="shared" si="94"/>
        <v>0</v>
      </c>
      <c r="M197" s="33">
        <f t="shared" si="95"/>
        <v>0</v>
      </c>
      <c r="N197" s="33">
        <f t="shared" ref="N197:N204" si="104">IF(P198&lt;=$F$18,0,)</f>
        <v>0</v>
      </c>
      <c r="O197" s="34">
        <f t="shared" ref="O197:O205" si="105">((J197+K197)*0.475+L197+M197+N197)*44/12</f>
        <v>0</v>
      </c>
      <c r="P197" s="55">
        <v>192</v>
      </c>
      <c r="Q197" s="33">
        <f t="shared" si="90"/>
        <v>0</v>
      </c>
      <c r="R197" s="33">
        <f t="shared" si="96"/>
        <v>0</v>
      </c>
      <c r="S197" s="33">
        <f t="shared" si="97"/>
        <v>0</v>
      </c>
      <c r="T197" s="33">
        <f t="shared" ref="T197:T205" si="106">IF(S197=0,0,EXP(-1.0587+0.8836*LN(S197)+0.284))</f>
        <v>0</v>
      </c>
      <c r="U197" s="33">
        <f t="shared" si="91"/>
        <v>0</v>
      </c>
      <c r="V197" s="33">
        <f t="shared" ref="V197:V205" si="107">IF(P197&lt;=$F$18,IF(P197&lt;=30,P197*($F$16-$F$6)/30,$F$16-$F$6),)</f>
        <v>0</v>
      </c>
      <c r="W197" s="33">
        <v>0</v>
      </c>
      <c r="X197" s="33">
        <f t="shared" ref="X197:X205" si="108">((S197+T197)*0.475+U197+V197+W197)*44/12</f>
        <v>0</v>
      </c>
      <c r="Y197" s="38">
        <f t="shared" ref="Y197:Y205" si="109">IF(P197&lt;=$F$18,X197-O197,)</f>
        <v>0</v>
      </c>
      <c r="AA197" s="71">
        <v>192</v>
      </c>
      <c r="AB197" s="33">
        <f t="shared" ref="AB197:AB205" si="110">IF(AA197&lt;=$F$18,IFERROR(VLOOKUP($AA197,$B$82:$G$94,2,FALSE),0),)</f>
        <v>0</v>
      </c>
      <c r="AC197" s="308">
        <f t="shared" si="102"/>
        <v>0</v>
      </c>
      <c r="AD197" s="101">
        <f t="shared" ref="AD197:AD205" si="111">IF(AA197&lt;=$F$18,IFERROR(VLOOKUP($AA197,$B$82:$G$94,4,FALSE),0),)</f>
        <v>0</v>
      </c>
      <c r="AE197" s="101">
        <f t="shared" ref="AE197:AE205" si="112">IF(AA197&lt;=$F$18,IFERROR(VLOOKUP($AA197,$B$82:$G$94,5,FALSE),0),)</f>
        <v>0</v>
      </c>
      <c r="AF197" s="197">
        <f t="shared" si="98"/>
        <v>0</v>
      </c>
      <c r="AG197" s="197">
        <f t="shared" si="99"/>
        <v>0</v>
      </c>
      <c r="AH197" s="197">
        <f t="shared" si="100"/>
        <v>0</v>
      </c>
      <c r="AI197" s="202">
        <f t="shared" si="101"/>
        <v>0</v>
      </c>
      <c r="AK197" s="71">
        <v>192</v>
      </c>
      <c r="AL197" s="33">
        <f t="shared" ref="AL197:AL205" si="113">IF(AK197&lt;=$F$18,IFERROR(VLOOKUP($AA197,$B$82:$G$94,2,FALSE),0),)</f>
        <v>0</v>
      </c>
      <c r="AM197" s="33">
        <f t="shared" ref="AM197:AM205" si="114">IF(AK197&lt;=$F$18,IFERROR(VLOOKUP($AA197,$B$82:$G$94,3,FALSE),0),)</f>
        <v>0</v>
      </c>
      <c r="AN197" s="33">
        <f t="shared" ref="AN197:AN205" si="115">IF(AK197&lt;=$F$18,IFERROR(VLOOKUP($AA197,$B$82:$G$94,4,FALSE),0),)</f>
        <v>0</v>
      </c>
      <c r="AO197" s="33">
        <f t="shared" ref="AO197:AO205" si="116">IF(AK197&lt;=$F$18,IFERROR(VLOOKUP($AA197,$B$82:$G$94,5,FALSE),0),)</f>
        <v>0</v>
      </c>
      <c r="AP197" s="33">
        <f t="shared" ref="AP197:AP205" si="117">IF(AK197&lt;=$F$18,IFERROR(VLOOKUP($AA197,$B$82:$G$94,6,FALSE),0),)</f>
        <v>0</v>
      </c>
      <c r="AQ197" s="197">
        <f t="shared" si="103"/>
        <v>0</v>
      </c>
      <c r="AR197" s="197">
        <f t="shared" si="103"/>
        <v>0</v>
      </c>
      <c r="AS197" s="197">
        <f t="shared" si="103"/>
        <v>0</v>
      </c>
      <c r="AT197" s="197">
        <f t="shared" si="103"/>
        <v>0</v>
      </c>
      <c r="AU197" s="33"/>
      <c r="AV197" s="33"/>
      <c r="AW197" s="33"/>
      <c r="AX197" s="33"/>
      <c r="AY197" s="76"/>
    </row>
    <row r="198" spans="3:51">
      <c r="E198" s="24"/>
      <c r="I198" s="55">
        <v>193</v>
      </c>
      <c r="J198" s="33">
        <f t="shared" si="92"/>
        <v>0</v>
      </c>
      <c r="K198" s="33">
        <f t="shared" si="93"/>
        <v>0</v>
      </c>
      <c r="L198" s="33">
        <f t="shared" si="94"/>
        <v>0</v>
      </c>
      <c r="M198" s="33">
        <f t="shared" si="95"/>
        <v>0</v>
      </c>
      <c r="N198" s="33">
        <f t="shared" si="104"/>
        <v>0</v>
      </c>
      <c r="O198" s="34">
        <f t="shared" si="105"/>
        <v>0</v>
      </c>
      <c r="P198" s="55">
        <v>193</v>
      </c>
      <c r="Q198" s="33">
        <f t="shared" ref="Q198:Q205" si="118">IF(P198&lt;=$F$18,LOOKUP(P198-1,$B$25:$B$78,$G$25:$G$78),)</f>
        <v>0</v>
      </c>
      <c r="R198" s="33">
        <f t="shared" si="96"/>
        <v>0</v>
      </c>
      <c r="S198" s="33">
        <f t="shared" si="97"/>
        <v>0</v>
      </c>
      <c r="T198" s="33">
        <f t="shared" si="106"/>
        <v>0</v>
      </c>
      <c r="U198" s="33">
        <f t="shared" ref="U198:U205" si="119">IF(P198&lt;=$F$18,$F$5+($F$15-$F$5)*(1-EXP(-0.0175*P198)),)</f>
        <v>0</v>
      </c>
      <c r="V198" s="33">
        <f t="shared" si="107"/>
        <v>0</v>
      </c>
      <c r="W198" s="33">
        <v>0</v>
      </c>
      <c r="X198" s="33">
        <f t="shared" si="108"/>
        <v>0</v>
      </c>
      <c r="Y198" s="38">
        <f t="shared" si="109"/>
        <v>0</v>
      </c>
      <c r="AA198" s="71">
        <v>193</v>
      </c>
      <c r="AB198" s="33">
        <f t="shared" si="110"/>
        <v>0</v>
      </c>
      <c r="AC198" s="308">
        <f t="shared" si="102"/>
        <v>0</v>
      </c>
      <c r="AD198" s="101">
        <f t="shared" si="111"/>
        <v>0</v>
      </c>
      <c r="AE198" s="101">
        <f t="shared" si="112"/>
        <v>0</v>
      </c>
      <c r="AF198" s="197">
        <f t="shared" si="98"/>
        <v>0</v>
      </c>
      <c r="AG198" s="197">
        <f t="shared" si="99"/>
        <v>0</v>
      </c>
      <c r="AH198" s="197">
        <f t="shared" si="100"/>
        <v>0</v>
      </c>
      <c r="AI198" s="202">
        <f t="shared" si="101"/>
        <v>0</v>
      </c>
      <c r="AK198" s="71">
        <v>193</v>
      </c>
      <c r="AL198" s="33">
        <f t="shared" si="113"/>
        <v>0</v>
      </c>
      <c r="AM198" s="33">
        <f t="shared" si="114"/>
        <v>0</v>
      </c>
      <c r="AN198" s="33">
        <f t="shared" si="115"/>
        <v>0</v>
      </c>
      <c r="AO198" s="33">
        <f t="shared" si="116"/>
        <v>0</v>
      </c>
      <c r="AP198" s="33">
        <f t="shared" si="117"/>
        <v>0</v>
      </c>
      <c r="AQ198" s="197">
        <f t="shared" si="103"/>
        <v>0</v>
      </c>
      <c r="AR198" s="197">
        <f t="shared" si="103"/>
        <v>0</v>
      </c>
      <c r="AS198" s="197">
        <f t="shared" si="103"/>
        <v>0</v>
      </c>
      <c r="AT198" s="197">
        <f t="shared" si="103"/>
        <v>0</v>
      </c>
      <c r="AU198" s="33"/>
      <c r="AV198" s="33"/>
      <c r="AW198" s="33"/>
      <c r="AX198" s="33"/>
      <c r="AY198" s="76"/>
    </row>
    <row r="199" spans="3:51">
      <c r="E199" s="24"/>
      <c r="I199" s="55">
        <v>194</v>
      </c>
      <c r="J199" s="33">
        <f t="shared" ref="J199:J205" si="120">IF($I199&lt;=$F$10,$F$11*$F$13+J198,)</f>
        <v>0</v>
      </c>
      <c r="K199" s="33">
        <f t="shared" ref="K199:K205" si="121">IF(J199=0,0,EXP(-1.0587+0.8836*LN(J199)+0.284))</f>
        <v>0</v>
      </c>
      <c r="L199" s="33">
        <f t="shared" ref="L199:L205" si="122">IF(I199&lt;=$F$10,$F$5+($F$8-$F$5)*(1-EXP(-0.0175*I199)),)</f>
        <v>0</v>
      </c>
      <c r="M199" s="33">
        <f t="shared" ref="M199:M205" si="123">IF(I199&lt;=$F$10,IF(I199&lt;=30,I199*($F$9-$F$6)/30,$F$9-$F$6),)</f>
        <v>0</v>
      </c>
      <c r="N199" s="33">
        <f t="shared" si="104"/>
        <v>0</v>
      </c>
      <c r="O199" s="34">
        <f t="shared" si="105"/>
        <v>0</v>
      </c>
      <c r="P199" s="55">
        <v>194</v>
      </c>
      <c r="Q199" s="33">
        <f t="shared" si="118"/>
        <v>0</v>
      </c>
      <c r="R199" s="33">
        <f t="shared" ref="R199:R205" si="124">IF(P199&lt;=$F$18,Q199+R198,)</f>
        <v>0</v>
      </c>
      <c r="S199" s="33">
        <f t="shared" ref="S199:S205" si="125">$F$19*R199</f>
        <v>0</v>
      </c>
      <c r="T199" s="33">
        <f t="shared" si="106"/>
        <v>0</v>
      </c>
      <c r="U199" s="33">
        <f t="shared" si="119"/>
        <v>0</v>
      </c>
      <c r="V199" s="33">
        <f t="shared" si="107"/>
        <v>0</v>
      </c>
      <c r="W199" s="33">
        <v>0</v>
      </c>
      <c r="X199" s="33">
        <f t="shared" si="108"/>
        <v>0</v>
      </c>
      <c r="Y199" s="38">
        <f t="shared" si="109"/>
        <v>0</v>
      </c>
      <c r="AA199" s="71">
        <v>194</v>
      </c>
      <c r="AB199" s="33">
        <f t="shared" si="110"/>
        <v>0</v>
      </c>
      <c r="AC199" s="308">
        <f t="shared" si="102"/>
        <v>0</v>
      </c>
      <c r="AD199" s="101">
        <f t="shared" si="111"/>
        <v>0</v>
      </c>
      <c r="AE199" s="101">
        <f t="shared" si="112"/>
        <v>0</v>
      </c>
      <c r="AF199" s="197">
        <f t="shared" si="98"/>
        <v>0</v>
      </c>
      <c r="AG199" s="197">
        <f t="shared" si="99"/>
        <v>0</v>
      </c>
      <c r="AH199" s="197">
        <f t="shared" si="100"/>
        <v>0</v>
      </c>
      <c r="AI199" s="202">
        <f t="shared" si="101"/>
        <v>0</v>
      </c>
      <c r="AK199" s="71">
        <v>194</v>
      </c>
      <c r="AL199" s="33">
        <f t="shared" si="113"/>
        <v>0</v>
      </c>
      <c r="AM199" s="33">
        <f t="shared" si="114"/>
        <v>0</v>
      </c>
      <c r="AN199" s="33">
        <f t="shared" si="115"/>
        <v>0</v>
      </c>
      <c r="AO199" s="33">
        <f t="shared" si="116"/>
        <v>0</v>
      </c>
      <c r="AP199" s="33">
        <f t="shared" si="117"/>
        <v>0</v>
      </c>
      <c r="AQ199" s="197">
        <f t="shared" si="103"/>
        <v>0</v>
      </c>
      <c r="AR199" s="197">
        <f t="shared" si="103"/>
        <v>0</v>
      </c>
      <c r="AS199" s="197">
        <f t="shared" si="103"/>
        <v>0</v>
      </c>
      <c r="AT199" s="197">
        <f t="shared" si="103"/>
        <v>0</v>
      </c>
      <c r="AU199" s="33"/>
      <c r="AV199" s="33"/>
      <c r="AW199" s="33"/>
      <c r="AX199" s="33"/>
      <c r="AY199" s="76"/>
    </row>
    <row r="200" spans="3:51">
      <c r="E200" s="24"/>
      <c r="I200" s="55">
        <v>195</v>
      </c>
      <c r="J200" s="33">
        <f t="shared" si="120"/>
        <v>0</v>
      </c>
      <c r="K200" s="33">
        <f t="shared" si="121"/>
        <v>0</v>
      </c>
      <c r="L200" s="33">
        <f t="shared" si="122"/>
        <v>0</v>
      </c>
      <c r="M200" s="33">
        <f t="shared" si="123"/>
        <v>0</v>
      </c>
      <c r="N200" s="33">
        <f t="shared" si="104"/>
        <v>0</v>
      </c>
      <c r="O200" s="34">
        <f t="shared" si="105"/>
        <v>0</v>
      </c>
      <c r="P200" s="55">
        <v>195</v>
      </c>
      <c r="Q200" s="33">
        <f t="shared" si="118"/>
        <v>0</v>
      </c>
      <c r="R200" s="33">
        <f t="shared" si="124"/>
        <v>0</v>
      </c>
      <c r="S200" s="33">
        <f t="shared" si="125"/>
        <v>0</v>
      </c>
      <c r="T200" s="33">
        <f t="shared" si="106"/>
        <v>0</v>
      </c>
      <c r="U200" s="33">
        <f t="shared" si="119"/>
        <v>0</v>
      </c>
      <c r="V200" s="33">
        <f t="shared" si="107"/>
        <v>0</v>
      </c>
      <c r="W200" s="33">
        <v>0</v>
      </c>
      <c r="X200" s="33">
        <f t="shared" si="108"/>
        <v>0</v>
      </c>
      <c r="Y200" s="38">
        <f t="shared" si="109"/>
        <v>0</v>
      </c>
      <c r="AA200" s="71">
        <v>195</v>
      </c>
      <c r="AB200" s="33">
        <f t="shared" si="110"/>
        <v>0</v>
      </c>
      <c r="AC200" s="308">
        <f t="shared" si="102"/>
        <v>0</v>
      </c>
      <c r="AD200" s="101">
        <f t="shared" si="111"/>
        <v>0</v>
      </c>
      <c r="AE200" s="101">
        <f t="shared" si="112"/>
        <v>0</v>
      </c>
      <c r="AF200" s="197">
        <f t="shared" si="98"/>
        <v>0</v>
      </c>
      <c r="AG200" s="197">
        <f t="shared" si="99"/>
        <v>0</v>
      </c>
      <c r="AH200" s="197">
        <f t="shared" si="100"/>
        <v>0</v>
      </c>
      <c r="AI200" s="202">
        <f t="shared" si="101"/>
        <v>0</v>
      </c>
      <c r="AK200" s="71">
        <v>195</v>
      </c>
      <c r="AL200" s="33">
        <f t="shared" si="113"/>
        <v>0</v>
      </c>
      <c r="AM200" s="33">
        <f t="shared" si="114"/>
        <v>0</v>
      </c>
      <c r="AN200" s="33">
        <f t="shared" si="115"/>
        <v>0</v>
      </c>
      <c r="AO200" s="33">
        <f t="shared" si="116"/>
        <v>0</v>
      </c>
      <c r="AP200" s="33">
        <f t="shared" si="117"/>
        <v>0</v>
      </c>
      <c r="AQ200" s="197">
        <f t="shared" si="103"/>
        <v>0</v>
      </c>
      <c r="AR200" s="197">
        <f t="shared" si="103"/>
        <v>0</v>
      </c>
      <c r="AS200" s="197">
        <f t="shared" si="103"/>
        <v>0</v>
      </c>
      <c r="AT200" s="197">
        <f t="shared" si="103"/>
        <v>0</v>
      </c>
      <c r="AU200" s="33"/>
      <c r="AV200" s="33"/>
      <c r="AW200" s="33"/>
      <c r="AX200" s="33"/>
      <c r="AY200" s="76"/>
    </row>
    <row r="201" spans="3:51">
      <c r="E201" s="24"/>
      <c r="I201" s="55">
        <v>196</v>
      </c>
      <c r="J201" s="33">
        <f t="shared" si="120"/>
        <v>0</v>
      </c>
      <c r="K201" s="33">
        <f t="shared" si="121"/>
        <v>0</v>
      </c>
      <c r="L201" s="33">
        <f t="shared" si="122"/>
        <v>0</v>
      </c>
      <c r="M201" s="33">
        <f t="shared" si="123"/>
        <v>0</v>
      </c>
      <c r="N201" s="33">
        <f t="shared" si="104"/>
        <v>0</v>
      </c>
      <c r="O201" s="34">
        <f t="shared" si="105"/>
        <v>0</v>
      </c>
      <c r="P201" s="55">
        <v>196</v>
      </c>
      <c r="Q201" s="33">
        <f t="shared" si="118"/>
        <v>0</v>
      </c>
      <c r="R201" s="33">
        <f t="shared" si="124"/>
        <v>0</v>
      </c>
      <c r="S201" s="33">
        <f t="shared" si="125"/>
        <v>0</v>
      </c>
      <c r="T201" s="33">
        <f t="shared" si="106"/>
        <v>0</v>
      </c>
      <c r="U201" s="33">
        <f t="shared" si="119"/>
        <v>0</v>
      </c>
      <c r="V201" s="33">
        <f t="shared" si="107"/>
        <v>0</v>
      </c>
      <c r="W201" s="33">
        <v>0</v>
      </c>
      <c r="X201" s="33">
        <f t="shared" si="108"/>
        <v>0</v>
      </c>
      <c r="Y201" s="38">
        <f t="shared" si="109"/>
        <v>0</v>
      </c>
      <c r="AA201" s="71">
        <v>196</v>
      </c>
      <c r="AB201" s="33">
        <f t="shared" si="110"/>
        <v>0</v>
      </c>
      <c r="AC201" s="308">
        <f t="shared" si="102"/>
        <v>0</v>
      </c>
      <c r="AD201" s="101">
        <f t="shared" si="111"/>
        <v>0</v>
      </c>
      <c r="AE201" s="101">
        <f t="shared" si="112"/>
        <v>0</v>
      </c>
      <c r="AF201" s="197">
        <f t="shared" si="98"/>
        <v>0</v>
      </c>
      <c r="AG201" s="197">
        <f t="shared" si="99"/>
        <v>0</v>
      </c>
      <c r="AH201" s="197">
        <f t="shared" si="100"/>
        <v>0</v>
      </c>
      <c r="AI201" s="202">
        <f t="shared" si="101"/>
        <v>0</v>
      </c>
      <c r="AK201" s="71">
        <v>196</v>
      </c>
      <c r="AL201" s="33">
        <f t="shared" si="113"/>
        <v>0</v>
      </c>
      <c r="AM201" s="33">
        <f t="shared" si="114"/>
        <v>0</v>
      </c>
      <c r="AN201" s="33">
        <f t="shared" si="115"/>
        <v>0</v>
      </c>
      <c r="AO201" s="33">
        <f t="shared" si="116"/>
        <v>0</v>
      </c>
      <c r="AP201" s="33">
        <f t="shared" si="117"/>
        <v>0</v>
      </c>
      <c r="AQ201" s="197">
        <f t="shared" si="103"/>
        <v>0</v>
      </c>
      <c r="AR201" s="197">
        <f t="shared" si="103"/>
        <v>0</v>
      </c>
      <c r="AS201" s="197">
        <f t="shared" si="103"/>
        <v>0</v>
      </c>
      <c r="AT201" s="197">
        <f t="shared" si="103"/>
        <v>0</v>
      </c>
      <c r="AU201" s="33"/>
      <c r="AV201" s="33"/>
      <c r="AW201" s="33"/>
      <c r="AX201" s="33"/>
      <c r="AY201" s="76"/>
    </row>
    <row r="202" spans="3:51">
      <c r="E202" s="24"/>
      <c r="I202" s="55">
        <v>197</v>
      </c>
      <c r="J202" s="33">
        <f t="shared" si="120"/>
        <v>0</v>
      </c>
      <c r="K202" s="33">
        <f t="shared" si="121"/>
        <v>0</v>
      </c>
      <c r="L202" s="33">
        <f t="shared" si="122"/>
        <v>0</v>
      </c>
      <c r="M202" s="33">
        <f t="shared" si="123"/>
        <v>0</v>
      </c>
      <c r="N202" s="33">
        <f t="shared" si="104"/>
        <v>0</v>
      </c>
      <c r="O202" s="34">
        <f t="shared" si="105"/>
        <v>0</v>
      </c>
      <c r="P202" s="55">
        <v>197</v>
      </c>
      <c r="Q202" s="33">
        <f t="shared" si="118"/>
        <v>0</v>
      </c>
      <c r="R202" s="33">
        <f t="shared" si="124"/>
        <v>0</v>
      </c>
      <c r="S202" s="33">
        <f t="shared" si="125"/>
        <v>0</v>
      </c>
      <c r="T202" s="33">
        <f t="shared" si="106"/>
        <v>0</v>
      </c>
      <c r="U202" s="33">
        <f t="shared" si="119"/>
        <v>0</v>
      </c>
      <c r="V202" s="33">
        <f t="shared" si="107"/>
        <v>0</v>
      </c>
      <c r="W202" s="33">
        <v>0</v>
      </c>
      <c r="X202" s="33">
        <f t="shared" si="108"/>
        <v>0</v>
      </c>
      <c r="Y202" s="38">
        <f t="shared" si="109"/>
        <v>0</v>
      </c>
      <c r="AA202" s="71">
        <v>197</v>
      </c>
      <c r="AB202" s="33">
        <f t="shared" si="110"/>
        <v>0</v>
      </c>
      <c r="AC202" s="308">
        <f t="shared" si="102"/>
        <v>0</v>
      </c>
      <c r="AD202" s="101">
        <f t="shared" si="111"/>
        <v>0</v>
      </c>
      <c r="AE202" s="101">
        <f t="shared" si="112"/>
        <v>0</v>
      </c>
      <c r="AF202" s="197">
        <f t="shared" si="98"/>
        <v>0</v>
      </c>
      <c r="AG202" s="197">
        <f t="shared" si="99"/>
        <v>0</v>
      </c>
      <c r="AH202" s="197">
        <f t="shared" si="100"/>
        <v>0</v>
      </c>
      <c r="AI202" s="202">
        <f t="shared" si="101"/>
        <v>0</v>
      </c>
      <c r="AK202" s="71">
        <v>197</v>
      </c>
      <c r="AL202" s="33">
        <f t="shared" si="113"/>
        <v>0</v>
      </c>
      <c r="AM202" s="33">
        <f t="shared" si="114"/>
        <v>0</v>
      </c>
      <c r="AN202" s="33">
        <f t="shared" si="115"/>
        <v>0</v>
      </c>
      <c r="AO202" s="33">
        <f t="shared" si="116"/>
        <v>0</v>
      </c>
      <c r="AP202" s="33">
        <f t="shared" si="117"/>
        <v>0</v>
      </c>
      <c r="AQ202" s="197">
        <f t="shared" si="103"/>
        <v>0</v>
      </c>
      <c r="AR202" s="197">
        <f t="shared" si="103"/>
        <v>0</v>
      </c>
      <c r="AS202" s="197">
        <f t="shared" si="103"/>
        <v>0</v>
      </c>
      <c r="AT202" s="197">
        <f t="shared" si="103"/>
        <v>0</v>
      </c>
      <c r="AU202" s="33"/>
      <c r="AV202" s="33"/>
      <c r="AW202" s="33"/>
      <c r="AX202" s="33"/>
      <c r="AY202" s="76"/>
    </row>
    <row r="203" spans="3:51">
      <c r="E203" s="24"/>
      <c r="I203" s="55">
        <v>198</v>
      </c>
      <c r="J203" s="33">
        <f t="shared" si="120"/>
        <v>0</v>
      </c>
      <c r="K203" s="33">
        <f t="shared" si="121"/>
        <v>0</v>
      </c>
      <c r="L203" s="33">
        <f t="shared" si="122"/>
        <v>0</v>
      </c>
      <c r="M203" s="33">
        <f t="shared" si="123"/>
        <v>0</v>
      </c>
      <c r="N203" s="33">
        <f t="shared" si="104"/>
        <v>0</v>
      </c>
      <c r="O203" s="34">
        <f t="shared" si="105"/>
        <v>0</v>
      </c>
      <c r="P203" s="55">
        <v>198</v>
      </c>
      <c r="Q203" s="33">
        <f t="shared" si="118"/>
        <v>0</v>
      </c>
      <c r="R203" s="33">
        <f t="shared" si="124"/>
        <v>0</v>
      </c>
      <c r="S203" s="33">
        <f t="shared" si="125"/>
        <v>0</v>
      </c>
      <c r="T203" s="33">
        <f t="shared" si="106"/>
        <v>0</v>
      </c>
      <c r="U203" s="33">
        <f t="shared" si="119"/>
        <v>0</v>
      </c>
      <c r="V203" s="33">
        <f t="shared" si="107"/>
        <v>0</v>
      </c>
      <c r="W203" s="33">
        <v>0</v>
      </c>
      <c r="X203" s="33">
        <f t="shared" si="108"/>
        <v>0</v>
      </c>
      <c r="Y203" s="38">
        <f t="shared" si="109"/>
        <v>0</v>
      </c>
      <c r="AA203" s="71">
        <v>198</v>
      </c>
      <c r="AB203" s="33">
        <f t="shared" si="110"/>
        <v>0</v>
      </c>
      <c r="AC203" s="308">
        <f t="shared" si="102"/>
        <v>0</v>
      </c>
      <c r="AD203" s="101">
        <f t="shared" si="111"/>
        <v>0</v>
      </c>
      <c r="AE203" s="101">
        <f t="shared" si="112"/>
        <v>0</v>
      </c>
      <c r="AF203" s="197">
        <f t="shared" si="98"/>
        <v>0</v>
      </c>
      <c r="AG203" s="197">
        <f t="shared" si="99"/>
        <v>0</v>
      </c>
      <c r="AH203" s="197">
        <f t="shared" si="100"/>
        <v>0</v>
      </c>
      <c r="AI203" s="202">
        <f t="shared" si="101"/>
        <v>0</v>
      </c>
      <c r="AK203" s="71">
        <v>198</v>
      </c>
      <c r="AL203" s="33">
        <f t="shared" si="113"/>
        <v>0</v>
      </c>
      <c r="AM203" s="33">
        <f t="shared" si="114"/>
        <v>0</v>
      </c>
      <c r="AN203" s="33">
        <f t="shared" si="115"/>
        <v>0</v>
      </c>
      <c r="AO203" s="33">
        <f t="shared" si="116"/>
        <v>0</v>
      </c>
      <c r="AP203" s="33">
        <f t="shared" si="117"/>
        <v>0</v>
      </c>
      <c r="AQ203" s="197">
        <f t="shared" si="103"/>
        <v>0</v>
      </c>
      <c r="AR203" s="197">
        <f t="shared" si="103"/>
        <v>0</v>
      </c>
      <c r="AS203" s="197">
        <f t="shared" si="103"/>
        <v>0</v>
      </c>
      <c r="AT203" s="197">
        <f t="shared" si="103"/>
        <v>0</v>
      </c>
      <c r="AU203" s="33"/>
      <c r="AV203" s="33"/>
      <c r="AW203" s="33"/>
      <c r="AX203" s="33"/>
      <c r="AY203" s="76"/>
    </row>
    <row r="204" spans="3:51">
      <c r="E204" s="24"/>
      <c r="I204" s="55">
        <v>199</v>
      </c>
      <c r="J204" s="33">
        <f t="shared" si="120"/>
        <v>0</v>
      </c>
      <c r="K204" s="33">
        <f t="shared" si="121"/>
        <v>0</v>
      </c>
      <c r="L204" s="33">
        <f t="shared" si="122"/>
        <v>0</v>
      </c>
      <c r="M204" s="33">
        <f t="shared" si="123"/>
        <v>0</v>
      </c>
      <c r="N204" s="33">
        <f t="shared" si="104"/>
        <v>0</v>
      </c>
      <c r="O204" s="34">
        <f t="shared" si="105"/>
        <v>0</v>
      </c>
      <c r="P204" s="55">
        <v>199</v>
      </c>
      <c r="Q204" s="33">
        <f t="shared" si="118"/>
        <v>0</v>
      </c>
      <c r="R204" s="33">
        <f t="shared" si="124"/>
        <v>0</v>
      </c>
      <c r="S204" s="33">
        <f t="shared" si="125"/>
        <v>0</v>
      </c>
      <c r="T204" s="33">
        <f t="shared" si="106"/>
        <v>0</v>
      </c>
      <c r="U204" s="33">
        <f t="shared" si="119"/>
        <v>0</v>
      </c>
      <c r="V204" s="33">
        <f t="shared" si="107"/>
        <v>0</v>
      </c>
      <c r="W204" s="33">
        <v>0</v>
      </c>
      <c r="X204" s="33">
        <f t="shared" si="108"/>
        <v>0</v>
      </c>
      <c r="Y204" s="38">
        <f t="shared" si="109"/>
        <v>0</v>
      </c>
      <c r="AA204" s="71">
        <v>199</v>
      </c>
      <c r="AB204" s="33">
        <f t="shared" si="110"/>
        <v>0</v>
      </c>
      <c r="AC204" s="308">
        <f t="shared" si="102"/>
        <v>0</v>
      </c>
      <c r="AD204" s="101">
        <f t="shared" si="111"/>
        <v>0</v>
      </c>
      <c r="AE204" s="101">
        <f t="shared" si="112"/>
        <v>0</v>
      </c>
      <c r="AF204" s="197">
        <f t="shared" si="98"/>
        <v>0</v>
      </c>
      <c r="AG204" s="197">
        <f t="shared" si="99"/>
        <v>0</v>
      </c>
      <c r="AH204" s="197">
        <f t="shared" si="100"/>
        <v>0</v>
      </c>
      <c r="AI204" s="202">
        <f t="shared" si="101"/>
        <v>0</v>
      </c>
      <c r="AK204" s="71">
        <v>199</v>
      </c>
      <c r="AL204" s="33">
        <f t="shared" si="113"/>
        <v>0</v>
      </c>
      <c r="AM204" s="33">
        <f t="shared" si="114"/>
        <v>0</v>
      </c>
      <c r="AN204" s="33">
        <f t="shared" si="115"/>
        <v>0</v>
      </c>
      <c r="AO204" s="33">
        <f t="shared" si="116"/>
        <v>0</v>
      </c>
      <c r="AP204" s="33">
        <f t="shared" si="117"/>
        <v>0</v>
      </c>
      <c r="AQ204" s="197">
        <f t="shared" si="103"/>
        <v>0</v>
      </c>
      <c r="AR204" s="197">
        <f t="shared" si="103"/>
        <v>0</v>
      </c>
      <c r="AS204" s="197">
        <f t="shared" si="103"/>
        <v>0</v>
      </c>
      <c r="AT204" s="197">
        <f t="shared" si="103"/>
        <v>0</v>
      </c>
      <c r="AU204" s="33"/>
      <c r="AV204" s="33"/>
      <c r="AW204" s="33"/>
      <c r="AX204" s="33"/>
      <c r="AY204" s="76"/>
    </row>
    <row r="205" spans="3:51">
      <c r="E205" s="24"/>
      <c r="I205" s="56">
        <v>200</v>
      </c>
      <c r="J205" s="33">
        <f t="shared" si="120"/>
        <v>0</v>
      </c>
      <c r="K205" s="33">
        <f t="shared" si="121"/>
        <v>0</v>
      </c>
      <c r="L205" s="33">
        <f t="shared" si="122"/>
        <v>0</v>
      </c>
      <c r="M205" s="33">
        <f t="shared" si="123"/>
        <v>0</v>
      </c>
      <c r="N205" s="35">
        <f>IF(F208&lt;=$F$18,0,)</f>
        <v>0</v>
      </c>
      <c r="O205" s="34">
        <f t="shared" si="105"/>
        <v>0</v>
      </c>
      <c r="P205" s="56">
        <v>200</v>
      </c>
      <c r="Q205" s="35">
        <f t="shared" si="118"/>
        <v>0</v>
      </c>
      <c r="R205" s="35">
        <f t="shared" si="124"/>
        <v>0</v>
      </c>
      <c r="S205" s="35">
        <f t="shared" si="125"/>
        <v>0</v>
      </c>
      <c r="T205" s="35">
        <f t="shared" si="106"/>
        <v>0</v>
      </c>
      <c r="U205" s="35">
        <f t="shared" si="119"/>
        <v>0</v>
      </c>
      <c r="V205" s="35">
        <f t="shared" si="107"/>
        <v>0</v>
      </c>
      <c r="W205" s="35">
        <v>0</v>
      </c>
      <c r="X205" s="158">
        <f t="shared" si="108"/>
        <v>0</v>
      </c>
      <c r="Y205" s="39">
        <f t="shared" si="109"/>
        <v>0</v>
      </c>
      <c r="AA205" s="72">
        <v>200</v>
      </c>
      <c r="AB205" s="146">
        <f t="shared" si="110"/>
        <v>0</v>
      </c>
      <c r="AC205" s="308">
        <f t="shared" si="102"/>
        <v>0</v>
      </c>
      <c r="AD205" s="102">
        <f t="shared" si="111"/>
        <v>0</v>
      </c>
      <c r="AE205" s="102">
        <f t="shared" si="112"/>
        <v>0</v>
      </c>
      <c r="AF205" s="199">
        <f t="shared" si="98"/>
        <v>0</v>
      </c>
      <c r="AG205" s="199">
        <f t="shared" si="99"/>
        <v>0</v>
      </c>
      <c r="AH205" s="199">
        <f t="shared" si="100"/>
        <v>0</v>
      </c>
      <c r="AI205" s="206">
        <f t="shared" si="101"/>
        <v>0</v>
      </c>
      <c r="AK205" s="72">
        <v>200</v>
      </c>
      <c r="AL205" s="146">
        <f t="shared" si="113"/>
        <v>0</v>
      </c>
      <c r="AM205" s="35">
        <f t="shared" si="114"/>
        <v>0</v>
      </c>
      <c r="AN205" s="35">
        <f t="shared" si="115"/>
        <v>0</v>
      </c>
      <c r="AO205" s="35">
        <f t="shared" si="116"/>
        <v>0</v>
      </c>
      <c r="AP205" s="35">
        <f t="shared" si="117"/>
        <v>0</v>
      </c>
      <c r="AQ205" s="199">
        <f t="shared" si="103"/>
        <v>0</v>
      </c>
      <c r="AR205" s="199">
        <f t="shared" si="103"/>
        <v>0</v>
      </c>
      <c r="AS205" s="199">
        <f t="shared" si="103"/>
        <v>0</v>
      </c>
      <c r="AT205" s="199">
        <f t="shared" si="103"/>
        <v>0</v>
      </c>
      <c r="AU205" s="35"/>
      <c r="AV205" s="35"/>
      <c r="AW205" s="35"/>
      <c r="AX205" s="35"/>
      <c r="AY205" s="77"/>
    </row>
    <row r="206" spans="3:51">
      <c r="E206" s="24"/>
    </row>
    <row r="207" spans="3:51">
      <c r="E207" s="24"/>
    </row>
  </sheetData>
  <mergeCells count="29"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B80:G80"/>
    <mergeCell ref="I3:O3"/>
    <mergeCell ref="P3:X3"/>
    <mergeCell ref="AA3:AI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B23:G23"/>
  </mergeCells>
  <dataValidations count="5">
    <dataValidation type="list" allowBlank="1" showInputMessage="1" showErrorMessage="1" sqref="D8:E8 D5:E5 D15" xr:uid="{00000000-0002-0000-0400-000000000000}">
      <formula1>$B$97:$B$100</formula1>
    </dataValidation>
    <dataValidation type="list" allowBlank="1" showInputMessage="1" showErrorMessage="1" sqref="D81:G81" xr:uid="{00000000-0002-0000-0400-000001000000}">
      <formula1>$B$104:$B$108</formula1>
    </dataValidation>
    <dataValidation type="list" allowBlank="1" showInputMessage="1" showErrorMessage="1" sqref="F12" xr:uid="{00000000-0002-0000-0400-000002000000}">
      <formula1>$C$194:$C$195</formula1>
    </dataValidation>
    <dataValidation type="list" allowBlank="1" showInputMessage="1" showErrorMessage="1" sqref="F17" xr:uid="{00000000-0002-0000-0400-000003000000}">
      <formula1>$C$130:$C$195</formula1>
    </dataValidation>
    <dataValidation type="list" allowBlank="1" showInputMessage="1" showErrorMessage="1" sqref="F20" xr:uid="{00000000-0002-0000-0400-000004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79998168889431442"/>
  </sheetPr>
  <dimension ref="B3:BC207"/>
  <sheetViews>
    <sheetView topLeftCell="A8" zoomScale="85" zoomScaleNormal="85" workbookViewId="0">
      <selection activeCell="F22" sqref="F22"/>
    </sheetView>
  </sheetViews>
  <sheetFormatPr baseColWidth="10" defaultRowHeight="15"/>
  <cols>
    <col min="3" max="5" width="13.6640625" customWidth="1"/>
    <col min="6" max="6" width="16.5" style="26" customWidth="1"/>
    <col min="7" max="7" width="14.5" style="24" customWidth="1"/>
    <col min="8" max="8" width="11.5" style="24"/>
    <col min="9" max="9" width="10.5" style="24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4" customWidth="1"/>
    <col min="47" max="51" width="10.5" customWidth="1"/>
    <col min="54" max="54" width="19.33203125" customWidth="1"/>
  </cols>
  <sheetData>
    <row r="3" spans="2:51" ht="16">
      <c r="I3" s="381" t="s">
        <v>172</v>
      </c>
      <c r="J3" s="382"/>
      <c r="K3" s="382"/>
      <c r="L3" s="382"/>
      <c r="M3" s="382"/>
      <c r="N3" s="382"/>
      <c r="O3" s="383"/>
      <c r="P3" s="384" t="s">
        <v>144</v>
      </c>
      <c r="Q3" s="385"/>
      <c r="R3" s="385"/>
      <c r="S3" s="385"/>
      <c r="T3" s="385"/>
      <c r="U3" s="385"/>
      <c r="V3" s="385"/>
      <c r="W3" s="385"/>
      <c r="X3" s="386"/>
      <c r="Y3" s="90"/>
      <c r="Z3" s="90"/>
      <c r="AA3" s="372" t="s">
        <v>159</v>
      </c>
      <c r="AB3" s="373"/>
      <c r="AC3" s="373"/>
      <c r="AD3" s="373"/>
      <c r="AE3" s="373"/>
      <c r="AF3" s="373"/>
      <c r="AG3" s="373"/>
      <c r="AH3" s="373"/>
      <c r="AI3" s="374"/>
      <c r="AJ3" s="90"/>
      <c r="AK3" s="372" t="s">
        <v>171</v>
      </c>
      <c r="AL3" s="373"/>
      <c r="AM3" s="373"/>
      <c r="AN3" s="373"/>
      <c r="AO3" s="373"/>
      <c r="AP3" s="373"/>
      <c r="AQ3" s="373"/>
      <c r="AR3" s="373"/>
      <c r="AS3" s="373"/>
      <c r="AT3" s="373"/>
      <c r="AU3" s="373"/>
      <c r="AV3" s="373"/>
      <c r="AW3" s="373"/>
      <c r="AX3" s="373"/>
      <c r="AY3" s="374"/>
    </row>
    <row r="4" spans="2:51" ht="45" customHeight="1">
      <c r="B4" s="376" t="s">
        <v>173</v>
      </c>
      <c r="C4" s="376"/>
      <c r="D4" s="376"/>
      <c r="E4" s="376"/>
      <c r="F4" s="376"/>
      <c r="I4" s="59" t="s">
        <v>76</v>
      </c>
      <c r="J4" s="60" t="s">
        <v>108</v>
      </c>
      <c r="K4" s="60" t="s">
        <v>109</v>
      </c>
      <c r="L4" s="60" t="s">
        <v>72</v>
      </c>
      <c r="M4" s="60" t="s">
        <v>110</v>
      </c>
      <c r="N4" s="60" t="s">
        <v>111</v>
      </c>
      <c r="O4" s="88" t="s">
        <v>113</v>
      </c>
      <c r="P4" s="59" t="s">
        <v>76</v>
      </c>
      <c r="Q4" s="61" t="s">
        <v>118</v>
      </c>
      <c r="R4" s="61" t="s">
        <v>119</v>
      </c>
      <c r="S4" s="62" t="s">
        <v>105</v>
      </c>
      <c r="T4" s="63" t="s">
        <v>104</v>
      </c>
      <c r="U4" s="60" t="s">
        <v>3</v>
      </c>
      <c r="V4" s="60" t="s">
        <v>106</v>
      </c>
      <c r="W4" s="60" t="s">
        <v>107</v>
      </c>
      <c r="X4" s="89" t="s">
        <v>112</v>
      </c>
      <c r="Y4" s="66" t="s">
        <v>120</v>
      </c>
      <c r="AA4" s="70" t="s">
        <v>76</v>
      </c>
      <c r="AB4" s="61" t="s">
        <v>146</v>
      </c>
      <c r="AC4" s="62" t="s">
        <v>147</v>
      </c>
      <c r="AD4" s="68" t="s">
        <v>148</v>
      </c>
      <c r="AE4" s="64" t="s">
        <v>149</v>
      </c>
      <c r="AF4" s="64" t="s">
        <v>150</v>
      </c>
      <c r="AG4" s="64" t="s">
        <v>151</v>
      </c>
      <c r="AH4" s="64" t="s">
        <v>152</v>
      </c>
      <c r="AI4" s="75" t="s">
        <v>153</v>
      </c>
      <c r="AK4" s="70" t="s">
        <v>76</v>
      </c>
      <c r="AL4" s="61" t="s">
        <v>146</v>
      </c>
      <c r="AM4" s="62" t="s">
        <v>147</v>
      </c>
      <c r="AN4" s="68" t="s">
        <v>148</v>
      </c>
      <c r="AO4" s="64" t="s">
        <v>149</v>
      </c>
      <c r="AP4" s="64" t="s">
        <v>161</v>
      </c>
      <c r="AQ4" s="196" t="s">
        <v>187</v>
      </c>
      <c r="AR4" s="196" t="s">
        <v>188</v>
      </c>
      <c r="AS4" s="196" t="s">
        <v>189</v>
      </c>
      <c r="AT4" s="196" t="s">
        <v>190</v>
      </c>
      <c r="AU4" s="64" t="s">
        <v>162</v>
      </c>
      <c r="AV4" s="64" t="s">
        <v>163</v>
      </c>
      <c r="AW4" s="64" t="s">
        <v>164</v>
      </c>
      <c r="AX4" s="64" t="s">
        <v>165</v>
      </c>
      <c r="AY4" s="75" t="s">
        <v>153</v>
      </c>
    </row>
    <row r="5" spans="2:51">
      <c r="B5" s="365" t="s">
        <v>133</v>
      </c>
      <c r="C5" s="91" t="s">
        <v>73</v>
      </c>
      <c r="D5" s="377" t="s">
        <v>1</v>
      </c>
      <c r="E5" s="377"/>
      <c r="F5" s="92">
        <f>IF(D5="","",VLOOKUP(D5,$B$97:$C$100,2,0))</f>
        <v>45</v>
      </c>
      <c r="I5" s="55">
        <v>0</v>
      </c>
      <c r="J5" s="33">
        <v>0</v>
      </c>
      <c r="K5" s="33">
        <v>0</v>
      </c>
      <c r="L5" s="33">
        <v>0</v>
      </c>
      <c r="M5" s="33">
        <f>IF(I5&lt;=$F$10,IF(I5&lt;=30,I5*($F$9-$F$6)/30,$F$9-$F$6),)</f>
        <v>0</v>
      </c>
      <c r="N5" s="33">
        <f t="shared" ref="N5:N68" si="0">IF(P6&lt;=$F$18,0,)</f>
        <v>0</v>
      </c>
      <c r="O5" s="34">
        <f t="shared" ref="O5:O68" si="1">((J5+K5)*0.475+L5+M5+N5)*44/12</f>
        <v>0</v>
      </c>
      <c r="P5" s="55">
        <v>0</v>
      </c>
      <c r="Q5" s="33">
        <v>0</v>
      </c>
      <c r="R5" s="33">
        <v>0</v>
      </c>
      <c r="S5" s="33">
        <f>$F$19*R5</f>
        <v>0</v>
      </c>
      <c r="T5" s="33">
        <f t="shared" ref="T5:T68" si="2">IF(S5=0,0,EXP(-1.0587+0.8836*LN(S5)+0.284))</f>
        <v>0</v>
      </c>
      <c r="U5" s="33">
        <v>0</v>
      </c>
      <c r="V5" s="33">
        <f t="shared" ref="V5:V68" si="3">IF(P5&lt;=$F$18,IF(P5&lt;=30,P5*($F$16-$F$6)/30,$F$16-$F$6),)</f>
        <v>0</v>
      </c>
      <c r="W5" s="33">
        <v>0</v>
      </c>
      <c r="X5" s="33">
        <f t="shared" ref="X5:X68" si="4">((S5+T5)*0.475+U5+V5+W5)*44/12</f>
        <v>0</v>
      </c>
      <c r="Y5" s="38">
        <f t="shared" ref="Y5:Y68" si="5">IF(P5&lt;=$F$18,X5-O5,)</f>
        <v>0</v>
      </c>
      <c r="AA5" s="71">
        <v>0</v>
      </c>
      <c r="AB5" s="33">
        <f t="shared" ref="AB5:AB68" si="6">IF(AA5&lt;=$F$18,IFERROR(VLOOKUP($AA5,$B$82:$G$94,2,FALSE),0),)</f>
        <v>0</v>
      </c>
      <c r="AC5" s="308">
        <f t="shared" ref="AC5:AC29" si="7">IF(AA5&lt;=$F$18,IFERROR(VLOOKUP($AA5,$B$82:$G$94,3,FALSE),0),)*50%</f>
        <v>0</v>
      </c>
      <c r="AD5" s="101">
        <f t="shared" ref="AD5:AD68" si="8">IF(AA5&lt;=$F$18,IFERROR(VLOOKUP($AA5,$B$82:$G$94,4,FALSE),0),)</f>
        <v>0</v>
      </c>
      <c r="AE5" s="101">
        <f t="shared" ref="AE5:AE68" si="9">IF(AA5&lt;=$F$18,IFERROR(VLOOKUP($AA5,$B$82:$G$94,5,FALSE),0),)</f>
        <v>0</v>
      </c>
      <c r="AF5" s="33">
        <v>0</v>
      </c>
      <c r="AG5" s="33">
        <v>0</v>
      </c>
      <c r="AH5" s="33">
        <v>0</v>
      </c>
      <c r="AI5" s="76">
        <f>SUM(AF5:AH5)</f>
        <v>0</v>
      </c>
      <c r="AK5" s="71">
        <v>0</v>
      </c>
      <c r="AL5" s="33">
        <f t="shared" ref="AL5:AL35" si="10">IF(AK5&lt;=$F$18,IFERROR(VLOOKUP($AA5,$B$82:$G$94,2,FALSE),0),)</f>
        <v>0</v>
      </c>
      <c r="AM5" s="33">
        <f t="shared" ref="AM5:AM35" si="11">IF(AK5&lt;=$F$18,IFERROR(VLOOKUP($AA5,$B$82:$G$94,3,FALSE),0),)</f>
        <v>0</v>
      </c>
      <c r="AN5" s="33">
        <f t="shared" ref="AN5:AN35" si="12">IF(AK5&lt;=$F$18,IFERROR(VLOOKUP($AA5,$B$82:$G$94,4,FALSE),0),)</f>
        <v>0</v>
      </c>
      <c r="AO5" s="33">
        <f t="shared" ref="AO5:AO35" si="13">IF(AK5&lt;=$F$18,IFERROR(VLOOKUP($AA5,$B$82:$G$94,5,FALSE),0),)</f>
        <v>0</v>
      </c>
      <c r="AP5" s="33">
        <f t="shared" ref="AP5:AP35" si="14">IF(AK5&lt;=$F$18,IFERROR(VLOOKUP($AA5,$B$82:$G$94,6,FALSE),0),)</f>
        <v>0</v>
      </c>
      <c r="AQ5" s="197">
        <v>0</v>
      </c>
      <c r="AR5" s="197">
        <v>0</v>
      </c>
      <c r="AS5" s="197">
        <v>0</v>
      </c>
      <c r="AT5" s="197">
        <v>0</v>
      </c>
      <c r="AU5" s="33"/>
      <c r="AV5" s="33"/>
      <c r="AW5" s="33"/>
      <c r="AX5" s="33"/>
      <c r="AY5" s="167">
        <v>0</v>
      </c>
    </row>
    <row r="6" spans="2:51">
      <c r="B6" s="366"/>
      <c r="C6" s="99" t="s">
        <v>74</v>
      </c>
      <c r="D6" s="368" t="s">
        <v>260</v>
      </c>
      <c r="E6" s="368"/>
      <c r="F6" s="100">
        <f>VLOOKUP(D5,$B$97:$D$100,3,FALSE)</f>
        <v>0</v>
      </c>
      <c r="I6" s="55">
        <v>1</v>
      </c>
      <c r="J6" s="33">
        <f>IF(D8&lt;&gt;"Cultures",IF($I6&lt;=$F$10,$F$11*$F$13+J5,),5)</f>
        <v>5</v>
      </c>
      <c r="K6" s="33">
        <f>IF(J6=0,0,EXP(-1.0587+0.8836*LN(J6)+0.284))</f>
        <v>1.910565629709926</v>
      </c>
      <c r="L6" s="33">
        <f>IF(I6&lt;=$F$10,$F$5+($F$8-$F$5)*(1-EXP(-0.0175*I6)),)</f>
        <v>45</v>
      </c>
      <c r="M6" s="33">
        <f>IF(I6&lt;=$F$10,IF(I6&lt;=30,I6*($F$9-$F$6)/30,$F$9-$F$6),)</f>
        <v>0</v>
      </c>
      <c r="N6" s="33">
        <f t="shared" si="0"/>
        <v>0</v>
      </c>
      <c r="O6" s="34">
        <f t="shared" si="1"/>
        <v>177.03590180507811</v>
      </c>
      <c r="P6" s="55">
        <v>1</v>
      </c>
      <c r="Q6" s="33">
        <f t="shared" ref="Q6:Q37" si="15">IF(P6&lt;=$F$18,LOOKUP(P6-1,$B$25:$B$78,$G$25:$G$78),)</f>
        <v>7.1933333333333334</v>
      </c>
      <c r="R6" s="33">
        <f>IF(P6&lt;=$F$18,Q6+R5,)</f>
        <v>7.1933333333333334</v>
      </c>
      <c r="S6" s="33">
        <f>$F$19*R6</f>
        <v>3.3089333333333335</v>
      </c>
      <c r="T6" s="33">
        <f t="shared" si="2"/>
        <v>1.3266256711894706</v>
      </c>
      <c r="U6" s="33">
        <f t="shared" ref="U6:U69" si="16">IF(P6&lt;=$F$18,$F$5+($F$15-$F$5)*(1-EXP(-0.0175*P6)),)</f>
        <v>45.433694108373167</v>
      </c>
      <c r="V6" s="33">
        <f t="shared" si="3"/>
        <v>0.33333333333333331</v>
      </c>
      <c r="W6" s="33">
        <v>0</v>
      </c>
      <c r="X6" s="33">
        <f t="shared" si="4"/>
        <v>175.8860325524677</v>
      </c>
      <c r="Y6" s="38">
        <f t="shared" si="5"/>
        <v>-1.1498692526104151</v>
      </c>
      <c r="AA6" s="71">
        <v>1</v>
      </c>
      <c r="AB6" s="33">
        <f t="shared" si="6"/>
        <v>0</v>
      </c>
      <c r="AC6" s="308">
        <f t="shared" si="7"/>
        <v>0</v>
      </c>
      <c r="AD6" s="101">
        <f t="shared" si="8"/>
        <v>0</v>
      </c>
      <c r="AE6" s="101">
        <f t="shared" si="9"/>
        <v>0</v>
      </c>
      <c r="AF6" s="197">
        <f>IF(OR(AA6&lt;=$F$18,AA6&lt;=30),EXP(-LN(2)/$D$104)*AF5+((1-EXP(-LN(2)/$D$104))/(LN(2)/$D$104))*$AB6*AC6*0.475*$F$19*44/12,)</f>
        <v>0</v>
      </c>
      <c r="AG6" s="197">
        <f>IF(OR(AA6&lt;=$F$18,AA6&lt;=30),EXP(-LN(2)/$D$106)*AG5+((1-EXP(-LN(2)/$D$106))/(LN(2)/$D$106))*$AB6*AD6*0.475*$F$19*44/12,)</f>
        <v>0</v>
      </c>
      <c r="AH6" s="197">
        <f>IF(OR(AA6&lt;=$F$18,AA6&lt;=30),EXP(-LN(2)/$D$105)*AH5+((1-EXP(-LN(2)/$D$105))/(LN(2)/$D$105))*$AB6*AE6*0.475*$F$19*44/12,)</f>
        <v>0</v>
      </c>
      <c r="AI6" s="202">
        <f>IF(OR(AA6&lt;=$F$18,AA6&lt;=30),SUM(AF6:AH6),)</f>
        <v>0</v>
      </c>
      <c r="AK6" s="71">
        <v>1</v>
      </c>
      <c r="AL6" s="33">
        <f t="shared" si="10"/>
        <v>0</v>
      </c>
      <c r="AM6" s="33">
        <f t="shared" si="11"/>
        <v>0</v>
      </c>
      <c r="AN6" s="33">
        <f t="shared" si="12"/>
        <v>0</v>
      </c>
      <c r="AO6" s="33">
        <f t="shared" si="13"/>
        <v>0</v>
      </c>
      <c r="AP6" s="33">
        <f t="shared" si="14"/>
        <v>0</v>
      </c>
      <c r="AQ6" s="197">
        <f t="shared" ref="AQ6:AT24" si="17">IF($AK6&lt;=$F$18,$AL6*AM6,)</f>
        <v>0</v>
      </c>
      <c r="AR6" s="197">
        <f t="shared" si="17"/>
        <v>0</v>
      </c>
      <c r="AS6" s="197">
        <f t="shared" si="17"/>
        <v>0</v>
      </c>
      <c r="AT6" s="197">
        <f t="shared" si="17"/>
        <v>0</v>
      </c>
      <c r="AU6" s="33"/>
      <c r="AV6" s="33"/>
      <c r="AW6" s="33"/>
      <c r="AX6" s="33"/>
      <c r="AY6" s="167">
        <f>IF(OR($AK6&lt;=$F$18,$AK6&lt;=30),AL6*$G$108+AY5,)</f>
        <v>0</v>
      </c>
    </row>
    <row r="7" spans="2:51">
      <c r="B7" s="365" t="s">
        <v>134</v>
      </c>
      <c r="C7" s="378"/>
      <c r="D7" s="379"/>
      <c r="E7" s="379"/>
      <c r="F7" s="380"/>
      <c r="I7" s="55">
        <v>2</v>
      </c>
      <c r="J7" s="33">
        <f t="shared" ref="J7:J70" si="18">IF($I7&lt;=$F$10,$F$11*$F$13+J6,)</f>
        <v>5</v>
      </c>
      <c r="K7" s="33">
        <f t="shared" ref="K7:K70" si="19">IF(J7=0,0,EXP(-1.0587+0.8836*LN(J7)+0.284))</f>
        <v>1.910565629709926</v>
      </c>
      <c r="L7" s="33">
        <f t="shared" ref="L7:L70" si="20">IF(I7&lt;=$F$10,$F$5+($F$8-$F$5)*(1-EXP(-0.0175*I7)),)</f>
        <v>45</v>
      </c>
      <c r="M7" s="33">
        <f t="shared" ref="M7:M70" si="21">IF(I7&lt;=$F$10,IF(I7&lt;=30,I7*($F$9-$F$6)/30,$F$9-$F$6),)</f>
        <v>0</v>
      </c>
      <c r="N7" s="33">
        <f t="shared" si="0"/>
        <v>0</v>
      </c>
      <c r="O7" s="34">
        <f t="shared" si="1"/>
        <v>177.03590180507811</v>
      </c>
      <c r="P7" s="55">
        <v>2</v>
      </c>
      <c r="Q7" s="33">
        <f t="shared" si="15"/>
        <v>7.1933333333333334</v>
      </c>
      <c r="R7" s="33">
        <f t="shared" ref="R7:R70" si="22">IF(P7&lt;=$F$18,Q7+R6,)</f>
        <v>14.386666666666667</v>
      </c>
      <c r="S7" s="33">
        <f t="shared" ref="S7:S70" si="23">$F$19*R7</f>
        <v>6.617866666666667</v>
      </c>
      <c r="T7" s="33">
        <f t="shared" si="2"/>
        <v>2.4475890474400019</v>
      </c>
      <c r="U7" s="33">
        <f t="shared" si="16"/>
        <v>45.859864593560836</v>
      </c>
      <c r="V7" s="33">
        <f t="shared" si="3"/>
        <v>0.66666666666666663</v>
      </c>
      <c r="W7" s="33">
        <v>0</v>
      </c>
      <c r="X7" s="33">
        <f t="shared" si="4"/>
        <v>186.3862833229033</v>
      </c>
      <c r="Y7" s="38">
        <f t="shared" si="5"/>
        <v>9.3503815178251841</v>
      </c>
      <c r="AA7" s="71">
        <v>2</v>
      </c>
      <c r="AB7" s="33">
        <f t="shared" si="6"/>
        <v>0</v>
      </c>
      <c r="AC7" s="308">
        <f t="shared" si="7"/>
        <v>0</v>
      </c>
      <c r="AD7" s="101">
        <f t="shared" si="8"/>
        <v>0</v>
      </c>
      <c r="AE7" s="101">
        <f t="shared" si="9"/>
        <v>0</v>
      </c>
      <c r="AF7" s="197">
        <f>IF(OR(AA7&lt;=$F$18,AA7&lt;=30),EXP(-LN(2)/$D$104)*AF6+((1-EXP(-LN(2)/$D$104))/(LN(2)/$D$104))*$AB7*AC7*0.475*$F$19*44/12,)</f>
        <v>0</v>
      </c>
      <c r="AG7" s="197">
        <f>IF(OR(AA7&lt;=$F$18,AA7&lt;=30),EXP(-LN(2)/$D$106)*AG6+((1-EXP(-LN(2)/$D$106))/(LN(2)/$D$106))*$AB7*AD7*0.475*$F$19*44/12,)</f>
        <v>0</v>
      </c>
      <c r="AH7" s="197">
        <f>IF(OR(AA7&lt;=$F$18,AA7&lt;=30),EXP(-LN(2)/$D$105)*AH6+((1-EXP(-LN(2)/$D$105))/(LN(2)/$D$105))*$AB7*AE7*0.475*$F$19*44/12,)</f>
        <v>0</v>
      </c>
      <c r="AI7" s="202">
        <f>IF(OR(AA7&lt;=$F$18,AA7&lt;=30),SUM(AF7:AH7),)</f>
        <v>0</v>
      </c>
      <c r="AK7" s="71">
        <v>2</v>
      </c>
      <c r="AL7" s="33">
        <f t="shared" si="10"/>
        <v>0</v>
      </c>
      <c r="AM7" s="33">
        <f t="shared" si="11"/>
        <v>0</v>
      </c>
      <c r="AN7" s="33">
        <f t="shared" si="12"/>
        <v>0</v>
      </c>
      <c r="AO7" s="33">
        <f t="shared" si="13"/>
        <v>0</v>
      </c>
      <c r="AP7" s="33">
        <f t="shared" si="14"/>
        <v>0</v>
      </c>
      <c r="AQ7" s="197">
        <f t="shared" si="17"/>
        <v>0</v>
      </c>
      <c r="AR7" s="197">
        <f t="shared" si="17"/>
        <v>0</v>
      </c>
      <c r="AS7" s="197">
        <f t="shared" si="17"/>
        <v>0</v>
      </c>
      <c r="AT7" s="197">
        <f t="shared" si="17"/>
        <v>0</v>
      </c>
      <c r="AU7" s="33"/>
      <c r="AV7" s="33"/>
      <c r="AW7" s="33"/>
      <c r="AX7" s="33"/>
      <c r="AY7" s="167">
        <f t="shared" ref="AY7:AY35" si="24">IF(OR($AK7&lt;=$F$18,$AK7&lt;=30),AL7*$G$108+AY6,)</f>
        <v>0</v>
      </c>
    </row>
    <row r="8" spans="2:51">
      <c r="B8" s="375"/>
      <c r="C8" s="93" t="s">
        <v>73</v>
      </c>
      <c r="D8" s="371" t="s">
        <v>1</v>
      </c>
      <c r="E8" s="371"/>
      <c r="F8" s="94">
        <f>IF(D8="","",VLOOKUP(D8,$B$97:$C$100,2,0))</f>
        <v>45</v>
      </c>
      <c r="I8" s="55">
        <v>3</v>
      </c>
      <c r="J8" s="33">
        <f t="shared" si="18"/>
        <v>5</v>
      </c>
      <c r="K8" s="33">
        <f t="shared" si="19"/>
        <v>1.910565629709926</v>
      </c>
      <c r="L8" s="33">
        <f t="shared" si="20"/>
        <v>45</v>
      </c>
      <c r="M8" s="33">
        <f t="shared" si="21"/>
        <v>0</v>
      </c>
      <c r="N8" s="33">
        <f t="shared" si="0"/>
        <v>0</v>
      </c>
      <c r="O8" s="34">
        <f t="shared" si="1"/>
        <v>177.03590180507811</v>
      </c>
      <c r="P8" s="55">
        <v>3</v>
      </c>
      <c r="Q8" s="33">
        <f t="shared" si="15"/>
        <v>7.1933333333333334</v>
      </c>
      <c r="R8" s="33">
        <f t="shared" si="22"/>
        <v>21.58</v>
      </c>
      <c r="S8" s="33">
        <f t="shared" si="23"/>
        <v>9.9268000000000001</v>
      </c>
      <c r="T8" s="33">
        <f t="shared" si="2"/>
        <v>3.5021338260266588</v>
      </c>
      <c r="U8" s="33">
        <f t="shared" si="16"/>
        <v>46.278641973604969</v>
      </c>
      <c r="V8" s="33">
        <f t="shared" si="3"/>
        <v>1</v>
      </c>
      <c r="W8" s="33">
        <v>0</v>
      </c>
      <c r="X8" s="33">
        <f t="shared" si="4"/>
        <v>196.74374698354799</v>
      </c>
      <c r="Y8" s="38">
        <f t="shared" si="5"/>
        <v>19.707845178469881</v>
      </c>
      <c r="AA8" s="71">
        <v>3</v>
      </c>
      <c r="AB8" s="33">
        <f t="shared" si="6"/>
        <v>0</v>
      </c>
      <c r="AC8" s="308">
        <f t="shared" si="7"/>
        <v>0</v>
      </c>
      <c r="AD8" s="101">
        <f t="shared" si="8"/>
        <v>0</v>
      </c>
      <c r="AE8" s="101">
        <f t="shared" si="9"/>
        <v>0</v>
      </c>
      <c r="AF8" s="197">
        <f>IF(OR(AA8&lt;=$F$18,AA8&lt;=30),EXP(-LN(2)/$D$104)*AF7+((1-EXP(-LN(2)/$D$104))/(LN(2)/$D$104))*$AB8*AC8*0.475*$F$19*44/12,)</f>
        <v>0</v>
      </c>
      <c r="AG8" s="197">
        <f>IF(OR(AA8&lt;=$F$18,AA8&lt;=30),EXP(-LN(2)/$D$106)*AG7+((1-EXP(-LN(2)/$D$106))/(LN(2)/$D$106))*$AB8*AD8*0.475*$F$19*44/12,)</f>
        <v>0</v>
      </c>
      <c r="AH8" s="197">
        <f>IF(OR(AA8&lt;=$F$18,AA8&lt;=30),EXP(-LN(2)/$D$105)*AH7+((1-EXP(-LN(2)/$D$105))/(LN(2)/$D$105))*$AB8*AE8*0.475*$F$19*44/12,)</f>
        <v>0</v>
      </c>
      <c r="AI8" s="202">
        <f>IF(OR(AA8&lt;=$F$18,AA8&lt;=30),SUM(AF8:AH8),)</f>
        <v>0</v>
      </c>
      <c r="AK8" s="71">
        <v>3</v>
      </c>
      <c r="AL8" s="33">
        <f t="shared" si="10"/>
        <v>0</v>
      </c>
      <c r="AM8" s="33">
        <f t="shared" si="11"/>
        <v>0</v>
      </c>
      <c r="AN8" s="33">
        <f t="shared" si="12"/>
        <v>0</v>
      </c>
      <c r="AO8" s="33">
        <f t="shared" si="13"/>
        <v>0</v>
      </c>
      <c r="AP8" s="33">
        <f t="shared" si="14"/>
        <v>0</v>
      </c>
      <c r="AQ8" s="197">
        <f t="shared" si="17"/>
        <v>0</v>
      </c>
      <c r="AR8" s="197">
        <f t="shared" si="17"/>
        <v>0</v>
      </c>
      <c r="AS8" s="197">
        <f t="shared" si="17"/>
        <v>0</v>
      </c>
      <c r="AT8" s="197">
        <f t="shared" si="17"/>
        <v>0</v>
      </c>
      <c r="AU8" s="33"/>
      <c r="AV8" s="33"/>
      <c r="AW8" s="33"/>
      <c r="AX8" s="33"/>
      <c r="AY8" s="167">
        <f t="shared" si="24"/>
        <v>0</v>
      </c>
    </row>
    <row r="9" spans="2:51">
      <c r="B9" s="375"/>
      <c r="C9" s="93" t="s">
        <v>74</v>
      </c>
      <c r="D9" s="367" t="str">
        <f>IF(D8=$B$100,"totale","néant")</f>
        <v>néant</v>
      </c>
      <c r="E9" s="367"/>
      <c r="F9" s="94">
        <f>IF(D8=B100,10,VLOOKUP(D8,$B$97:$D$100,3,FALSE))</f>
        <v>0</v>
      </c>
      <c r="I9" s="55">
        <v>4</v>
      </c>
      <c r="J9" s="33">
        <f t="shared" si="18"/>
        <v>5</v>
      </c>
      <c r="K9" s="33">
        <f t="shared" si="19"/>
        <v>1.910565629709926</v>
      </c>
      <c r="L9" s="33">
        <f t="shared" si="20"/>
        <v>45</v>
      </c>
      <c r="M9" s="33">
        <f t="shared" si="21"/>
        <v>0</v>
      </c>
      <c r="N9" s="33">
        <f t="shared" si="0"/>
        <v>0</v>
      </c>
      <c r="O9" s="34">
        <f t="shared" si="1"/>
        <v>177.03590180507811</v>
      </c>
      <c r="P9" s="55">
        <v>4</v>
      </c>
      <c r="Q9" s="33">
        <f t="shared" si="15"/>
        <v>7.1933333333333334</v>
      </c>
      <c r="R9" s="33">
        <f t="shared" si="22"/>
        <v>28.773333333333333</v>
      </c>
      <c r="S9" s="33">
        <f t="shared" si="23"/>
        <v>13.235733333333334</v>
      </c>
      <c r="T9" s="33">
        <f t="shared" si="2"/>
        <v>4.515736635623008</v>
      </c>
      <c r="U9" s="33">
        <f t="shared" si="16"/>
        <v>46.690154502351291</v>
      </c>
      <c r="V9" s="33">
        <f t="shared" si="3"/>
        <v>1.3333333333333333</v>
      </c>
      <c r="W9" s="33">
        <v>0</v>
      </c>
      <c r="X9" s="33">
        <f t="shared" si="4"/>
        <v>207.00326559344259</v>
      </c>
      <c r="Y9" s="38">
        <f t="shared" si="5"/>
        <v>29.96736378836448</v>
      </c>
      <c r="AA9" s="71">
        <v>4</v>
      </c>
      <c r="AB9" s="33">
        <f t="shared" si="6"/>
        <v>0</v>
      </c>
      <c r="AC9" s="308">
        <f t="shared" si="7"/>
        <v>0</v>
      </c>
      <c r="AD9" s="101">
        <f t="shared" si="8"/>
        <v>0</v>
      </c>
      <c r="AE9" s="101">
        <f t="shared" si="9"/>
        <v>0</v>
      </c>
      <c r="AF9" s="197">
        <f>IF(OR(AA9&lt;=$F$18,AA9&lt;=30),EXP(-LN(2)/$D$104)*AF8+((1-EXP(-LN(2)/$D$104))/(LN(2)/$D$104))*$AB9*AC9*0.475*$F$19*44/12,)</f>
        <v>0</v>
      </c>
      <c r="AG9" s="197">
        <f>IF(OR(AA9&lt;=$F$18,AA9&lt;=30),EXP(-LN(2)/$D$106)*AG8+((1-EXP(-LN(2)/$D$106))/(LN(2)/$D$106))*$AB9*AD9*0.475*$F$19*44/12,)</f>
        <v>0</v>
      </c>
      <c r="AH9" s="197">
        <f>IF(OR(AA9&lt;=$F$18,AA9&lt;=30),EXP(-LN(2)/$D$105)*AH8+((1-EXP(-LN(2)/$D$105))/(LN(2)/$D$105))*$AB9*AE9*0.475*$F$19*44/12,)</f>
        <v>0</v>
      </c>
      <c r="AI9" s="202">
        <f>IF(OR(AA9&lt;=$F$18,AA9&lt;=30),SUM(AF9:AH9),)</f>
        <v>0</v>
      </c>
      <c r="AK9" s="71">
        <v>4</v>
      </c>
      <c r="AL9" s="33">
        <f t="shared" si="10"/>
        <v>0</v>
      </c>
      <c r="AM9" s="33">
        <f t="shared" si="11"/>
        <v>0</v>
      </c>
      <c r="AN9" s="33">
        <f t="shared" si="12"/>
        <v>0</v>
      </c>
      <c r="AO9" s="33">
        <f t="shared" si="13"/>
        <v>0</v>
      </c>
      <c r="AP9" s="33">
        <f t="shared" si="14"/>
        <v>0</v>
      </c>
      <c r="AQ9" s="197">
        <f t="shared" si="17"/>
        <v>0</v>
      </c>
      <c r="AR9" s="197">
        <f t="shared" si="17"/>
        <v>0</v>
      </c>
      <c r="AS9" s="197">
        <f t="shared" si="17"/>
        <v>0</v>
      </c>
      <c r="AT9" s="197">
        <f t="shared" si="17"/>
        <v>0</v>
      </c>
      <c r="AU9" s="33"/>
      <c r="AV9" s="33"/>
      <c r="AW9" s="33"/>
      <c r="AX9" s="33"/>
      <c r="AY9" s="167">
        <f t="shared" si="24"/>
        <v>0</v>
      </c>
    </row>
    <row r="10" spans="2:51">
      <c r="B10" s="375"/>
      <c r="C10" s="369" t="s">
        <v>124</v>
      </c>
      <c r="D10" s="364" t="s">
        <v>136</v>
      </c>
      <c r="E10" s="364"/>
      <c r="F10" s="95">
        <f>F18</f>
        <v>50</v>
      </c>
      <c r="I10" s="55">
        <v>5</v>
      </c>
      <c r="J10" s="33">
        <f t="shared" si="18"/>
        <v>5</v>
      </c>
      <c r="K10" s="33">
        <f t="shared" si="19"/>
        <v>1.910565629709926</v>
      </c>
      <c r="L10" s="33">
        <f t="shared" si="20"/>
        <v>45</v>
      </c>
      <c r="M10" s="33">
        <f t="shared" si="21"/>
        <v>0</v>
      </c>
      <c r="N10" s="33">
        <f t="shared" si="0"/>
        <v>0</v>
      </c>
      <c r="O10" s="34">
        <f t="shared" si="1"/>
        <v>177.03590180507811</v>
      </c>
      <c r="P10" s="55">
        <v>5</v>
      </c>
      <c r="Q10" s="33">
        <f t="shared" si="15"/>
        <v>7.1933333333333334</v>
      </c>
      <c r="R10" s="33">
        <f t="shared" si="22"/>
        <v>35.966666666666669</v>
      </c>
      <c r="S10" s="33">
        <f t="shared" si="23"/>
        <v>16.544666666666668</v>
      </c>
      <c r="T10" s="33">
        <f t="shared" si="2"/>
        <v>5.4999443195230278</v>
      </c>
      <c r="U10" s="33">
        <f t="shared" si="16"/>
        <v>47.094528208728065</v>
      </c>
      <c r="V10" s="33">
        <f t="shared" si="3"/>
        <v>1.6666666666666667</v>
      </c>
      <c r="W10" s="33">
        <v>0</v>
      </c>
      <c r="X10" s="33">
        <f t="shared" si="4"/>
        <v>217.18541201072773</v>
      </c>
      <c r="Y10" s="38">
        <f t="shared" si="5"/>
        <v>40.149510205649619</v>
      </c>
      <c r="AA10" s="71">
        <v>5</v>
      </c>
      <c r="AB10" s="33">
        <f t="shared" si="6"/>
        <v>0</v>
      </c>
      <c r="AC10" s="308">
        <f t="shared" si="7"/>
        <v>0</v>
      </c>
      <c r="AD10" s="101">
        <f t="shared" si="8"/>
        <v>0</v>
      </c>
      <c r="AE10" s="101">
        <f t="shared" si="9"/>
        <v>0</v>
      </c>
      <c r="AF10" s="197">
        <f t="shared" ref="AF10:AF24" si="25">IF(OR(AA10&lt;=$F$18,AA10&lt;=30),EXP(-LN(2)/$D$104)*AF9+((1-EXP(-LN(2)/$D$104))/(LN(2)/$D$104))*$AB10*AC10*0.475*$F$19*44/12,)</f>
        <v>0</v>
      </c>
      <c r="AG10" s="197">
        <f t="shared" ref="AG10:AG24" si="26">IF(OR(AA10&lt;=$F$18,AA10&lt;=30),EXP(-LN(2)/$D$106)*AG9+((1-EXP(-LN(2)/$D$106))/(LN(2)/$D$106))*$AB10*AD10*0.475*$F$19*44/12,)</f>
        <v>0</v>
      </c>
      <c r="AH10" s="197">
        <f t="shared" ref="AH10:AH24" si="27">IF(OR(AA10&lt;=$F$18,AA10&lt;=30),EXP(-LN(2)/$D$105)*AH9+((1-EXP(-LN(2)/$D$105))/(LN(2)/$D$105))*$AB10*AE10*0.475*$F$19*44/12,)</f>
        <v>0</v>
      </c>
      <c r="AI10" s="202">
        <f t="shared" ref="AI10:AI24" si="28">IF(OR(AA10&lt;=$F$18,AA10&lt;=30),SUM(AF10:AH10),)</f>
        <v>0</v>
      </c>
      <c r="AK10" s="71">
        <v>5</v>
      </c>
      <c r="AL10" s="33">
        <f t="shared" si="10"/>
        <v>0</v>
      </c>
      <c r="AM10" s="33">
        <f t="shared" si="11"/>
        <v>0</v>
      </c>
      <c r="AN10" s="33">
        <f t="shared" si="12"/>
        <v>0</v>
      </c>
      <c r="AO10" s="33">
        <f t="shared" si="13"/>
        <v>0</v>
      </c>
      <c r="AP10" s="33">
        <f t="shared" si="14"/>
        <v>0</v>
      </c>
      <c r="AQ10" s="197">
        <f t="shared" si="17"/>
        <v>0</v>
      </c>
      <c r="AR10" s="197">
        <f t="shared" si="17"/>
        <v>0</v>
      </c>
      <c r="AS10" s="197">
        <f t="shared" si="17"/>
        <v>0</v>
      </c>
      <c r="AT10" s="197">
        <f t="shared" si="17"/>
        <v>0</v>
      </c>
      <c r="AU10" s="33"/>
      <c r="AV10" s="33"/>
      <c r="AW10" s="33"/>
      <c r="AX10" s="33"/>
      <c r="AY10" s="167">
        <f t="shared" si="24"/>
        <v>0</v>
      </c>
    </row>
    <row r="11" spans="2:51">
      <c r="B11" s="375"/>
      <c r="C11" s="369"/>
      <c r="D11" s="367" t="s">
        <v>139</v>
      </c>
      <c r="E11" s="367"/>
      <c r="F11" s="36">
        <f>IF(D8=$B$100,1,0)</f>
        <v>0</v>
      </c>
      <c r="I11" s="55">
        <v>6</v>
      </c>
      <c r="J11" s="33">
        <f t="shared" si="18"/>
        <v>5</v>
      </c>
      <c r="K11" s="33">
        <f t="shared" si="19"/>
        <v>1.910565629709926</v>
      </c>
      <c r="L11" s="33">
        <f t="shared" si="20"/>
        <v>45</v>
      </c>
      <c r="M11" s="33">
        <f t="shared" si="21"/>
        <v>0</v>
      </c>
      <c r="N11" s="33">
        <f t="shared" si="0"/>
        <v>0</v>
      </c>
      <c r="O11" s="34">
        <f t="shared" si="1"/>
        <v>177.03590180507811</v>
      </c>
      <c r="P11" s="55">
        <v>6</v>
      </c>
      <c r="Q11" s="33">
        <f t="shared" si="15"/>
        <v>7.1933333333333334</v>
      </c>
      <c r="R11" s="33">
        <f t="shared" si="22"/>
        <v>43.160000000000004</v>
      </c>
      <c r="S11" s="33">
        <f t="shared" si="23"/>
        <v>19.853600000000004</v>
      </c>
      <c r="T11" s="33">
        <f t="shared" si="2"/>
        <v>6.4613436792357719</v>
      </c>
      <c r="U11" s="33">
        <f t="shared" si="16"/>
        <v>47.491886935343359</v>
      </c>
      <c r="V11" s="33">
        <f t="shared" si="3"/>
        <v>2</v>
      </c>
      <c r="W11" s="33">
        <v>0</v>
      </c>
      <c r="X11" s="33">
        <f t="shared" si="4"/>
        <v>227.30211233759462</v>
      </c>
      <c r="Y11" s="38">
        <f t="shared" si="5"/>
        <v>50.26621053251651</v>
      </c>
      <c r="AA11" s="71">
        <v>6</v>
      </c>
      <c r="AB11" s="33">
        <f t="shared" si="6"/>
        <v>0</v>
      </c>
      <c r="AC11" s="308">
        <f t="shared" si="7"/>
        <v>0</v>
      </c>
      <c r="AD11" s="101">
        <f t="shared" si="8"/>
        <v>0</v>
      </c>
      <c r="AE11" s="101">
        <f t="shared" si="9"/>
        <v>0</v>
      </c>
      <c r="AF11" s="197">
        <f t="shared" si="25"/>
        <v>0</v>
      </c>
      <c r="AG11" s="197">
        <f t="shared" si="26"/>
        <v>0</v>
      </c>
      <c r="AH11" s="197">
        <f t="shared" si="27"/>
        <v>0</v>
      </c>
      <c r="AI11" s="202">
        <f t="shared" si="28"/>
        <v>0</v>
      </c>
      <c r="AK11" s="71">
        <v>6</v>
      </c>
      <c r="AL11" s="33">
        <f t="shared" si="10"/>
        <v>0</v>
      </c>
      <c r="AM11" s="33">
        <f t="shared" si="11"/>
        <v>0</v>
      </c>
      <c r="AN11" s="33">
        <f t="shared" si="12"/>
        <v>0</v>
      </c>
      <c r="AO11" s="33">
        <f t="shared" si="13"/>
        <v>0</v>
      </c>
      <c r="AP11" s="33">
        <f t="shared" si="14"/>
        <v>0</v>
      </c>
      <c r="AQ11" s="197">
        <f t="shared" si="17"/>
        <v>0</v>
      </c>
      <c r="AR11" s="197">
        <f t="shared" si="17"/>
        <v>0</v>
      </c>
      <c r="AS11" s="197">
        <f t="shared" si="17"/>
        <v>0</v>
      </c>
      <c r="AT11" s="197">
        <f t="shared" si="17"/>
        <v>0</v>
      </c>
      <c r="AU11" s="33"/>
      <c r="AV11" s="33"/>
      <c r="AW11" s="33"/>
      <c r="AX11" s="33"/>
      <c r="AY11" s="167">
        <f t="shared" si="24"/>
        <v>0</v>
      </c>
    </row>
    <row r="12" spans="2:51" ht="16">
      <c r="B12" s="375"/>
      <c r="C12" s="369"/>
      <c r="D12" s="364" t="s">
        <v>131</v>
      </c>
      <c r="E12" s="364"/>
      <c r="F12" s="96" t="s">
        <v>70</v>
      </c>
      <c r="I12" s="55">
        <v>7</v>
      </c>
      <c r="J12" s="33">
        <f t="shared" si="18"/>
        <v>5</v>
      </c>
      <c r="K12" s="33">
        <f t="shared" si="19"/>
        <v>1.910565629709926</v>
      </c>
      <c r="L12" s="33">
        <f t="shared" si="20"/>
        <v>45</v>
      </c>
      <c r="M12" s="33">
        <f t="shared" si="21"/>
        <v>0</v>
      </c>
      <c r="N12" s="33">
        <f t="shared" si="0"/>
        <v>0</v>
      </c>
      <c r="O12" s="34">
        <f t="shared" si="1"/>
        <v>177.03590180507811</v>
      </c>
      <c r="P12" s="55">
        <v>7</v>
      </c>
      <c r="Q12" s="33">
        <f t="shared" si="15"/>
        <v>7.1933333333333334</v>
      </c>
      <c r="R12" s="33">
        <f t="shared" si="22"/>
        <v>50.353333333333339</v>
      </c>
      <c r="S12" s="33">
        <f t="shared" si="23"/>
        <v>23.162533333333336</v>
      </c>
      <c r="T12" s="33">
        <f t="shared" si="2"/>
        <v>7.4041809710117299</v>
      </c>
      <c r="U12" s="33">
        <f t="shared" si="16"/>
        <v>47.882352376412911</v>
      </c>
      <c r="V12" s="33">
        <f t="shared" si="3"/>
        <v>2.3333333333333335</v>
      </c>
      <c r="W12" s="33">
        <v>0</v>
      </c>
      <c r="X12" s="33">
        <f t="shared" si="4"/>
        <v>237.36120834913717</v>
      </c>
      <c r="Y12" s="38">
        <f t="shared" si="5"/>
        <v>60.32530654405906</v>
      </c>
      <c r="AA12" s="71">
        <v>7</v>
      </c>
      <c r="AB12" s="33">
        <f t="shared" si="6"/>
        <v>0</v>
      </c>
      <c r="AC12" s="308">
        <f t="shared" si="7"/>
        <v>0</v>
      </c>
      <c r="AD12" s="101">
        <f t="shared" si="8"/>
        <v>0</v>
      </c>
      <c r="AE12" s="101">
        <f t="shared" si="9"/>
        <v>0</v>
      </c>
      <c r="AF12" s="197">
        <f t="shared" si="25"/>
        <v>0</v>
      </c>
      <c r="AG12" s="197">
        <f t="shared" si="26"/>
        <v>0</v>
      </c>
      <c r="AH12" s="197">
        <f t="shared" si="27"/>
        <v>0</v>
      </c>
      <c r="AI12" s="202">
        <f t="shared" si="28"/>
        <v>0</v>
      </c>
      <c r="AK12" s="71">
        <v>7</v>
      </c>
      <c r="AL12" s="33">
        <f t="shared" si="10"/>
        <v>0</v>
      </c>
      <c r="AM12" s="33">
        <f t="shared" si="11"/>
        <v>0</v>
      </c>
      <c r="AN12" s="33">
        <f t="shared" si="12"/>
        <v>0</v>
      </c>
      <c r="AO12" s="33">
        <f t="shared" si="13"/>
        <v>0</v>
      </c>
      <c r="AP12" s="33">
        <f t="shared" si="14"/>
        <v>0</v>
      </c>
      <c r="AQ12" s="197">
        <f t="shared" si="17"/>
        <v>0</v>
      </c>
      <c r="AR12" s="197">
        <f t="shared" si="17"/>
        <v>0</v>
      </c>
      <c r="AS12" s="197">
        <f t="shared" si="17"/>
        <v>0</v>
      </c>
      <c r="AT12" s="197">
        <f t="shared" si="17"/>
        <v>0</v>
      </c>
      <c r="AU12" s="33"/>
      <c r="AV12" s="33"/>
      <c r="AW12" s="33"/>
      <c r="AX12" s="33"/>
      <c r="AY12" s="167">
        <f t="shared" si="24"/>
        <v>0</v>
      </c>
    </row>
    <row r="13" spans="2:51">
      <c r="B13" s="366"/>
      <c r="C13" s="370"/>
      <c r="D13" s="368" t="s">
        <v>155</v>
      </c>
      <c r="E13" s="368"/>
      <c r="F13" s="37">
        <f>IF(ISBLANK(F$12),,VLOOKUP(F$12,C131:D195,2,FALSE))</f>
        <v>0.56999999999999995</v>
      </c>
      <c r="I13" s="55">
        <v>8</v>
      </c>
      <c r="J13" s="33">
        <f t="shared" si="18"/>
        <v>5</v>
      </c>
      <c r="K13" s="33">
        <f t="shared" si="19"/>
        <v>1.910565629709926</v>
      </c>
      <c r="L13" s="33">
        <f t="shared" si="20"/>
        <v>45</v>
      </c>
      <c r="M13" s="33">
        <f t="shared" si="21"/>
        <v>0</v>
      </c>
      <c r="N13" s="33">
        <f t="shared" si="0"/>
        <v>0</v>
      </c>
      <c r="O13" s="34">
        <f t="shared" si="1"/>
        <v>177.03590180507811</v>
      </c>
      <c r="P13" s="55">
        <v>8</v>
      </c>
      <c r="Q13" s="33">
        <f t="shared" si="15"/>
        <v>7.1933333333333334</v>
      </c>
      <c r="R13" s="33">
        <f t="shared" si="22"/>
        <v>57.546666666666674</v>
      </c>
      <c r="S13" s="33">
        <f t="shared" si="23"/>
        <v>26.471466666666672</v>
      </c>
      <c r="T13" s="33">
        <f t="shared" si="2"/>
        <v>8.3314138799714836</v>
      </c>
      <c r="U13" s="33">
        <f t="shared" si="16"/>
        <v>48.266044115029857</v>
      </c>
      <c r="V13" s="33">
        <f t="shared" si="3"/>
        <v>2.6666666666666665</v>
      </c>
      <c r="W13" s="33">
        <v>0</v>
      </c>
      <c r="X13" s="33">
        <f t="shared" si="4"/>
        <v>247.36828981828205</v>
      </c>
      <c r="Y13" s="38">
        <f t="shared" si="5"/>
        <v>70.332388013203939</v>
      </c>
      <c r="AA13" s="71">
        <v>8</v>
      </c>
      <c r="AB13" s="33">
        <f t="shared" si="6"/>
        <v>0</v>
      </c>
      <c r="AC13" s="308">
        <f t="shared" si="7"/>
        <v>0</v>
      </c>
      <c r="AD13" s="101">
        <f t="shared" si="8"/>
        <v>0</v>
      </c>
      <c r="AE13" s="101">
        <f t="shared" si="9"/>
        <v>0</v>
      </c>
      <c r="AF13" s="197">
        <f t="shared" si="25"/>
        <v>0</v>
      </c>
      <c r="AG13" s="197">
        <f t="shared" si="26"/>
        <v>0</v>
      </c>
      <c r="AH13" s="197">
        <f t="shared" si="27"/>
        <v>0</v>
      </c>
      <c r="AI13" s="202">
        <f t="shared" si="28"/>
        <v>0</v>
      </c>
      <c r="AK13" s="71">
        <v>8</v>
      </c>
      <c r="AL13" s="33">
        <f t="shared" si="10"/>
        <v>0</v>
      </c>
      <c r="AM13" s="33">
        <f t="shared" si="11"/>
        <v>0</v>
      </c>
      <c r="AN13" s="33">
        <f t="shared" si="12"/>
        <v>0</v>
      </c>
      <c r="AO13" s="33">
        <f t="shared" si="13"/>
        <v>0</v>
      </c>
      <c r="AP13" s="33">
        <f t="shared" si="14"/>
        <v>0</v>
      </c>
      <c r="AQ13" s="197">
        <f t="shared" si="17"/>
        <v>0</v>
      </c>
      <c r="AR13" s="197">
        <f t="shared" si="17"/>
        <v>0</v>
      </c>
      <c r="AS13" s="197">
        <f t="shared" si="17"/>
        <v>0</v>
      </c>
      <c r="AT13" s="197">
        <f t="shared" si="17"/>
        <v>0</v>
      </c>
      <c r="AU13" s="33"/>
      <c r="AV13" s="33"/>
      <c r="AW13" s="33"/>
      <c r="AX13" s="33"/>
      <c r="AY13" s="167">
        <f t="shared" si="24"/>
        <v>0</v>
      </c>
    </row>
    <row r="14" spans="2:51">
      <c r="B14" s="365" t="s">
        <v>132</v>
      </c>
      <c r="C14" s="361"/>
      <c r="D14" s="362"/>
      <c r="E14" s="362"/>
      <c r="F14" s="363"/>
      <c r="I14" s="55">
        <v>9</v>
      </c>
      <c r="J14" s="33">
        <f t="shared" si="18"/>
        <v>5</v>
      </c>
      <c r="K14" s="33">
        <f t="shared" si="19"/>
        <v>1.910565629709926</v>
      </c>
      <c r="L14" s="33">
        <f t="shared" si="20"/>
        <v>45</v>
      </c>
      <c r="M14" s="33">
        <f t="shared" si="21"/>
        <v>0</v>
      </c>
      <c r="N14" s="33">
        <f t="shared" si="0"/>
        <v>0</v>
      </c>
      <c r="O14" s="34">
        <f t="shared" si="1"/>
        <v>177.03590180507811</v>
      </c>
      <c r="P14" s="55">
        <v>9</v>
      </c>
      <c r="Q14" s="33">
        <f t="shared" si="15"/>
        <v>7.1933333333333334</v>
      </c>
      <c r="R14" s="33">
        <f t="shared" si="22"/>
        <v>64.740000000000009</v>
      </c>
      <c r="S14" s="33">
        <f t="shared" si="23"/>
        <v>29.780400000000004</v>
      </c>
      <c r="T14" s="33">
        <f t="shared" si="2"/>
        <v>9.2452163423034062</v>
      </c>
      <c r="U14" s="33">
        <f t="shared" si="16"/>
        <v>48.643079659788015</v>
      </c>
      <c r="V14" s="33">
        <f t="shared" si="3"/>
        <v>3</v>
      </c>
      <c r="W14" s="33">
        <v>0</v>
      </c>
      <c r="X14" s="33">
        <f t="shared" si="4"/>
        <v>257.32757388206784</v>
      </c>
      <c r="Y14" s="38">
        <f t="shared" si="5"/>
        <v>80.291672076989727</v>
      </c>
      <c r="AA14" s="71">
        <v>9</v>
      </c>
      <c r="AB14" s="33">
        <f t="shared" si="6"/>
        <v>0</v>
      </c>
      <c r="AC14" s="308">
        <f t="shared" si="7"/>
        <v>0</v>
      </c>
      <c r="AD14" s="101">
        <f t="shared" si="8"/>
        <v>0</v>
      </c>
      <c r="AE14" s="101">
        <f t="shared" si="9"/>
        <v>0</v>
      </c>
      <c r="AF14" s="197">
        <f t="shared" si="25"/>
        <v>0</v>
      </c>
      <c r="AG14" s="197">
        <f t="shared" si="26"/>
        <v>0</v>
      </c>
      <c r="AH14" s="197">
        <f t="shared" si="27"/>
        <v>0</v>
      </c>
      <c r="AI14" s="202">
        <f t="shared" si="28"/>
        <v>0</v>
      </c>
      <c r="AK14" s="71">
        <v>9</v>
      </c>
      <c r="AL14" s="33">
        <f t="shared" si="10"/>
        <v>0</v>
      </c>
      <c r="AM14" s="33">
        <f t="shared" si="11"/>
        <v>0</v>
      </c>
      <c r="AN14" s="33">
        <f t="shared" si="12"/>
        <v>0</v>
      </c>
      <c r="AO14" s="33">
        <f t="shared" si="13"/>
        <v>0</v>
      </c>
      <c r="AP14" s="33">
        <f t="shared" si="14"/>
        <v>0</v>
      </c>
      <c r="AQ14" s="197">
        <f t="shared" si="17"/>
        <v>0</v>
      </c>
      <c r="AR14" s="197">
        <f t="shared" si="17"/>
        <v>0</v>
      </c>
      <c r="AS14" s="197">
        <f t="shared" si="17"/>
        <v>0</v>
      </c>
      <c r="AT14" s="197">
        <f t="shared" si="17"/>
        <v>0</v>
      </c>
      <c r="AU14" s="33"/>
      <c r="AV14" s="33"/>
      <c r="AW14" s="33"/>
      <c r="AX14" s="33"/>
      <c r="AY14" s="167">
        <f t="shared" si="24"/>
        <v>0</v>
      </c>
    </row>
    <row r="15" spans="2:51">
      <c r="B15" s="375"/>
      <c r="C15" s="93" t="s">
        <v>73</v>
      </c>
      <c r="D15" s="371" t="s">
        <v>135</v>
      </c>
      <c r="E15" s="371"/>
      <c r="F15" s="94">
        <f>IF(D15="","",VLOOKUP(D15,$B$97:$C$100,2,0))</f>
        <v>70</v>
      </c>
      <c r="I15" s="55">
        <v>10</v>
      </c>
      <c r="J15" s="33">
        <f t="shared" si="18"/>
        <v>5</v>
      </c>
      <c r="K15" s="33">
        <f t="shared" si="19"/>
        <v>1.910565629709926</v>
      </c>
      <c r="L15" s="33">
        <f t="shared" si="20"/>
        <v>45</v>
      </c>
      <c r="M15" s="33">
        <f t="shared" si="21"/>
        <v>0</v>
      </c>
      <c r="N15" s="33">
        <f t="shared" si="0"/>
        <v>0</v>
      </c>
      <c r="O15" s="34">
        <f t="shared" si="1"/>
        <v>177.03590180507811</v>
      </c>
      <c r="P15" s="55">
        <v>10</v>
      </c>
      <c r="Q15" s="33">
        <f t="shared" si="15"/>
        <v>7.1933333333333334</v>
      </c>
      <c r="R15" s="33">
        <f t="shared" si="22"/>
        <v>71.933333333333337</v>
      </c>
      <c r="S15" s="33">
        <f t="shared" si="23"/>
        <v>33.089333333333336</v>
      </c>
      <c r="T15" s="33">
        <f t="shared" si="2"/>
        <v>10.147250856320728</v>
      </c>
      <c r="U15" s="33">
        <f t="shared" si="16"/>
        <v>49.013574480769819</v>
      </c>
      <c r="V15" s="33">
        <f t="shared" si="3"/>
        <v>3.3333333333333335</v>
      </c>
      <c r="W15" s="33">
        <v>0</v>
      </c>
      <c r="X15" s="33">
        <f t="shared" si="4"/>
        <v>267.24237944869236</v>
      </c>
      <c r="Y15" s="38">
        <f t="shared" si="5"/>
        <v>90.206477643614249</v>
      </c>
      <c r="AA15" s="71">
        <v>10</v>
      </c>
      <c r="AB15" s="33">
        <f t="shared" si="6"/>
        <v>0</v>
      </c>
      <c r="AC15" s="308">
        <f t="shared" si="7"/>
        <v>0</v>
      </c>
      <c r="AD15" s="101">
        <f t="shared" si="8"/>
        <v>0</v>
      </c>
      <c r="AE15" s="101">
        <f t="shared" si="9"/>
        <v>0</v>
      </c>
      <c r="AF15" s="197">
        <f t="shared" si="25"/>
        <v>0</v>
      </c>
      <c r="AG15" s="197">
        <f t="shared" si="26"/>
        <v>0</v>
      </c>
      <c r="AH15" s="197">
        <f t="shared" si="27"/>
        <v>0</v>
      </c>
      <c r="AI15" s="202">
        <f t="shared" si="28"/>
        <v>0</v>
      </c>
      <c r="AK15" s="71">
        <v>10</v>
      </c>
      <c r="AL15" s="33">
        <f t="shared" si="10"/>
        <v>0</v>
      </c>
      <c r="AM15" s="33">
        <f t="shared" si="11"/>
        <v>0</v>
      </c>
      <c r="AN15" s="33">
        <f t="shared" si="12"/>
        <v>0</v>
      </c>
      <c r="AO15" s="33">
        <f t="shared" si="13"/>
        <v>0</v>
      </c>
      <c r="AP15" s="33">
        <f t="shared" si="14"/>
        <v>0</v>
      </c>
      <c r="AQ15" s="197">
        <f t="shared" si="17"/>
        <v>0</v>
      </c>
      <c r="AR15" s="197">
        <f t="shared" si="17"/>
        <v>0</v>
      </c>
      <c r="AS15" s="197">
        <f t="shared" si="17"/>
        <v>0</v>
      </c>
      <c r="AT15" s="197">
        <f t="shared" si="17"/>
        <v>0</v>
      </c>
      <c r="AU15" s="33"/>
      <c r="AV15" s="33"/>
      <c r="AW15" s="33"/>
      <c r="AX15" s="33"/>
      <c r="AY15" s="167">
        <f t="shared" si="24"/>
        <v>0</v>
      </c>
    </row>
    <row r="16" spans="2:51">
      <c r="B16" s="375"/>
      <c r="C16" s="93" t="s">
        <v>74</v>
      </c>
      <c r="D16" s="367" t="s">
        <v>138</v>
      </c>
      <c r="E16" s="367"/>
      <c r="F16" s="94">
        <v>10</v>
      </c>
      <c r="I16" s="55">
        <v>11</v>
      </c>
      <c r="J16" s="33">
        <f t="shared" si="18"/>
        <v>5</v>
      </c>
      <c r="K16" s="33">
        <f t="shared" si="19"/>
        <v>1.910565629709926</v>
      </c>
      <c r="L16" s="33">
        <f t="shared" si="20"/>
        <v>45</v>
      </c>
      <c r="M16" s="33">
        <f t="shared" si="21"/>
        <v>0</v>
      </c>
      <c r="N16" s="33">
        <f t="shared" si="0"/>
        <v>0</v>
      </c>
      <c r="O16" s="34">
        <f t="shared" si="1"/>
        <v>177.03590180507811</v>
      </c>
      <c r="P16" s="55">
        <v>11</v>
      </c>
      <c r="Q16" s="33">
        <f t="shared" si="15"/>
        <v>7.1933333333333334</v>
      </c>
      <c r="R16" s="33">
        <f t="shared" si="22"/>
        <v>79.126666666666665</v>
      </c>
      <c r="S16" s="33">
        <f t="shared" si="23"/>
        <v>36.398266666666665</v>
      </c>
      <c r="T16" s="33">
        <f t="shared" si="2"/>
        <v>11.038828179807206</v>
      </c>
      <c r="U16" s="33">
        <f t="shared" si="16"/>
        <v>49.377642044909919</v>
      </c>
      <c r="V16" s="33">
        <f t="shared" si="3"/>
        <v>3.6666666666666665</v>
      </c>
      <c r="W16" s="33">
        <v>0</v>
      </c>
      <c r="X16" s="33">
        <f t="shared" si="4"/>
        <v>277.11540546672285</v>
      </c>
      <c r="Y16" s="38">
        <f t="shared" si="5"/>
        <v>100.07950366164474</v>
      </c>
      <c r="AA16" s="71">
        <v>11</v>
      </c>
      <c r="AB16" s="33">
        <f t="shared" si="6"/>
        <v>0</v>
      </c>
      <c r="AC16" s="308">
        <f t="shared" si="7"/>
        <v>0</v>
      </c>
      <c r="AD16" s="101">
        <f t="shared" si="8"/>
        <v>0</v>
      </c>
      <c r="AE16" s="101">
        <f t="shared" si="9"/>
        <v>0</v>
      </c>
      <c r="AF16" s="197">
        <f t="shared" si="25"/>
        <v>0</v>
      </c>
      <c r="AG16" s="197">
        <f t="shared" si="26"/>
        <v>0</v>
      </c>
      <c r="AH16" s="197">
        <f t="shared" si="27"/>
        <v>0</v>
      </c>
      <c r="AI16" s="202">
        <f t="shared" si="28"/>
        <v>0</v>
      </c>
      <c r="AK16" s="71">
        <v>11</v>
      </c>
      <c r="AL16" s="33">
        <f t="shared" si="10"/>
        <v>0</v>
      </c>
      <c r="AM16" s="33">
        <f t="shared" si="11"/>
        <v>0</v>
      </c>
      <c r="AN16" s="33">
        <f t="shared" si="12"/>
        <v>0</v>
      </c>
      <c r="AO16" s="33">
        <f t="shared" si="13"/>
        <v>0</v>
      </c>
      <c r="AP16" s="33">
        <f t="shared" si="14"/>
        <v>0</v>
      </c>
      <c r="AQ16" s="197">
        <f t="shared" si="17"/>
        <v>0</v>
      </c>
      <c r="AR16" s="197">
        <f t="shared" si="17"/>
        <v>0</v>
      </c>
      <c r="AS16" s="197">
        <f t="shared" si="17"/>
        <v>0</v>
      </c>
      <c r="AT16" s="197">
        <f t="shared" si="17"/>
        <v>0</v>
      </c>
      <c r="AU16" s="33"/>
      <c r="AV16" s="33"/>
      <c r="AW16" s="33"/>
      <c r="AX16" s="33"/>
      <c r="AY16" s="167">
        <f t="shared" si="24"/>
        <v>0</v>
      </c>
    </row>
    <row r="17" spans="2:55" ht="16">
      <c r="B17" s="375"/>
      <c r="C17" s="369" t="s">
        <v>124</v>
      </c>
      <c r="D17" s="364" t="s">
        <v>131</v>
      </c>
      <c r="E17" s="364"/>
      <c r="F17" s="96" t="s">
        <v>53</v>
      </c>
      <c r="I17" s="55">
        <v>12</v>
      </c>
      <c r="J17" s="33">
        <f t="shared" si="18"/>
        <v>5</v>
      </c>
      <c r="K17" s="33">
        <f t="shared" si="19"/>
        <v>1.910565629709926</v>
      </c>
      <c r="L17" s="33">
        <f t="shared" si="20"/>
        <v>45</v>
      </c>
      <c r="M17" s="33">
        <f t="shared" si="21"/>
        <v>0</v>
      </c>
      <c r="N17" s="33">
        <f t="shared" si="0"/>
        <v>0</v>
      </c>
      <c r="O17" s="34">
        <f t="shared" si="1"/>
        <v>177.03590180507811</v>
      </c>
      <c r="P17" s="55">
        <v>12</v>
      </c>
      <c r="Q17" s="33">
        <f t="shared" si="15"/>
        <v>7.1933333333333334</v>
      </c>
      <c r="R17" s="33">
        <f t="shared" si="22"/>
        <v>86.32</v>
      </c>
      <c r="S17" s="33">
        <f t="shared" si="23"/>
        <v>39.7072</v>
      </c>
      <c r="T17" s="33">
        <f t="shared" si="2"/>
        <v>11.92100708172145</v>
      </c>
      <c r="U17" s="33">
        <f t="shared" si="16"/>
        <v>49.735393850745325</v>
      </c>
      <c r="V17" s="33">
        <f t="shared" si="3"/>
        <v>4</v>
      </c>
      <c r="W17" s="33">
        <v>0</v>
      </c>
      <c r="X17" s="33">
        <f t="shared" si="4"/>
        <v>286.94890478673102</v>
      </c>
      <c r="Y17" s="38">
        <f t="shared" si="5"/>
        <v>109.91300298165291</v>
      </c>
      <c r="AA17" s="71">
        <v>12</v>
      </c>
      <c r="AB17" s="33">
        <f t="shared" si="6"/>
        <v>0</v>
      </c>
      <c r="AC17" s="308">
        <f t="shared" si="7"/>
        <v>0</v>
      </c>
      <c r="AD17" s="101">
        <f t="shared" si="8"/>
        <v>0</v>
      </c>
      <c r="AE17" s="101">
        <f t="shared" si="9"/>
        <v>0</v>
      </c>
      <c r="AF17" s="197">
        <f t="shared" si="25"/>
        <v>0</v>
      </c>
      <c r="AG17" s="197">
        <f t="shared" si="26"/>
        <v>0</v>
      </c>
      <c r="AH17" s="197">
        <f t="shared" si="27"/>
        <v>0</v>
      </c>
      <c r="AI17" s="202">
        <f t="shared" si="28"/>
        <v>0</v>
      </c>
      <c r="AK17" s="71">
        <v>12</v>
      </c>
      <c r="AL17" s="33">
        <f t="shared" si="10"/>
        <v>0</v>
      </c>
      <c r="AM17" s="33">
        <f t="shared" si="11"/>
        <v>0</v>
      </c>
      <c r="AN17" s="33">
        <f t="shared" si="12"/>
        <v>0</v>
      </c>
      <c r="AO17" s="33">
        <f t="shared" si="13"/>
        <v>0</v>
      </c>
      <c r="AP17" s="33">
        <f t="shared" si="14"/>
        <v>0</v>
      </c>
      <c r="AQ17" s="197">
        <f t="shared" si="17"/>
        <v>0</v>
      </c>
      <c r="AR17" s="197">
        <f t="shared" si="17"/>
        <v>0</v>
      </c>
      <c r="AS17" s="197">
        <f t="shared" si="17"/>
        <v>0</v>
      </c>
      <c r="AT17" s="197">
        <f t="shared" si="17"/>
        <v>0</v>
      </c>
      <c r="AU17" s="33"/>
      <c r="AV17" s="33"/>
      <c r="AW17" s="33"/>
      <c r="AX17" s="33"/>
      <c r="AY17" s="167">
        <f t="shared" si="24"/>
        <v>0</v>
      </c>
    </row>
    <row r="18" spans="2:55">
      <c r="B18" s="375"/>
      <c r="C18" s="369"/>
      <c r="D18" s="364" t="s">
        <v>136</v>
      </c>
      <c r="E18" s="364"/>
      <c r="F18" s="97">
        <v>50</v>
      </c>
      <c r="I18" s="55">
        <v>13</v>
      </c>
      <c r="J18" s="33">
        <f t="shared" si="18"/>
        <v>5</v>
      </c>
      <c r="K18" s="33">
        <f t="shared" si="19"/>
        <v>1.910565629709926</v>
      </c>
      <c r="L18" s="33">
        <f t="shared" si="20"/>
        <v>45</v>
      </c>
      <c r="M18" s="33">
        <f t="shared" si="21"/>
        <v>0</v>
      </c>
      <c r="N18" s="33">
        <f t="shared" si="0"/>
        <v>0</v>
      </c>
      <c r="O18" s="34">
        <f t="shared" si="1"/>
        <v>177.03590180507811</v>
      </c>
      <c r="P18" s="55">
        <v>13</v>
      </c>
      <c r="Q18" s="33">
        <f t="shared" si="15"/>
        <v>7.1933333333333334</v>
      </c>
      <c r="R18" s="33">
        <f t="shared" si="22"/>
        <v>93.513333333333321</v>
      </c>
      <c r="S18" s="33">
        <f t="shared" si="23"/>
        <v>43.016133333333329</v>
      </c>
      <c r="T18" s="33">
        <f t="shared" si="2"/>
        <v>12.794659806950092</v>
      </c>
      <c r="U18" s="33">
        <f t="shared" si="16"/>
        <v>50.086939462562704</v>
      </c>
      <c r="V18" s="33">
        <f t="shared" si="3"/>
        <v>4.333333333333333</v>
      </c>
      <c r="W18" s="33">
        <v>0</v>
      </c>
      <c r="X18" s="33">
        <f t="shared" si="4"/>
        <v>296.74479830427907</v>
      </c>
      <c r="Y18" s="38">
        <f t="shared" si="5"/>
        <v>119.70889649920096</v>
      </c>
      <c r="AA18" s="71">
        <v>13</v>
      </c>
      <c r="AB18" s="33">
        <f t="shared" si="6"/>
        <v>0</v>
      </c>
      <c r="AC18" s="308">
        <f t="shared" si="7"/>
        <v>0</v>
      </c>
      <c r="AD18" s="101">
        <f t="shared" si="8"/>
        <v>0</v>
      </c>
      <c r="AE18" s="101">
        <f t="shared" si="9"/>
        <v>0</v>
      </c>
      <c r="AF18" s="197">
        <f t="shared" si="25"/>
        <v>0</v>
      </c>
      <c r="AG18" s="197">
        <f t="shared" si="26"/>
        <v>0</v>
      </c>
      <c r="AH18" s="197">
        <f t="shared" si="27"/>
        <v>0</v>
      </c>
      <c r="AI18" s="202">
        <f t="shared" si="28"/>
        <v>0</v>
      </c>
      <c r="AK18" s="71">
        <v>13</v>
      </c>
      <c r="AL18" s="33">
        <f t="shared" si="10"/>
        <v>0</v>
      </c>
      <c r="AM18" s="33">
        <f t="shared" si="11"/>
        <v>0</v>
      </c>
      <c r="AN18" s="33">
        <f t="shared" si="12"/>
        <v>0</v>
      </c>
      <c r="AO18" s="33">
        <f t="shared" si="13"/>
        <v>0</v>
      </c>
      <c r="AP18" s="33">
        <f t="shared" si="14"/>
        <v>0</v>
      </c>
      <c r="AQ18" s="197">
        <f t="shared" si="17"/>
        <v>0</v>
      </c>
      <c r="AR18" s="197">
        <f t="shared" si="17"/>
        <v>0</v>
      </c>
      <c r="AS18" s="197">
        <f t="shared" si="17"/>
        <v>0</v>
      </c>
      <c r="AT18" s="197">
        <f t="shared" si="17"/>
        <v>0</v>
      </c>
      <c r="AU18" s="33"/>
      <c r="AV18" s="33"/>
      <c r="AW18" s="33"/>
      <c r="AX18" s="33"/>
      <c r="AY18" s="167">
        <f t="shared" si="24"/>
        <v>0</v>
      </c>
    </row>
    <row r="19" spans="2:55">
      <c r="B19" s="375"/>
      <c r="C19" s="369"/>
      <c r="D19" s="367" t="s">
        <v>155</v>
      </c>
      <c r="E19" s="367"/>
      <c r="F19" s="36">
        <f>IF(ISBLANK(F$17),,VLOOKUP(F$17,C131:D195,2,FALSE))</f>
        <v>0.46</v>
      </c>
      <c r="I19" s="55">
        <v>14</v>
      </c>
      <c r="J19" s="33">
        <f t="shared" si="18"/>
        <v>5</v>
      </c>
      <c r="K19" s="33">
        <f t="shared" si="19"/>
        <v>1.910565629709926</v>
      </c>
      <c r="L19" s="33">
        <f t="shared" si="20"/>
        <v>45</v>
      </c>
      <c r="M19" s="33">
        <f t="shared" si="21"/>
        <v>0</v>
      </c>
      <c r="N19" s="33">
        <f t="shared" si="0"/>
        <v>0</v>
      </c>
      <c r="O19" s="34">
        <f t="shared" si="1"/>
        <v>177.03590180507811</v>
      </c>
      <c r="P19" s="55">
        <v>14</v>
      </c>
      <c r="Q19" s="33">
        <f t="shared" si="15"/>
        <v>7.1933333333333334</v>
      </c>
      <c r="R19" s="33">
        <f t="shared" si="22"/>
        <v>100.70666666666665</v>
      </c>
      <c r="S19" s="33">
        <f t="shared" si="23"/>
        <v>46.325066666666658</v>
      </c>
      <c r="T19" s="33">
        <f t="shared" si="2"/>
        <v>13.660516785916871</v>
      </c>
      <c r="U19" s="33">
        <f t="shared" si="16"/>
        <v>50.432386543953299</v>
      </c>
      <c r="V19" s="33">
        <f t="shared" si="3"/>
        <v>4.666666666666667</v>
      </c>
      <c r="W19" s="33">
        <v>0</v>
      </c>
      <c r="X19" s="33">
        <f t="shared" si="4"/>
        <v>306.50475295218951</v>
      </c>
      <c r="Y19" s="38">
        <f t="shared" si="5"/>
        <v>129.46885114711139</v>
      </c>
      <c r="AA19" s="71">
        <v>14</v>
      </c>
      <c r="AB19" s="33">
        <f t="shared" si="6"/>
        <v>0</v>
      </c>
      <c r="AC19" s="308">
        <f t="shared" si="7"/>
        <v>0</v>
      </c>
      <c r="AD19" s="101">
        <f t="shared" si="8"/>
        <v>0</v>
      </c>
      <c r="AE19" s="101">
        <f t="shared" si="9"/>
        <v>0</v>
      </c>
      <c r="AF19" s="197">
        <f t="shared" si="25"/>
        <v>0</v>
      </c>
      <c r="AG19" s="197">
        <f t="shared" si="26"/>
        <v>0</v>
      </c>
      <c r="AH19" s="197">
        <f t="shared" si="27"/>
        <v>0</v>
      </c>
      <c r="AI19" s="202">
        <f t="shared" si="28"/>
        <v>0</v>
      </c>
      <c r="AK19" s="71">
        <v>14</v>
      </c>
      <c r="AL19" s="33">
        <f t="shared" si="10"/>
        <v>0</v>
      </c>
      <c r="AM19" s="33">
        <f t="shared" si="11"/>
        <v>0</v>
      </c>
      <c r="AN19" s="33">
        <f t="shared" si="12"/>
        <v>0</v>
      </c>
      <c r="AO19" s="33">
        <f t="shared" si="13"/>
        <v>0</v>
      </c>
      <c r="AP19" s="33">
        <f t="shared" si="14"/>
        <v>0</v>
      </c>
      <c r="AQ19" s="197">
        <f t="shared" si="17"/>
        <v>0</v>
      </c>
      <c r="AR19" s="197">
        <f t="shared" si="17"/>
        <v>0</v>
      </c>
      <c r="AS19" s="197">
        <f t="shared" si="17"/>
        <v>0</v>
      </c>
      <c r="AT19" s="197">
        <f t="shared" si="17"/>
        <v>0</v>
      </c>
      <c r="AU19" s="33"/>
      <c r="AV19" s="33"/>
      <c r="AW19" s="33"/>
      <c r="AX19" s="33"/>
      <c r="AY19" s="167">
        <f t="shared" si="24"/>
        <v>0</v>
      </c>
    </row>
    <row r="20" spans="2:55">
      <c r="B20" s="375"/>
      <c r="C20" s="369"/>
      <c r="D20" s="367" t="s">
        <v>140</v>
      </c>
      <c r="E20" s="367"/>
      <c r="F20" s="98">
        <v>1.3</v>
      </c>
      <c r="I20" s="55">
        <v>15</v>
      </c>
      <c r="J20" s="33">
        <f t="shared" si="18"/>
        <v>5</v>
      </c>
      <c r="K20" s="33">
        <f t="shared" si="19"/>
        <v>1.910565629709926</v>
      </c>
      <c r="L20" s="33">
        <f t="shared" si="20"/>
        <v>45</v>
      </c>
      <c r="M20" s="33">
        <f t="shared" si="21"/>
        <v>0</v>
      </c>
      <c r="N20" s="33">
        <f t="shared" si="0"/>
        <v>0</v>
      </c>
      <c r="O20" s="34">
        <f t="shared" si="1"/>
        <v>177.03590180507811</v>
      </c>
      <c r="P20" s="55">
        <v>15</v>
      </c>
      <c r="Q20" s="33">
        <f t="shared" si="15"/>
        <v>7.1933333333333334</v>
      </c>
      <c r="R20" s="33">
        <f t="shared" si="22"/>
        <v>107.89999999999998</v>
      </c>
      <c r="S20" s="33">
        <f t="shared" si="23"/>
        <v>49.633999999999993</v>
      </c>
      <c r="T20" s="33">
        <f t="shared" si="2"/>
        <v>14.519198189037455</v>
      </c>
      <c r="U20" s="33">
        <f t="shared" si="16"/>
        <v>50.771840890785739</v>
      </c>
      <c r="V20" s="33">
        <f t="shared" si="3"/>
        <v>5</v>
      </c>
      <c r="W20" s="33">
        <v>0</v>
      </c>
      <c r="X20" s="33">
        <f t="shared" si="4"/>
        <v>316.23023677878797</v>
      </c>
      <c r="Y20" s="38">
        <f t="shared" si="5"/>
        <v>139.19433497370986</v>
      </c>
      <c r="AA20" s="71">
        <v>15</v>
      </c>
      <c r="AB20" s="33">
        <f t="shared" si="6"/>
        <v>0</v>
      </c>
      <c r="AC20" s="308">
        <f t="shared" si="7"/>
        <v>0</v>
      </c>
      <c r="AD20" s="101">
        <f t="shared" si="8"/>
        <v>0</v>
      </c>
      <c r="AE20" s="101">
        <f t="shared" si="9"/>
        <v>0</v>
      </c>
      <c r="AF20" s="197">
        <f t="shared" si="25"/>
        <v>0</v>
      </c>
      <c r="AG20" s="197">
        <f t="shared" si="26"/>
        <v>0</v>
      </c>
      <c r="AH20" s="197">
        <f t="shared" si="27"/>
        <v>0</v>
      </c>
      <c r="AI20" s="202">
        <f t="shared" si="28"/>
        <v>0</v>
      </c>
      <c r="AK20" s="71">
        <v>15</v>
      </c>
      <c r="AL20" s="33">
        <f t="shared" si="10"/>
        <v>0</v>
      </c>
      <c r="AM20" s="33">
        <f t="shared" si="11"/>
        <v>0</v>
      </c>
      <c r="AN20" s="33">
        <f t="shared" si="12"/>
        <v>0</v>
      </c>
      <c r="AO20" s="33">
        <f t="shared" si="13"/>
        <v>0</v>
      </c>
      <c r="AP20" s="33">
        <f t="shared" si="14"/>
        <v>0</v>
      </c>
      <c r="AQ20" s="197">
        <f t="shared" si="17"/>
        <v>0</v>
      </c>
      <c r="AR20" s="197">
        <f t="shared" si="17"/>
        <v>0</v>
      </c>
      <c r="AS20" s="197">
        <f t="shared" si="17"/>
        <v>0</v>
      </c>
      <c r="AT20" s="197">
        <f t="shared" si="17"/>
        <v>0</v>
      </c>
      <c r="AU20" s="33"/>
      <c r="AV20" s="33"/>
      <c r="AW20" s="33"/>
      <c r="AX20" s="33"/>
      <c r="AY20" s="167">
        <f t="shared" si="24"/>
        <v>0</v>
      </c>
    </row>
    <row r="21" spans="2:55">
      <c r="B21" s="366"/>
      <c r="C21" s="370"/>
      <c r="D21" s="368" t="s">
        <v>143</v>
      </c>
      <c r="E21" s="368"/>
      <c r="F21" s="103">
        <v>3.8285999999999998</v>
      </c>
      <c r="I21" s="55">
        <v>16</v>
      </c>
      <c r="J21" s="33">
        <f t="shared" si="18"/>
        <v>5</v>
      </c>
      <c r="K21" s="33">
        <f t="shared" si="19"/>
        <v>1.910565629709926</v>
      </c>
      <c r="L21" s="33">
        <f t="shared" si="20"/>
        <v>45</v>
      </c>
      <c r="M21" s="33">
        <f t="shared" si="21"/>
        <v>0</v>
      </c>
      <c r="N21" s="33">
        <f t="shared" si="0"/>
        <v>0</v>
      </c>
      <c r="O21" s="34">
        <f t="shared" si="1"/>
        <v>177.03590180507811</v>
      </c>
      <c r="P21" s="55">
        <v>16</v>
      </c>
      <c r="Q21" s="33">
        <f t="shared" si="15"/>
        <v>-18.200000000000003</v>
      </c>
      <c r="R21" s="33">
        <f t="shared" si="22"/>
        <v>89.699999999999974</v>
      </c>
      <c r="S21" s="33">
        <f t="shared" si="23"/>
        <v>41.261999999999993</v>
      </c>
      <c r="T21" s="33">
        <f t="shared" si="2"/>
        <v>12.332533039040449</v>
      </c>
      <c r="U21" s="33">
        <f t="shared" si="16"/>
        <v>51.105406463606862</v>
      </c>
      <c r="V21" s="33">
        <f t="shared" si="3"/>
        <v>5.333333333333333</v>
      </c>
      <c r="W21" s="33">
        <v>0</v>
      </c>
      <c r="X21" s="33">
        <f t="shared" si="4"/>
        <v>300.28585763177608</v>
      </c>
      <c r="Y21" s="38">
        <f t="shared" si="5"/>
        <v>123.24995582669797</v>
      </c>
      <c r="AA21" s="71">
        <v>16</v>
      </c>
      <c r="AB21" s="33">
        <f t="shared" si="6"/>
        <v>14</v>
      </c>
      <c r="AC21" s="308">
        <f t="shared" si="7"/>
        <v>0</v>
      </c>
      <c r="AD21" s="101">
        <f t="shared" si="8"/>
        <v>0.56000000000000005</v>
      </c>
      <c r="AE21" s="101">
        <f t="shared" si="9"/>
        <v>0.44</v>
      </c>
      <c r="AF21" s="197">
        <f t="shared" si="25"/>
        <v>0</v>
      </c>
      <c r="AG21" s="197">
        <f t="shared" si="26"/>
        <v>6.194870682890028</v>
      </c>
      <c r="AH21" s="197">
        <f t="shared" si="27"/>
        <v>4.1707814697522929</v>
      </c>
      <c r="AI21" s="202">
        <f t="shared" si="28"/>
        <v>10.365652152642321</v>
      </c>
      <c r="AK21" s="71">
        <v>16</v>
      </c>
      <c r="AL21" s="33">
        <f t="shared" si="10"/>
        <v>14</v>
      </c>
      <c r="AM21" s="33">
        <f t="shared" si="11"/>
        <v>0</v>
      </c>
      <c r="AN21" s="33">
        <f t="shared" si="12"/>
        <v>0.56000000000000005</v>
      </c>
      <c r="AO21" s="33">
        <f t="shared" si="13"/>
        <v>0.44</v>
      </c>
      <c r="AP21" s="33">
        <f t="shared" si="14"/>
        <v>0</v>
      </c>
      <c r="AQ21" s="197">
        <f t="shared" si="17"/>
        <v>0</v>
      </c>
      <c r="AR21" s="197">
        <f t="shared" si="17"/>
        <v>7.8400000000000007</v>
      </c>
      <c r="AS21" s="197">
        <f t="shared" si="17"/>
        <v>6.16</v>
      </c>
      <c r="AT21" s="197">
        <f t="shared" si="17"/>
        <v>0</v>
      </c>
      <c r="AU21" s="33"/>
      <c r="AV21" s="33"/>
      <c r="AW21" s="33"/>
      <c r="AX21" s="33"/>
      <c r="AY21" s="167">
        <f t="shared" si="24"/>
        <v>6.02</v>
      </c>
    </row>
    <row r="22" spans="2:55">
      <c r="E22" s="6"/>
      <c r="I22" s="55">
        <v>17</v>
      </c>
      <c r="J22" s="33">
        <f t="shared" si="18"/>
        <v>5</v>
      </c>
      <c r="K22" s="33">
        <f t="shared" si="19"/>
        <v>1.910565629709926</v>
      </c>
      <c r="L22" s="33">
        <f t="shared" si="20"/>
        <v>45</v>
      </c>
      <c r="M22" s="33">
        <f t="shared" si="21"/>
        <v>0</v>
      </c>
      <c r="N22" s="33">
        <f t="shared" si="0"/>
        <v>0</v>
      </c>
      <c r="O22" s="34">
        <f t="shared" si="1"/>
        <v>177.03590180507811</v>
      </c>
      <c r="P22" s="55">
        <v>17</v>
      </c>
      <c r="Q22" s="33">
        <f t="shared" si="15"/>
        <v>26.650000000000002</v>
      </c>
      <c r="R22" s="33">
        <f t="shared" si="22"/>
        <v>116.34999999999998</v>
      </c>
      <c r="S22" s="33">
        <f t="shared" si="23"/>
        <v>53.520999999999994</v>
      </c>
      <c r="T22" s="33">
        <f t="shared" si="2"/>
        <v>15.519440672774369</v>
      </c>
      <c r="U22" s="33">
        <f t="shared" si="16"/>
        <v>51.433185419480445</v>
      </c>
      <c r="V22" s="33">
        <f t="shared" si="3"/>
        <v>5.666666666666667</v>
      </c>
      <c r="W22" s="33">
        <v>0</v>
      </c>
      <c r="X22" s="33">
        <f t="shared" si="4"/>
        <v>329.61155848762144</v>
      </c>
      <c r="Y22" s="38">
        <f t="shared" si="5"/>
        <v>152.57565668254333</v>
      </c>
      <c r="AA22" s="71">
        <v>17</v>
      </c>
      <c r="AB22" s="33">
        <f t="shared" si="6"/>
        <v>0</v>
      </c>
      <c r="AC22" s="308">
        <f t="shared" si="7"/>
        <v>0</v>
      </c>
      <c r="AD22" s="101">
        <f t="shared" si="8"/>
        <v>0</v>
      </c>
      <c r="AE22" s="101">
        <f t="shared" si="9"/>
        <v>0</v>
      </c>
      <c r="AF22" s="197">
        <f t="shared" si="25"/>
        <v>0</v>
      </c>
      <c r="AG22" s="197">
        <f t="shared" si="26"/>
        <v>6.0254716182923094</v>
      </c>
      <c r="AH22" s="197">
        <f t="shared" si="27"/>
        <v>2.949187860109042</v>
      </c>
      <c r="AI22" s="202">
        <f t="shared" si="28"/>
        <v>8.9746594784013514</v>
      </c>
      <c r="AK22" s="71">
        <v>17</v>
      </c>
      <c r="AL22" s="33">
        <f t="shared" si="10"/>
        <v>0</v>
      </c>
      <c r="AM22" s="33">
        <f t="shared" si="11"/>
        <v>0</v>
      </c>
      <c r="AN22" s="33">
        <f t="shared" si="12"/>
        <v>0</v>
      </c>
      <c r="AO22" s="33">
        <f t="shared" si="13"/>
        <v>0</v>
      </c>
      <c r="AP22" s="33">
        <f t="shared" si="14"/>
        <v>0</v>
      </c>
      <c r="AQ22" s="197">
        <f t="shared" si="17"/>
        <v>0</v>
      </c>
      <c r="AR22" s="197">
        <f t="shared" si="17"/>
        <v>0</v>
      </c>
      <c r="AS22" s="197">
        <f t="shared" si="17"/>
        <v>0</v>
      </c>
      <c r="AT22" s="197">
        <f t="shared" si="17"/>
        <v>0</v>
      </c>
      <c r="AU22" s="33"/>
      <c r="AV22" s="33"/>
      <c r="AW22" s="33"/>
      <c r="AX22" s="33"/>
      <c r="AY22" s="167">
        <f t="shared" si="24"/>
        <v>6.02</v>
      </c>
    </row>
    <row r="23" spans="2:55">
      <c r="B23" s="387" t="s">
        <v>142</v>
      </c>
      <c r="C23" s="388"/>
      <c r="D23" s="388"/>
      <c r="E23" s="388"/>
      <c r="F23" s="388"/>
      <c r="G23" s="389"/>
      <c r="I23" s="55">
        <v>18</v>
      </c>
      <c r="J23" s="33">
        <f t="shared" si="18"/>
        <v>5</v>
      </c>
      <c r="K23" s="33">
        <f t="shared" si="19"/>
        <v>1.910565629709926</v>
      </c>
      <c r="L23" s="33">
        <f t="shared" si="20"/>
        <v>45</v>
      </c>
      <c r="M23" s="33">
        <f t="shared" si="21"/>
        <v>0</v>
      </c>
      <c r="N23" s="33">
        <f t="shared" si="0"/>
        <v>0</v>
      </c>
      <c r="O23" s="34">
        <f t="shared" si="1"/>
        <v>177.03590180507811</v>
      </c>
      <c r="P23" s="55">
        <v>18</v>
      </c>
      <c r="Q23" s="33">
        <f t="shared" si="15"/>
        <v>26.650000000000002</v>
      </c>
      <c r="R23" s="33">
        <f t="shared" si="22"/>
        <v>142.99999999999997</v>
      </c>
      <c r="S23" s="33">
        <f t="shared" si="23"/>
        <v>65.779999999999987</v>
      </c>
      <c r="T23" s="33">
        <f t="shared" si="2"/>
        <v>18.621720661480644</v>
      </c>
      <c r="U23" s="33">
        <f t="shared" si="16"/>
        <v>51.755278143273578</v>
      </c>
      <c r="V23" s="33">
        <f t="shared" si="3"/>
        <v>6</v>
      </c>
      <c r="W23" s="33">
        <v>0</v>
      </c>
      <c r="X23" s="33">
        <f t="shared" si="4"/>
        <v>358.76901667741521</v>
      </c>
      <c r="Y23" s="38">
        <f t="shared" si="5"/>
        <v>181.7331148723371</v>
      </c>
      <c r="AA23" s="71">
        <v>18</v>
      </c>
      <c r="AB23" s="33">
        <f t="shared" si="6"/>
        <v>0</v>
      </c>
      <c r="AC23" s="308">
        <f t="shared" si="7"/>
        <v>0</v>
      </c>
      <c r="AD23" s="101">
        <f t="shared" si="8"/>
        <v>0</v>
      </c>
      <c r="AE23" s="101">
        <f t="shared" si="9"/>
        <v>0</v>
      </c>
      <c r="AF23" s="197">
        <f t="shared" si="25"/>
        <v>0</v>
      </c>
      <c r="AG23" s="197">
        <f t="shared" si="26"/>
        <v>5.8607047800243253</v>
      </c>
      <c r="AH23" s="197">
        <f t="shared" si="27"/>
        <v>2.0853907348761469</v>
      </c>
      <c r="AI23" s="202">
        <f t="shared" si="28"/>
        <v>7.9460955149004722</v>
      </c>
      <c r="AK23" s="71">
        <v>18</v>
      </c>
      <c r="AL23" s="33">
        <f t="shared" si="10"/>
        <v>0</v>
      </c>
      <c r="AM23" s="33">
        <f t="shared" si="11"/>
        <v>0</v>
      </c>
      <c r="AN23" s="33">
        <f t="shared" si="12"/>
        <v>0</v>
      </c>
      <c r="AO23" s="33">
        <f t="shared" si="13"/>
        <v>0</v>
      </c>
      <c r="AP23" s="33">
        <f t="shared" si="14"/>
        <v>0</v>
      </c>
      <c r="AQ23" s="197">
        <f t="shared" si="17"/>
        <v>0</v>
      </c>
      <c r="AR23" s="197">
        <f t="shared" si="17"/>
        <v>0</v>
      </c>
      <c r="AS23" s="197">
        <f t="shared" si="17"/>
        <v>0</v>
      </c>
      <c r="AT23" s="197">
        <f t="shared" si="17"/>
        <v>0</v>
      </c>
      <c r="AU23" s="33"/>
      <c r="AV23" s="33"/>
      <c r="AW23" s="33"/>
      <c r="AX23" s="33"/>
      <c r="AY23" s="167">
        <f t="shared" si="24"/>
        <v>6.02</v>
      </c>
    </row>
    <row r="24" spans="2:55">
      <c r="B24" s="47" t="s">
        <v>114</v>
      </c>
      <c r="C24" s="48" t="s">
        <v>115</v>
      </c>
      <c r="D24" s="48" t="s">
        <v>83</v>
      </c>
      <c r="E24" s="48" t="s">
        <v>117</v>
      </c>
      <c r="F24" s="48" t="s">
        <v>116</v>
      </c>
      <c r="G24" s="49" t="s">
        <v>141</v>
      </c>
      <c r="I24" s="55">
        <v>19</v>
      </c>
      <c r="J24" s="33">
        <f t="shared" si="18"/>
        <v>5</v>
      </c>
      <c r="K24" s="33">
        <f t="shared" si="19"/>
        <v>1.910565629709926</v>
      </c>
      <c r="L24" s="33">
        <f t="shared" si="20"/>
        <v>45</v>
      </c>
      <c r="M24" s="33">
        <f t="shared" si="21"/>
        <v>0</v>
      </c>
      <c r="N24" s="33">
        <f t="shared" si="0"/>
        <v>0</v>
      </c>
      <c r="O24" s="34">
        <f t="shared" si="1"/>
        <v>177.03590180507811</v>
      </c>
      <c r="P24" s="55">
        <v>19</v>
      </c>
      <c r="Q24" s="33">
        <f t="shared" si="15"/>
        <v>26.650000000000002</v>
      </c>
      <c r="R24" s="33">
        <f t="shared" si="22"/>
        <v>169.64999999999998</v>
      </c>
      <c r="S24" s="33">
        <f t="shared" si="23"/>
        <v>78.038999999999987</v>
      </c>
      <c r="T24" s="33">
        <f t="shared" si="2"/>
        <v>21.657019080358005</v>
      </c>
      <c r="U24" s="33">
        <f t="shared" si="16"/>
        <v>52.07178327840036</v>
      </c>
      <c r="V24" s="33">
        <f t="shared" si="3"/>
        <v>6.333333333333333</v>
      </c>
      <c r="W24" s="33">
        <v>0</v>
      </c>
      <c r="X24" s="33">
        <f t="shared" si="4"/>
        <v>387.789327474647</v>
      </c>
      <c r="Y24" s="38">
        <f t="shared" si="5"/>
        <v>210.75342566956888</v>
      </c>
      <c r="AA24" s="71">
        <v>19</v>
      </c>
      <c r="AB24" s="33">
        <f t="shared" si="6"/>
        <v>0</v>
      </c>
      <c r="AC24" s="308">
        <f t="shared" si="7"/>
        <v>0</v>
      </c>
      <c r="AD24" s="101">
        <f t="shared" si="8"/>
        <v>0</v>
      </c>
      <c r="AE24" s="101">
        <f t="shared" si="9"/>
        <v>0</v>
      </c>
      <c r="AF24" s="197">
        <f t="shared" si="25"/>
        <v>0</v>
      </c>
      <c r="AG24" s="197">
        <f t="shared" si="26"/>
        <v>5.7004434996134909</v>
      </c>
      <c r="AH24" s="197">
        <f t="shared" si="27"/>
        <v>1.4745939300545212</v>
      </c>
      <c r="AI24" s="202">
        <f t="shared" si="28"/>
        <v>7.1750374296680119</v>
      </c>
      <c r="AK24" s="71">
        <v>19</v>
      </c>
      <c r="AL24" s="33">
        <f t="shared" si="10"/>
        <v>0</v>
      </c>
      <c r="AM24" s="33">
        <f t="shared" si="11"/>
        <v>0</v>
      </c>
      <c r="AN24" s="33">
        <f t="shared" si="12"/>
        <v>0</v>
      </c>
      <c r="AO24" s="33">
        <f t="shared" si="13"/>
        <v>0</v>
      </c>
      <c r="AP24" s="33">
        <f t="shared" si="14"/>
        <v>0</v>
      </c>
      <c r="AQ24" s="197">
        <f t="shared" si="17"/>
        <v>0</v>
      </c>
      <c r="AR24" s="197">
        <f t="shared" si="17"/>
        <v>0</v>
      </c>
      <c r="AS24" s="197">
        <f t="shared" si="17"/>
        <v>0</v>
      </c>
      <c r="AT24" s="197">
        <f t="shared" si="17"/>
        <v>0</v>
      </c>
      <c r="AU24" s="33"/>
      <c r="AV24" s="33"/>
      <c r="AW24" s="33"/>
      <c r="AX24" s="33"/>
      <c r="AY24" s="167">
        <f t="shared" si="24"/>
        <v>6.02</v>
      </c>
      <c r="BA24" s="5"/>
      <c r="BB24" s="5"/>
      <c r="BC24" s="5"/>
    </row>
    <row r="25" spans="2:55">
      <c r="B25" s="45">
        <v>0</v>
      </c>
      <c r="C25" s="337">
        <v>15</v>
      </c>
      <c r="D25" s="139">
        <f>D26+14</f>
        <v>83</v>
      </c>
      <c r="E25" s="143">
        <f t="shared" ref="E25:E52" si="29">$F$20</f>
        <v>1.3</v>
      </c>
      <c r="F25" s="46">
        <f t="shared" ref="F25:F26" si="30">D25*E25</f>
        <v>107.9</v>
      </c>
      <c r="G25" s="50">
        <f>F25/(C25-B25)</f>
        <v>7.1933333333333334</v>
      </c>
      <c r="I25" s="55">
        <v>20</v>
      </c>
      <c r="J25" s="33">
        <f t="shared" si="18"/>
        <v>5</v>
      </c>
      <c r="K25" s="33">
        <f t="shared" si="19"/>
        <v>1.910565629709926</v>
      </c>
      <c r="L25" s="33">
        <f t="shared" si="20"/>
        <v>45</v>
      </c>
      <c r="M25" s="33">
        <f t="shared" si="21"/>
        <v>0</v>
      </c>
      <c r="N25" s="33">
        <f t="shared" si="0"/>
        <v>0</v>
      </c>
      <c r="O25" s="34">
        <f t="shared" si="1"/>
        <v>177.03590180507811</v>
      </c>
      <c r="P25" s="55">
        <v>20</v>
      </c>
      <c r="Q25" s="33">
        <f t="shared" si="15"/>
        <v>26.650000000000002</v>
      </c>
      <c r="R25" s="33">
        <f t="shared" si="22"/>
        <v>196.29999999999998</v>
      </c>
      <c r="S25" s="33">
        <f t="shared" si="23"/>
        <v>90.298000000000002</v>
      </c>
      <c r="T25" s="33">
        <f t="shared" si="2"/>
        <v>24.637081585210524</v>
      </c>
      <c r="U25" s="33">
        <f t="shared" si="16"/>
        <v>52.382797757032165</v>
      </c>
      <c r="V25" s="33">
        <f t="shared" si="3"/>
        <v>6.666666666666667</v>
      </c>
      <c r="W25" s="33">
        <v>0</v>
      </c>
      <c r="X25" s="33">
        <f t="shared" si="4"/>
        <v>416.69330331447071</v>
      </c>
      <c r="Y25" s="38">
        <f t="shared" si="5"/>
        <v>239.6574015093926</v>
      </c>
      <c r="AA25" s="71">
        <v>20</v>
      </c>
      <c r="AB25" s="33">
        <f t="shared" si="6"/>
        <v>0</v>
      </c>
      <c r="AC25" s="308">
        <f t="shared" si="7"/>
        <v>0</v>
      </c>
      <c r="AD25" s="101">
        <f t="shared" si="8"/>
        <v>0</v>
      </c>
      <c r="AE25" s="101">
        <f t="shared" si="9"/>
        <v>0</v>
      </c>
      <c r="AF25" s="197">
        <f>IF(OR(AA25&lt;=$F$18,AA25&lt;=30),EXP(-LN(2)/$D$104)*AF24+((1-EXP(-LN(2)/$D$104))/(LN(2)/$D$104))*$AB25*AC25*0.475*$F$19*44/12,)</f>
        <v>0</v>
      </c>
      <c r="AG25" s="197">
        <f>IF(OR(AA25&lt;=$F$18,AA25&lt;=30),EXP(-LN(2)/$D$106)*AG24+((1-EXP(-LN(2)/$D$106))/(LN(2)/$D$106))*$AB25*AD25*0.475*$F$19*44/12,)</f>
        <v>5.5445645723432646</v>
      </c>
      <c r="AH25" s="197">
        <f>IF(OR(AA25&lt;=$F$18,AA25&lt;=30),EXP(-LN(2)/$D$105)*AH24+((1-EXP(-LN(2)/$D$105))/(LN(2)/$D$105))*$AB25*AE25*0.475*$F$19*44/12,)</f>
        <v>1.0426953674380737</v>
      </c>
      <c r="AI25" s="202">
        <f>IF(OR(AA25&lt;=$F$18,AA25&lt;=30),SUM(AF25:AH25),)</f>
        <v>6.5872599397813385</v>
      </c>
      <c r="AK25" s="71">
        <v>20</v>
      </c>
      <c r="AL25" s="33">
        <f t="shared" si="10"/>
        <v>0</v>
      </c>
      <c r="AM25" s="33">
        <f t="shared" si="11"/>
        <v>0</v>
      </c>
      <c r="AN25" s="33">
        <f t="shared" si="12"/>
        <v>0</v>
      </c>
      <c r="AO25" s="33">
        <f t="shared" si="13"/>
        <v>0</v>
      </c>
      <c r="AP25" s="33">
        <f t="shared" si="14"/>
        <v>0</v>
      </c>
      <c r="AQ25" s="197">
        <f>IF($AK25&lt;=$F$18,$AL25*AM25,)</f>
        <v>0</v>
      </c>
      <c r="AR25" s="197">
        <f>IF($AK25&lt;=$F$18,$AL25*AN25,)</f>
        <v>0</v>
      </c>
      <c r="AS25" s="197">
        <f>IF($AK25&lt;=$F$18,$AL25*AO25,)</f>
        <v>0</v>
      </c>
      <c r="AT25" s="197">
        <f>IF($AK25&lt;=$F$18,$AL25*AP25,)</f>
        <v>0</v>
      </c>
      <c r="AU25" s="33"/>
      <c r="AV25" s="33"/>
      <c r="AW25" s="33"/>
      <c r="AX25" s="33"/>
      <c r="AY25" s="167">
        <f t="shared" si="24"/>
        <v>6.02</v>
      </c>
      <c r="BA25" s="5"/>
      <c r="BB25" s="5"/>
      <c r="BC25" s="5"/>
    </row>
    <row r="26" spans="2:55">
      <c r="B26" s="40">
        <f t="shared" ref="B26:B52" si="31">C25</f>
        <v>15</v>
      </c>
      <c r="C26" s="41">
        <f>B26+1</f>
        <v>16</v>
      </c>
      <c r="D26" s="140">
        <v>69</v>
      </c>
      <c r="E26" s="144">
        <f t="shared" si="29"/>
        <v>1.3</v>
      </c>
      <c r="F26" s="42">
        <f t="shared" si="30"/>
        <v>89.7</v>
      </c>
      <c r="G26" s="145">
        <f>(F26-F25)/(C26-B26)</f>
        <v>-18.200000000000003</v>
      </c>
      <c r="I26" s="55">
        <v>21</v>
      </c>
      <c r="J26" s="33">
        <f t="shared" si="18"/>
        <v>5</v>
      </c>
      <c r="K26" s="33">
        <f t="shared" si="19"/>
        <v>1.910565629709926</v>
      </c>
      <c r="L26" s="33">
        <f t="shared" si="20"/>
        <v>45</v>
      </c>
      <c r="M26" s="33">
        <f t="shared" si="21"/>
        <v>0</v>
      </c>
      <c r="N26" s="33">
        <f t="shared" si="0"/>
        <v>0</v>
      </c>
      <c r="O26" s="34">
        <f t="shared" si="1"/>
        <v>177.03590180507811</v>
      </c>
      <c r="P26" s="55">
        <v>21</v>
      </c>
      <c r="Q26" s="33">
        <f t="shared" si="15"/>
        <v>-63.700000000000017</v>
      </c>
      <c r="R26" s="33">
        <f t="shared" si="22"/>
        <v>132.59999999999997</v>
      </c>
      <c r="S26" s="33">
        <f t="shared" si="23"/>
        <v>60.995999999999988</v>
      </c>
      <c r="T26" s="33">
        <f t="shared" si="2"/>
        <v>17.419847263429801</v>
      </c>
      <c r="U26" s="33">
        <f t="shared" si="16"/>
        <v>52.688416829783918</v>
      </c>
      <c r="V26" s="33">
        <f t="shared" si="3"/>
        <v>7</v>
      </c>
      <c r="W26" s="33">
        <v>0</v>
      </c>
      <c r="X26" s="33">
        <f t="shared" si="4"/>
        <v>355.43179569301452</v>
      </c>
      <c r="Y26" s="38">
        <f t="shared" si="5"/>
        <v>178.39589388793641</v>
      </c>
      <c r="AA26" s="71">
        <v>21</v>
      </c>
      <c r="AB26" s="33">
        <f t="shared" si="6"/>
        <v>49</v>
      </c>
      <c r="AC26" s="308">
        <f t="shared" si="7"/>
        <v>0</v>
      </c>
      <c r="AD26" s="101">
        <f t="shared" si="8"/>
        <v>0.56000000000000005</v>
      </c>
      <c r="AE26" s="101">
        <f t="shared" si="9"/>
        <v>0.44</v>
      </c>
      <c r="AF26" s="197">
        <f>IF(OR(AA26&lt;=$F$18,AA26&lt;=30),EXP(-LN(2)/$D$104)*AF25+((1-EXP(-LN(2)/$D$104))/(LN(2)/$D$104))*$AB26*AC26*0.475*$F$19*44/12,)</f>
        <v>0</v>
      </c>
      <c r="AG26" s="197">
        <f>IF(OR(AA26&lt;=$F$18,AA26&lt;=30),EXP(-LN(2)/$D$106)*AG25+((1-EXP(-LN(2)/$D$106))/(LN(2)/$D$106))*$AB26*AD26*0.475*$F$19*44/12,)</f>
        <v>27.074995552651661</v>
      </c>
      <c r="AH26" s="197">
        <f>IF(OR(AA26&lt;=$F$18,AA26&lt;=30),EXP(-LN(2)/$D$105)*AH25+((1-EXP(-LN(2)/$D$105))/(LN(2)/$D$105))*$AB26*AE26*0.475*$F$19*44/12,)</f>
        <v>15.335032109160281</v>
      </c>
      <c r="AI26" s="202">
        <f>IF(OR(AA26&lt;=$F$18,AA26&lt;=30),SUM(AF26:AH26),)</f>
        <v>42.410027661811938</v>
      </c>
      <c r="AK26" s="71">
        <v>21</v>
      </c>
      <c r="AL26" s="33">
        <f t="shared" si="10"/>
        <v>49</v>
      </c>
      <c r="AM26" s="33">
        <f t="shared" si="11"/>
        <v>0</v>
      </c>
      <c r="AN26" s="33">
        <f t="shared" si="12"/>
        <v>0.56000000000000005</v>
      </c>
      <c r="AO26" s="33">
        <f t="shared" si="13"/>
        <v>0.44</v>
      </c>
      <c r="AP26" s="33">
        <f t="shared" si="14"/>
        <v>0</v>
      </c>
      <c r="AQ26" s="197">
        <f t="shared" ref="AQ26:AT35" si="32">IF($AK26&lt;=$F$18,$AL26*AM26,)</f>
        <v>0</v>
      </c>
      <c r="AR26" s="197">
        <f t="shared" si="32"/>
        <v>27.44</v>
      </c>
      <c r="AS26" s="197">
        <f t="shared" si="32"/>
        <v>21.56</v>
      </c>
      <c r="AT26" s="197">
        <f t="shared" si="32"/>
        <v>0</v>
      </c>
      <c r="AU26" s="33"/>
      <c r="AV26" s="33"/>
      <c r="AW26" s="33"/>
      <c r="AX26" s="33"/>
      <c r="AY26" s="167">
        <f t="shared" si="24"/>
        <v>27.09</v>
      </c>
      <c r="BA26" s="5"/>
      <c r="BB26" s="5"/>
      <c r="BC26" s="161"/>
    </row>
    <row r="27" spans="2:55">
      <c r="B27" s="40">
        <f t="shared" si="31"/>
        <v>16</v>
      </c>
      <c r="C27" s="155">
        <f>C25+5</f>
        <v>20</v>
      </c>
      <c r="D27" s="140">
        <f>D28+49</f>
        <v>151</v>
      </c>
      <c r="E27" s="144">
        <f t="shared" si="29"/>
        <v>1.3</v>
      </c>
      <c r="F27" s="42">
        <f t="shared" ref="F27:F52" si="33">D27*E27</f>
        <v>196.3</v>
      </c>
      <c r="G27" s="145">
        <f t="shared" ref="G27:G52" si="34">(F27-F26)/(C27-B27)</f>
        <v>26.650000000000002</v>
      </c>
      <c r="I27" s="55">
        <v>22</v>
      </c>
      <c r="J27" s="33">
        <f t="shared" si="18"/>
        <v>5</v>
      </c>
      <c r="K27" s="33">
        <f t="shared" si="19"/>
        <v>1.910565629709926</v>
      </c>
      <c r="L27" s="33">
        <f t="shared" si="20"/>
        <v>45</v>
      </c>
      <c r="M27" s="33">
        <f t="shared" si="21"/>
        <v>0</v>
      </c>
      <c r="N27" s="33">
        <f t="shared" si="0"/>
        <v>0</v>
      </c>
      <c r="O27" s="34">
        <f t="shared" si="1"/>
        <v>177.03590180507811</v>
      </c>
      <c r="P27" s="55">
        <v>22</v>
      </c>
      <c r="Q27" s="33">
        <f t="shared" si="15"/>
        <v>33.800000000000004</v>
      </c>
      <c r="R27" s="33">
        <f t="shared" si="22"/>
        <v>166.39999999999998</v>
      </c>
      <c r="S27" s="33">
        <f t="shared" si="23"/>
        <v>76.543999999999997</v>
      </c>
      <c r="T27" s="33">
        <f t="shared" si="2"/>
        <v>21.290014647017216</v>
      </c>
      <c r="U27" s="33">
        <f t="shared" si="16"/>
        <v>52.988734094885309</v>
      </c>
      <c r="V27" s="33">
        <f t="shared" si="3"/>
        <v>7.333333333333333</v>
      </c>
      <c r="W27" s="33">
        <v>0</v>
      </c>
      <c r="X27" s="33">
        <f t="shared" si="4"/>
        <v>391.57515608035663</v>
      </c>
      <c r="Y27" s="38">
        <f t="shared" si="5"/>
        <v>214.53925427527852</v>
      </c>
      <c r="AA27" s="71">
        <v>22</v>
      </c>
      <c r="AB27" s="33">
        <f t="shared" si="6"/>
        <v>0</v>
      </c>
      <c r="AC27" s="308">
        <f t="shared" si="7"/>
        <v>0</v>
      </c>
      <c r="AD27" s="101">
        <f t="shared" si="8"/>
        <v>0</v>
      </c>
      <c r="AE27" s="101">
        <f t="shared" si="9"/>
        <v>0</v>
      </c>
      <c r="AF27" s="197">
        <f t="shared" ref="AF27:AF90" si="35">IF(OR(AA27&lt;=$F$18,AA27&lt;=30),EXP(-LN(2)/$D$104)*AF26+((1-EXP(-LN(2)/$D$104))/(LN(2)/$D$104))*$AB27*AC27*0.475*$F$19*44/12,)</f>
        <v>0</v>
      </c>
      <c r="AG27" s="197">
        <f t="shared" ref="AG27:AG90" si="36">IF(OR(AA27&lt;=$F$18,AA27&lt;=30),EXP(-LN(2)/$D$106)*AG26+((1-EXP(-LN(2)/$D$106))/(LN(2)/$D$106))*$AB27*AD27*0.475*$F$19*44/12,)</f>
        <v>26.334628375452265</v>
      </c>
      <c r="AH27" s="197">
        <f t="shared" ref="AH27:AH90" si="37">IF(OR(AA27&lt;=$F$18,AA27&lt;=30),EXP(-LN(2)/$D$105)*AH26+((1-EXP(-LN(2)/$D$105))/(LN(2)/$D$105))*$AB27*AE27*0.475*$F$19*44/12,)</f>
        <v>10.843505194100679</v>
      </c>
      <c r="AI27" s="202">
        <f t="shared" ref="AI27:AI90" si="38">IF(OR(AA27&lt;=$F$18,AA27&lt;=30),SUM(AF27:AH27),)</f>
        <v>37.178133569552941</v>
      </c>
      <c r="AK27" s="71">
        <v>22</v>
      </c>
      <c r="AL27" s="33">
        <f t="shared" si="10"/>
        <v>0</v>
      </c>
      <c r="AM27" s="33">
        <f t="shared" si="11"/>
        <v>0</v>
      </c>
      <c r="AN27" s="33">
        <f t="shared" si="12"/>
        <v>0</v>
      </c>
      <c r="AO27" s="33">
        <f t="shared" si="13"/>
        <v>0</v>
      </c>
      <c r="AP27" s="33">
        <f t="shared" si="14"/>
        <v>0</v>
      </c>
      <c r="AQ27" s="197">
        <f t="shared" si="32"/>
        <v>0</v>
      </c>
      <c r="AR27" s="197">
        <f t="shared" si="32"/>
        <v>0</v>
      </c>
      <c r="AS27" s="197">
        <f t="shared" si="32"/>
        <v>0</v>
      </c>
      <c r="AT27" s="197">
        <f t="shared" si="32"/>
        <v>0</v>
      </c>
      <c r="AU27" s="33"/>
      <c r="AV27" s="33"/>
      <c r="AW27" s="33"/>
      <c r="AX27" s="33"/>
      <c r="AY27" s="167">
        <f t="shared" si="24"/>
        <v>27.09</v>
      </c>
    </row>
    <row r="28" spans="2:55">
      <c r="B28" s="40">
        <f t="shared" si="31"/>
        <v>20</v>
      </c>
      <c r="C28" s="155">
        <f>C26+5</f>
        <v>21</v>
      </c>
      <c r="D28" s="140">
        <v>102</v>
      </c>
      <c r="E28" s="144">
        <f t="shared" si="29"/>
        <v>1.3</v>
      </c>
      <c r="F28" s="42">
        <f t="shared" si="33"/>
        <v>132.6</v>
      </c>
      <c r="G28" s="145">
        <f t="shared" si="34"/>
        <v>-63.700000000000017</v>
      </c>
      <c r="I28" s="55">
        <v>23</v>
      </c>
      <c r="J28" s="33">
        <f t="shared" si="18"/>
        <v>5</v>
      </c>
      <c r="K28" s="33">
        <f t="shared" si="19"/>
        <v>1.910565629709926</v>
      </c>
      <c r="L28" s="33">
        <f t="shared" si="20"/>
        <v>45</v>
      </c>
      <c r="M28" s="33">
        <f t="shared" si="21"/>
        <v>0</v>
      </c>
      <c r="N28" s="33">
        <f t="shared" si="0"/>
        <v>0</v>
      </c>
      <c r="O28" s="34">
        <f t="shared" si="1"/>
        <v>177.03590180507811</v>
      </c>
      <c r="P28" s="55">
        <v>23</v>
      </c>
      <c r="Q28" s="33">
        <f t="shared" si="15"/>
        <v>33.800000000000004</v>
      </c>
      <c r="R28" s="33">
        <f t="shared" si="22"/>
        <v>200.2</v>
      </c>
      <c r="S28" s="33">
        <f t="shared" si="23"/>
        <v>92.091999999999999</v>
      </c>
      <c r="T28" s="33">
        <f t="shared" si="2"/>
        <v>25.069088296004463</v>
      </c>
      <c r="U28" s="33">
        <f t="shared" si="16"/>
        <v>53.283841526846018</v>
      </c>
      <c r="V28" s="33">
        <f t="shared" si="3"/>
        <v>7.666666666666667</v>
      </c>
      <c r="W28" s="33">
        <v>0</v>
      </c>
      <c r="X28" s="33">
        <f t="shared" si="4"/>
        <v>427.54075882508761</v>
      </c>
      <c r="Y28" s="38">
        <f t="shared" si="5"/>
        <v>250.5048570200095</v>
      </c>
      <c r="AA28" s="71">
        <v>23</v>
      </c>
      <c r="AB28" s="33">
        <f t="shared" si="6"/>
        <v>0</v>
      </c>
      <c r="AC28" s="308">
        <f t="shared" si="7"/>
        <v>0</v>
      </c>
      <c r="AD28" s="101">
        <f t="shared" si="8"/>
        <v>0</v>
      </c>
      <c r="AE28" s="101">
        <f t="shared" si="9"/>
        <v>0</v>
      </c>
      <c r="AF28" s="197">
        <f t="shared" si="35"/>
        <v>0</v>
      </c>
      <c r="AG28" s="197">
        <f t="shared" si="36"/>
        <v>25.614506577647607</v>
      </c>
      <c r="AH28" s="197">
        <f t="shared" si="37"/>
        <v>7.6675160545801413</v>
      </c>
      <c r="AI28" s="202">
        <f t="shared" si="38"/>
        <v>33.282022632227751</v>
      </c>
      <c r="AK28" s="71">
        <v>23</v>
      </c>
      <c r="AL28" s="33">
        <f t="shared" si="10"/>
        <v>0</v>
      </c>
      <c r="AM28" s="33">
        <f t="shared" si="11"/>
        <v>0</v>
      </c>
      <c r="AN28" s="33">
        <f t="shared" si="12"/>
        <v>0</v>
      </c>
      <c r="AO28" s="33">
        <f t="shared" si="13"/>
        <v>0</v>
      </c>
      <c r="AP28" s="33">
        <f t="shared" si="14"/>
        <v>0</v>
      </c>
      <c r="AQ28" s="197">
        <f t="shared" si="32"/>
        <v>0</v>
      </c>
      <c r="AR28" s="197">
        <f t="shared" si="32"/>
        <v>0</v>
      </c>
      <c r="AS28" s="197">
        <f t="shared" si="32"/>
        <v>0</v>
      </c>
      <c r="AT28" s="197">
        <f t="shared" si="32"/>
        <v>0</v>
      </c>
      <c r="AU28" s="33"/>
      <c r="AV28" s="33"/>
      <c r="AW28" s="33"/>
      <c r="AX28" s="33"/>
      <c r="AY28" s="167">
        <f t="shared" si="24"/>
        <v>27.09</v>
      </c>
    </row>
    <row r="29" spans="2:55">
      <c r="B29" s="40">
        <f t="shared" si="31"/>
        <v>21</v>
      </c>
      <c r="C29" s="155">
        <f t="shared" ref="C29:C52" si="39">C27+5</f>
        <v>25</v>
      </c>
      <c r="D29" s="140">
        <f>D30+49</f>
        <v>206</v>
      </c>
      <c r="E29" s="144">
        <f t="shared" si="29"/>
        <v>1.3</v>
      </c>
      <c r="F29" s="42">
        <f t="shared" si="33"/>
        <v>267.8</v>
      </c>
      <c r="G29" s="145">
        <f t="shared" si="34"/>
        <v>33.800000000000004</v>
      </c>
      <c r="I29" s="55">
        <v>24</v>
      </c>
      <c r="J29" s="33">
        <f t="shared" si="18"/>
        <v>5</v>
      </c>
      <c r="K29" s="33">
        <f t="shared" si="19"/>
        <v>1.910565629709926</v>
      </c>
      <c r="L29" s="33">
        <f t="shared" si="20"/>
        <v>45</v>
      </c>
      <c r="M29" s="33">
        <f t="shared" si="21"/>
        <v>0</v>
      </c>
      <c r="N29" s="33">
        <f t="shared" si="0"/>
        <v>0</v>
      </c>
      <c r="O29" s="34">
        <f t="shared" si="1"/>
        <v>177.03590180507811</v>
      </c>
      <c r="P29" s="55">
        <v>24</v>
      </c>
      <c r="Q29" s="33">
        <f t="shared" si="15"/>
        <v>33.800000000000004</v>
      </c>
      <c r="R29" s="33">
        <f t="shared" si="22"/>
        <v>234</v>
      </c>
      <c r="S29" s="33">
        <f t="shared" si="23"/>
        <v>107.64</v>
      </c>
      <c r="T29" s="33">
        <f t="shared" si="2"/>
        <v>28.774250263353583</v>
      </c>
      <c r="U29" s="33">
        <f t="shared" si="16"/>
        <v>53.573829504623582</v>
      </c>
      <c r="V29" s="33">
        <f t="shared" si="3"/>
        <v>8</v>
      </c>
      <c r="W29" s="33">
        <v>0</v>
      </c>
      <c r="X29" s="33">
        <f t="shared" si="4"/>
        <v>463.35886072562727</v>
      </c>
      <c r="Y29" s="38">
        <f t="shared" si="5"/>
        <v>286.32295892054913</v>
      </c>
      <c r="AA29" s="71">
        <v>24</v>
      </c>
      <c r="AB29" s="33">
        <f t="shared" si="6"/>
        <v>0</v>
      </c>
      <c r="AC29" s="308">
        <f t="shared" si="7"/>
        <v>0</v>
      </c>
      <c r="AD29" s="101">
        <f t="shared" si="8"/>
        <v>0</v>
      </c>
      <c r="AE29" s="101">
        <f t="shared" si="9"/>
        <v>0</v>
      </c>
      <c r="AF29" s="197">
        <f t="shared" si="35"/>
        <v>0</v>
      </c>
      <c r="AG29" s="197">
        <f t="shared" si="36"/>
        <v>24.914076548273474</v>
      </c>
      <c r="AH29" s="197">
        <f t="shared" si="37"/>
        <v>5.4217525970503404</v>
      </c>
      <c r="AI29" s="202">
        <f t="shared" si="38"/>
        <v>30.335829145323814</v>
      </c>
      <c r="AK29" s="71">
        <v>24</v>
      </c>
      <c r="AL29" s="33">
        <f t="shared" si="10"/>
        <v>0</v>
      </c>
      <c r="AM29" s="33">
        <f t="shared" si="11"/>
        <v>0</v>
      </c>
      <c r="AN29" s="33">
        <f t="shared" si="12"/>
        <v>0</v>
      </c>
      <c r="AO29" s="33">
        <f t="shared" si="13"/>
        <v>0</v>
      </c>
      <c r="AP29" s="33">
        <f t="shared" si="14"/>
        <v>0</v>
      </c>
      <c r="AQ29" s="197">
        <f t="shared" si="32"/>
        <v>0</v>
      </c>
      <c r="AR29" s="197">
        <f t="shared" si="32"/>
        <v>0</v>
      </c>
      <c r="AS29" s="197">
        <f t="shared" si="32"/>
        <v>0</v>
      </c>
      <c r="AT29" s="197">
        <f t="shared" si="32"/>
        <v>0</v>
      </c>
      <c r="AU29" s="33"/>
      <c r="AV29" s="33"/>
      <c r="AW29" s="33"/>
      <c r="AX29" s="33"/>
      <c r="AY29" s="167">
        <f t="shared" si="24"/>
        <v>27.09</v>
      </c>
    </row>
    <row r="30" spans="2:55">
      <c r="B30" s="40">
        <f t="shared" si="31"/>
        <v>25</v>
      </c>
      <c r="C30" s="155">
        <f t="shared" si="39"/>
        <v>26</v>
      </c>
      <c r="D30" s="140">
        <v>157</v>
      </c>
      <c r="E30" s="144">
        <f t="shared" si="29"/>
        <v>1.3</v>
      </c>
      <c r="F30" s="42">
        <f t="shared" si="33"/>
        <v>204.1</v>
      </c>
      <c r="G30" s="145">
        <f t="shared" si="34"/>
        <v>-63.700000000000017</v>
      </c>
      <c r="I30" s="55">
        <v>25</v>
      </c>
      <c r="J30" s="33">
        <f t="shared" si="18"/>
        <v>5</v>
      </c>
      <c r="K30" s="33">
        <f t="shared" si="19"/>
        <v>1.910565629709926</v>
      </c>
      <c r="L30" s="33">
        <f t="shared" si="20"/>
        <v>45</v>
      </c>
      <c r="M30" s="33">
        <f t="shared" si="21"/>
        <v>0</v>
      </c>
      <c r="N30" s="33">
        <f t="shared" si="0"/>
        <v>0</v>
      </c>
      <c r="O30" s="34">
        <f t="shared" si="1"/>
        <v>177.03590180507811</v>
      </c>
      <c r="P30" s="55">
        <v>25</v>
      </c>
      <c r="Q30" s="33">
        <f t="shared" si="15"/>
        <v>33.800000000000004</v>
      </c>
      <c r="R30" s="33">
        <f t="shared" si="22"/>
        <v>267.8</v>
      </c>
      <c r="S30" s="33">
        <f t="shared" si="23"/>
        <v>123.18800000000002</v>
      </c>
      <c r="T30" s="33">
        <f t="shared" si="2"/>
        <v>32.417409489939047</v>
      </c>
      <c r="U30" s="33">
        <f t="shared" si="16"/>
        <v>53.858786839302695</v>
      </c>
      <c r="V30" s="33">
        <f t="shared" si="3"/>
        <v>8.3333333333333339</v>
      </c>
      <c r="W30" s="33">
        <v>0</v>
      </c>
      <c r="X30" s="33">
        <f t="shared" si="4"/>
        <v>499.05052882797594</v>
      </c>
      <c r="Y30" s="38">
        <f t="shared" si="5"/>
        <v>322.0146270228978</v>
      </c>
      <c r="AA30" s="71">
        <v>25</v>
      </c>
      <c r="AB30" s="33">
        <f t="shared" si="6"/>
        <v>0</v>
      </c>
      <c r="AC30" s="308">
        <f>IF(AA30&lt;=$F$18,IFERROR(VLOOKUP($AA30,$B$82:$G$94,3,FALSE),0),)*50%</f>
        <v>0</v>
      </c>
      <c r="AD30" s="101">
        <f t="shared" si="8"/>
        <v>0</v>
      </c>
      <c r="AE30" s="101">
        <f t="shared" si="9"/>
        <v>0</v>
      </c>
      <c r="AF30" s="197">
        <f t="shared" si="35"/>
        <v>0</v>
      </c>
      <c r="AG30" s="197">
        <f t="shared" si="36"/>
        <v>24.232799814886594</v>
      </c>
      <c r="AH30" s="197">
        <f t="shared" si="37"/>
        <v>3.8337580272900711</v>
      </c>
      <c r="AI30" s="202">
        <f t="shared" si="38"/>
        <v>28.066557842176664</v>
      </c>
      <c r="AK30" s="71">
        <v>25</v>
      </c>
      <c r="AL30" s="33">
        <f t="shared" si="10"/>
        <v>0</v>
      </c>
      <c r="AM30" s="33">
        <f t="shared" si="11"/>
        <v>0</v>
      </c>
      <c r="AN30" s="33">
        <f t="shared" si="12"/>
        <v>0</v>
      </c>
      <c r="AO30" s="33">
        <f t="shared" si="13"/>
        <v>0</v>
      </c>
      <c r="AP30" s="33">
        <f t="shared" si="14"/>
        <v>0</v>
      </c>
      <c r="AQ30" s="197">
        <f t="shared" si="32"/>
        <v>0</v>
      </c>
      <c r="AR30" s="197">
        <f t="shared" si="32"/>
        <v>0</v>
      </c>
      <c r="AS30" s="197">
        <f t="shared" si="32"/>
        <v>0</v>
      </c>
      <c r="AT30" s="197">
        <f t="shared" si="32"/>
        <v>0</v>
      </c>
      <c r="AU30" s="33"/>
      <c r="AV30" s="33"/>
      <c r="AW30" s="33"/>
      <c r="AX30" s="33"/>
      <c r="AY30" s="167">
        <f t="shared" si="24"/>
        <v>27.09</v>
      </c>
    </row>
    <row r="31" spans="2:55">
      <c r="B31" s="40">
        <f t="shared" si="31"/>
        <v>26</v>
      </c>
      <c r="C31" s="155">
        <f t="shared" si="39"/>
        <v>30</v>
      </c>
      <c r="D31" s="140">
        <f>D32+49</f>
        <v>259</v>
      </c>
      <c r="E31" s="144">
        <f t="shared" si="29"/>
        <v>1.3</v>
      </c>
      <c r="F31" s="42">
        <f t="shared" si="33"/>
        <v>336.7</v>
      </c>
      <c r="G31" s="145">
        <f t="shared" si="34"/>
        <v>33.15</v>
      </c>
      <c r="I31" s="55">
        <v>26</v>
      </c>
      <c r="J31" s="33">
        <f t="shared" si="18"/>
        <v>5</v>
      </c>
      <c r="K31" s="33">
        <f t="shared" si="19"/>
        <v>1.910565629709926</v>
      </c>
      <c r="L31" s="33">
        <f t="shared" si="20"/>
        <v>45</v>
      </c>
      <c r="M31" s="33">
        <f t="shared" si="21"/>
        <v>0</v>
      </c>
      <c r="N31" s="33">
        <f t="shared" si="0"/>
        <v>0</v>
      </c>
      <c r="O31" s="34">
        <f t="shared" si="1"/>
        <v>177.03590180507811</v>
      </c>
      <c r="P31" s="55">
        <v>26</v>
      </c>
      <c r="Q31" s="33">
        <f t="shared" si="15"/>
        <v>-63.700000000000017</v>
      </c>
      <c r="R31" s="33">
        <f t="shared" si="22"/>
        <v>204.1</v>
      </c>
      <c r="S31" s="33">
        <f t="shared" si="23"/>
        <v>93.885999999999996</v>
      </c>
      <c r="T31" s="33">
        <f t="shared" si="2"/>
        <v>25.500116461916402</v>
      </c>
      <c r="U31" s="33">
        <f t="shared" si="16"/>
        <v>54.138800801294295</v>
      </c>
      <c r="V31" s="33">
        <f t="shared" si="3"/>
        <v>8.6666666666666661</v>
      </c>
      <c r="W31" s="33">
        <v>0</v>
      </c>
      <c r="X31" s="33">
        <f t="shared" si="4"/>
        <v>438.21753355369464</v>
      </c>
      <c r="Y31" s="38">
        <f t="shared" si="5"/>
        <v>261.1816317486165</v>
      </c>
      <c r="AA31" s="71">
        <v>26</v>
      </c>
      <c r="AB31" s="33">
        <f t="shared" si="6"/>
        <v>49</v>
      </c>
      <c r="AC31" s="308">
        <f t="shared" ref="AC31:AC94" si="40">IF(AA31&lt;=$F$18,IFERROR(VLOOKUP($AA31,$B$82:$G$94,3,FALSE),0),)*50%</f>
        <v>0</v>
      </c>
      <c r="AD31" s="101">
        <f t="shared" si="8"/>
        <v>0.56000000000000005</v>
      </c>
      <c r="AE31" s="101">
        <f t="shared" si="9"/>
        <v>0.44</v>
      </c>
      <c r="AF31" s="197">
        <f t="shared" si="35"/>
        <v>0</v>
      </c>
      <c r="AG31" s="197">
        <f t="shared" si="36"/>
        <v>45.252200019716064</v>
      </c>
      <c r="AH31" s="197">
        <f t="shared" si="37"/>
        <v>17.30861144265819</v>
      </c>
      <c r="AI31" s="202">
        <f t="shared" si="38"/>
        <v>62.560811462374254</v>
      </c>
      <c r="AK31" s="71">
        <v>26</v>
      </c>
      <c r="AL31" s="33">
        <f t="shared" si="10"/>
        <v>49</v>
      </c>
      <c r="AM31" s="33">
        <f t="shared" si="11"/>
        <v>0</v>
      </c>
      <c r="AN31" s="33">
        <f t="shared" si="12"/>
        <v>0.56000000000000005</v>
      </c>
      <c r="AO31" s="33">
        <f t="shared" si="13"/>
        <v>0.44</v>
      </c>
      <c r="AP31" s="33">
        <f t="shared" si="14"/>
        <v>0</v>
      </c>
      <c r="AQ31" s="197">
        <f t="shared" si="32"/>
        <v>0</v>
      </c>
      <c r="AR31" s="197">
        <f t="shared" si="32"/>
        <v>27.44</v>
      </c>
      <c r="AS31" s="197">
        <f t="shared" si="32"/>
        <v>21.56</v>
      </c>
      <c r="AT31" s="197">
        <f t="shared" si="32"/>
        <v>0</v>
      </c>
      <c r="AU31" s="33"/>
      <c r="AV31" s="33"/>
      <c r="AW31" s="33"/>
      <c r="AX31" s="33"/>
      <c r="AY31" s="167">
        <f t="shared" si="24"/>
        <v>48.16</v>
      </c>
    </row>
    <row r="32" spans="2:55">
      <c r="B32" s="40">
        <f t="shared" si="31"/>
        <v>30</v>
      </c>
      <c r="C32" s="155">
        <f t="shared" si="39"/>
        <v>31</v>
      </c>
      <c r="D32" s="140">
        <v>210</v>
      </c>
      <c r="E32" s="144">
        <f t="shared" si="29"/>
        <v>1.3</v>
      </c>
      <c r="F32" s="42">
        <f t="shared" si="33"/>
        <v>273</v>
      </c>
      <c r="G32" s="145">
        <f t="shared" si="34"/>
        <v>-63.699999999999989</v>
      </c>
      <c r="I32" s="55">
        <v>27</v>
      </c>
      <c r="J32" s="33">
        <f t="shared" si="18"/>
        <v>5</v>
      </c>
      <c r="K32" s="33">
        <f t="shared" si="19"/>
        <v>1.910565629709926</v>
      </c>
      <c r="L32" s="33">
        <f t="shared" si="20"/>
        <v>45</v>
      </c>
      <c r="M32" s="33">
        <f t="shared" si="21"/>
        <v>0</v>
      </c>
      <c r="N32" s="33">
        <f t="shared" si="0"/>
        <v>0</v>
      </c>
      <c r="O32" s="34">
        <f t="shared" si="1"/>
        <v>177.03590180507811</v>
      </c>
      <c r="P32" s="55">
        <v>27</v>
      </c>
      <c r="Q32" s="33">
        <f t="shared" si="15"/>
        <v>33.15</v>
      </c>
      <c r="R32" s="33">
        <f t="shared" si="22"/>
        <v>237.25</v>
      </c>
      <c r="S32" s="33">
        <f t="shared" si="23"/>
        <v>109.13500000000001</v>
      </c>
      <c r="T32" s="33">
        <f t="shared" si="2"/>
        <v>29.12709027953175</v>
      </c>
      <c r="U32" s="33">
        <f t="shared" si="16"/>
        <v>54.413957147062774</v>
      </c>
      <c r="V32" s="33">
        <f t="shared" si="3"/>
        <v>9</v>
      </c>
      <c r="W32" s="33">
        <v>0</v>
      </c>
      <c r="X32" s="33">
        <f t="shared" si="4"/>
        <v>473.32431677608128</v>
      </c>
      <c r="Y32" s="38">
        <f t="shared" si="5"/>
        <v>296.28841497100314</v>
      </c>
      <c r="AA32" s="71">
        <v>27</v>
      </c>
      <c r="AB32" s="33">
        <f t="shared" si="6"/>
        <v>0</v>
      </c>
      <c r="AC32" s="308">
        <f t="shared" si="40"/>
        <v>0</v>
      </c>
      <c r="AD32" s="101">
        <f t="shared" si="8"/>
        <v>0</v>
      </c>
      <c r="AE32" s="101">
        <f t="shared" si="9"/>
        <v>0</v>
      </c>
      <c r="AF32" s="197">
        <f t="shared" si="35"/>
        <v>0</v>
      </c>
      <c r="AG32" s="197">
        <f t="shared" si="36"/>
        <v>44.014776230467156</v>
      </c>
      <c r="AH32" s="197">
        <f t="shared" si="37"/>
        <v>12.239036524026679</v>
      </c>
      <c r="AI32" s="202">
        <f t="shared" si="38"/>
        <v>56.253812754493836</v>
      </c>
      <c r="AK32" s="71">
        <v>27</v>
      </c>
      <c r="AL32" s="33">
        <f t="shared" si="10"/>
        <v>0</v>
      </c>
      <c r="AM32" s="33">
        <f t="shared" si="11"/>
        <v>0</v>
      </c>
      <c r="AN32" s="33">
        <f t="shared" si="12"/>
        <v>0</v>
      </c>
      <c r="AO32" s="33">
        <f t="shared" si="13"/>
        <v>0</v>
      </c>
      <c r="AP32" s="33">
        <f t="shared" si="14"/>
        <v>0</v>
      </c>
      <c r="AQ32" s="197">
        <f t="shared" si="32"/>
        <v>0</v>
      </c>
      <c r="AR32" s="197">
        <f t="shared" si="32"/>
        <v>0</v>
      </c>
      <c r="AS32" s="197">
        <f t="shared" si="32"/>
        <v>0</v>
      </c>
      <c r="AT32" s="197">
        <f t="shared" si="32"/>
        <v>0</v>
      </c>
      <c r="AU32" s="33"/>
      <c r="AV32" s="33"/>
      <c r="AW32" s="33"/>
      <c r="AX32" s="33"/>
      <c r="AY32" s="167">
        <f t="shared" si="24"/>
        <v>48.16</v>
      </c>
    </row>
    <row r="33" spans="2:51">
      <c r="B33" s="40">
        <f t="shared" si="31"/>
        <v>31</v>
      </c>
      <c r="C33" s="155">
        <f t="shared" si="39"/>
        <v>35</v>
      </c>
      <c r="D33" s="140">
        <f>D34+49</f>
        <v>302</v>
      </c>
      <c r="E33" s="144">
        <f t="shared" si="29"/>
        <v>1.3</v>
      </c>
      <c r="F33" s="42">
        <f t="shared" si="33"/>
        <v>392.6</v>
      </c>
      <c r="G33" s="145">
        <f t="shared" si="34"/>
        <v>29.900000000000006</v>
      </c>
      <c r="I33" s="55">
        <v>28</v>
      </c>
      <c r="J33" s="33">
        <f t="shared" si="18"/>
        <v>5</v>
      </c>
      <c r="K33" s="33">
        <f t="shared" si="19"/>
        <v>1.910565629709926</v>
      </c>
      <c r="L33" s="33">
        <f t="shared" si="20"/>
        <v>45</v>
      </c>
      <c r="M33" s="33">
        <f t="shared" si="21"/>
        <v>0</v>
      </c>
      <c r="N33" s="33">
        <f t="shared" si="0"/>
        <v>0</v>
      </c>
      <c r="O33" s="34">
        <f t="shared" si="1"/>
        <v>177.03590180507811</v>
      </c>
      <c r="P33" s="55">
        <v>28</v>
      </c>
      <c r="Q33" s="33">
        <f t="shared" si="15"/>
        <v>33.15</v>
      </c>
      <c r="R33" s="33">
        <f t="shared" si="22"/>
        <v>270.39999999999998</v>
      </c>
      <c r="S33" s="33">
        <f t="shared" si="23"/>
        <v>124.384</v>
      </c>
      <c r="T33" s="33">
        <f t="shared" si="2"/>
        <v>32.695350227217666</v>
      </c>
      <c r="U33" s="33">
        <f t="shared" si="16"/>
        <v>54.684340145389598</v>
      </c>
      <c r="V33" s="33">
        <f t="shared" si="3"/>
        <v>9.3333333333333339</v>
      </c>
      <c r="W33" s="33">
        <v>0</v>
      </c>
      <c r="X33" s="33">
        <f t="shared" si="4"/>
        <v>508.31133773438825</v>
      </c>
      <c r="Y33" s="38">
        <f t="shared" si="5"/>
        <v>331.27543592931011</v>
      </c>
      <c r="AA33" s="71">
        <v>28</v>
      </c>
      <c r="AB33" s="33">
        <f t="shared" si="6"/>
        <v>0</v>
      </c>
      <c r="AC33" s="308">
        <f t="shared" si="40"/>
        <v>0</v>
      </c>
      <c r="AD33" s="101">
        <f t="shared" si="8"/>
        <v>0</v>
      </c>
      <c r="AE33" s="101">
        <f t="shared" si="9"/>
        <v>0</v>
      </c>
      <c r="AF33" s="197">
        <f t="shared" si="35"/>
        <v>0</v>
      </c>
      <c r="AG33" s="197">
        <f t="shared" si="36"/>
        <v>42.811189859808543</v>
      </c>
      <c r="AH33" s="197">
        <f t="shared" si="37"/>
        <v>8.6543057213290968</v>
      </c>
      <c r="AI33" s="202">
        <f t="shared" si="38"/>
        <v>51.465495581137638</v>
      </c>
      <c r="AK33" s="71">
        <v>28</v>
      </c>
      <c r="AL33" s="33">
        <f t="shared" si="10"/>
        <v>0</v>
      </c>
      <c r="AM33" s="33">
        <f t="shared" si="11"/>
        <v>0</v>
      </c>
      <c r="AN33" s="33">
        <f t="shared" si="12"/>
        <v>0</v>
      </c>
      <c r="AO33" s="33">
        <f t="shared" si="13"/>
        <v>0</v>
      </c>
      <c r="AP33" s="33">
        <f t="shared" si="14"/>
        <v>0</v>
      </c>
      <c r="AQ33" s="197">
        <f t="shared" si="32"/>
        <v>0</v>
      </c>
      <c r="AR33" s="197">
        <f t="shared" si="32"/>
        <v>0</v>
      </c>
      <c r="AS33" s="197">
        <f t="shared" si="32"/>
        <v>0</v>
      </c>
      <c r="AT33" s="197">
        <f t="shared" si="32"/>
        <v>0</v>
      </c>
      <c r="AU33" s="33"/>
      <c r="AV33" s="33"/>
      <c r="AW33" s="33"/>
      <c r="AX33" s="33"/>
      <c r="AY33" s="167">
        <f t="shared" si="24"/>
        <v>48.16</v>
      </c>
    </row>
    <row r="34" spans="2:51" ht="16" thickBot="1">
      <c r="B34" s="40">
        <f t="shared" si="31"/>
        <v>35</v>
      </c>
      <c r="C34" s="155">
        <f t="shared" si="39"/>
        <v>36</v>
      </c>
      <c r="D34" s="140">
        <v>253</v>
      </c>
      <c r="E34" s="144">
        <f t="shared" si="29"/>
        <v>1.3</v>
      </c>
      <c r="F34" s="42">
        <f t="shared" si="33"/>
        <v>328.90000000000003</v>
      </c>
      <c r="G34" s="145">
        <f t="shared" si="34"/>
        <v>-63.699999999999989</v>
      </c>
      <c r="I34" s="55">
        <v>29</v>
      </c>
      <c r="J34" s="33">
        <f t="shared" si="18"/>
        <v>5</v>
      </c>
      <c r="K34" s="33">
        <f t="shared" si="19"/>
        <v>1.910565629709926</v>
      </c>
      <c r="L34" s="33">
        <f t="shared" si="20"/>
        <v>45</v>
      </c>
      <c r="M34" s="33">
        <f t="shared" si="21"/>
        <v>0</v>
      </c>
      <c r="N34" s="33">
        <f t="shared" si="0"/>
        <v>0</v>
      </c>
      <c r="O34" s="34">
        <f t="shared" si="1"/>
        <v>177.03590180507811</v>
      </c>
      <c r="P34" s="55">
        <v>29</v>
      </c>
      <c r="Q34" s="35">
        <f t="shared" si="15"/>
        <v>33.15</v>
      </c>
      <c r="R34" s="33">
        <f t="shared" si="22"/>
        <v>303.54999999999995</v>
      </c>
      <c r="S34" s="33">
        <f t="shared" si="23"/>
        <v>139.63299999999998</v>
      </c>
      <c r="T34" s="33">
        <f t="shared" si="2"/>
        <v>36.212918109047642</v>
      </c>
      <c r="U34" s="33">
        <f t="shared" si="16"/>
        <v>54.950032603181285</v>
      </c>
      <c r="V34" s="33">
        <f t="shared" si="3"/>
        <v>9.6666666666666661</v>
      </c>
      <c r="W34" s="33">
        <v>0</v>
      </c>
      <c r="X34" s="33">
        <f t="shared" si="4"/>
        <v>543.19287136270043</v>
      </c>
      <c r="Y34" s="38">
        <f t="shared" si="5"/>
        <v>366.15696955762235</v>
      </c>
      <c r="AA34" s="71">
        <v>29</v>
      </c>
      <c r="AB34" s="146">
        <f t="shared" si="6"/>
        <v>0</v>
      </c>
      <c r="AC34" s="308">
        <f t="shared" si="40"/>
        <v>0</v>
      </c>
      <c r="AD34" s="102">
        <f t="shared" si="8"/>
        <v>0</v>
      </c>
      <c r="AE34" s="102">
        <f t="shared" si="9"/>
        <v>0</v>
      </c>
      <c r="AF34" s="199">
        <f t="shared" si="35"/>
        <v>0</v>
      </c>
      <c r="AG34" s="199">
        <f t="shared" si="36"/>
        <v>41.640515621749451</v>
      </c>
      <c r="AH34" s="197">
        <f t="shared" si="37"/>
        <v>6.1195182620133401</v>
      </c>
      <c r="AI34" s="202">
        <f t="shared" si="38"/>
        <v>47.760033883762787</v>
      </c>
      <c r="AK34" s="71">
        <v>29</v>
      </c>
      <c r="AL34" s="146">
        <f t="shared" si="10"/>
        <v>0</v>
      </c>
      <c r="AM34" s="35">
        <f t="shared" si="11"/>
        <v>0</v>
      </c>
      <c r="AN34" s="35">
        <f t="shared" si="12"/>
        <v>0</v>
      </c>
      <c r="AO34" s="35">
        <f t="shared" si="13"/>
        <v>0</v>
      </c>
      <c r="AP34" s="35">
        <f t="shared" si="14"/>
        <v>0</v>
      </c>
      <c r="AQ34" s="197">
        <f t="shared" si="32"/>
        <v>0</v>
      </c>
      <c r="AR34" s="197">
        <f t="shared" si="32"/>
        <v>0</v>
      </c>
      <c r="AS34" s="197">
        <f t="shared" si="32"/>
        <v>0</v>
      </c>
      <c r="AT34" s="197">
        <f t="shared" si="32"/>
        <v>0</v>
      </c>
      <c r="AU34" s="33"/>
      <c r="AV34" s="33"/>
      <c r="AW34" s="33"/>
      <c r="AX34" s="33"/>
      <c r="AY34" s="167">
        <f t="shared" si="24"/>
        <v>48.16</v>
      </c>
    </row>
    <row r="35" spans="2:51" ht="16" thickBot="1">
      <c r="B35" s="40">
        <f t="shared" si="31"/>
        <v>36</v>
      </c>
      <c r="C35" s="155">
        <f t="shared" si="39"/>
        <v>40</v>
      </c>
      <c r="D35" s="140">
        <f>D36+49</f>
        <v>337</v>
      </c>
      <c r="E35" s="144">
        <f t="shared" si="29"/>
        <v>1.3</v>
      </c>
      <c r="F35" s="42">
        <f t="shared" si="33"/>
        <v>438.1</v>
      </c>
      <c r="G35" s="145">
        <f t="shared" si="34"/>
        <v>27.299999999999997</v>
      </c>
      <c r="I35" s="87">
        <v>30</v>
      </c>
      <c r="J35" s="162">
        <f>IF($I35&lt;=$F$10,IF(AND(D8=B100,F12=C194),($F$11*$F$13+J34*50%),$F$11*$F$13+J34),)</f>
        <v>5</v>
      </c>
      <c r="K35" s="53">
        <f t="shared" si="19"/>
        <v>1.910565629709926</v>
      </c>
      <c r="L35" s="53">
        <f t="shared" si="20"/>
        <v>45</v>
      </c>
      <c r="M35" s="53">
        <f t="shared" si="21"/>
        <v>0</v>
      </c>
      <c r="N35" s="54">
        <f t="shared" si="0"/>
        <v>0</v>
      </c>
      <c r="O35" s="69">
        <f t="shared" si="1"/>
        <v>177.03590180507811</v>
      </c>
      <c r="P35" s="87">
        <v>30</v>
      </c>
      <c r="Q35" s="53">
        <f t="shared" si="15"/>
        <v>33.15</v>
      </c>
      <c r="R35" s="54">
        <f t="shared" si="22"/>
        <v>336.69999999999993</v>
      </c>
      <c r="S35" s="53">
        <f t="shared" si="23"/>
        <v>154.88199999999998</v>
      </c>
      <c r="T35" s="54">
        <f t="shared" si="2"/>
        <v>39.685961121105798</v>
      </c>
      <c r="U35" s="54">
        <f t="shared" si="16"/>
        <v>55.211115890829625</v>
      </c>
      <c r="V35" s="53">
        <f t="shared" si="3"/>
        <v>10</v>
      </c>
      <c r="W35" s="54">
        <v>0</v>
      </c>
      <c r="X35" s="69">
        <f t="shared" si="4"/>
        <v>577.9799572189678</v>
      </c>
      <c r="Y35" s="65">
        <f t="shared" si="5"/>
        <v>400.94405541388971</v>
      </c>
      <c r="AA35" s="73">
        <v>30</v>
      </c>
      <c r="AB35" s="146">
        <f t="shared" si="6"/>
        <v>0</v>
      </c>
      <c r="AC35" s="308">
        <f t="shared" si="40"/>
        <v>0</v>
      </c>
      <c r="AD35" s="102">
        <f t="shared" si="8"/>
        <v>0</v>
      </c>
      <c r="AE35" s="102">
        <f t="shared" si="9"/>
        <v>0</v>
      </c>
      <c r="AF35" s="203">
        <f t="shared" si="35"/>
        <v>0</v>
      </c>
      <c r="AG35" s="198">
        <f t="shared" si="36"/>
        <v>40.501853532293168</v>
      </c>
      <c r="AH35" s="204">
        <f t="shared" si="37"/>
        <v>4.3271528606645484</v>
      </c>
      <c r="AI35" s="205">
        <f t="shared" si="38"/>
        <v>44.829006392957716</v>
      </c>
      <c r="AK35" s="73">
        <v>30</v>
      </c>
      <c r="AL35" s="146">
        <f t="shared" si="10"/>
        <v>0</v>
      </c>
      <c r="AM35" s="35">
        <f t="shared" si="11"/>
        <v>0</v>
      </c>
      <c r="AN35" s="35">
        <f t="shared" si="12"/>
        <v>0</v>
      </c>
      <c r="AO35" s="35">
        <f t="shared" si="13"/>
        <v>0</v>
      </c>
      <c r="AP35" s="35">
        <f t="shared" si="14"/>
        <v>0</v>
      </c>
      <c r="AQ35" s="198">
        <f t="shared" si="32"/>
        <v>0</v>
      </c>
      <c r="AR35" s="198">
        <f t="shared" si="32"/>
        <v>0</v>
      </c>
      <c r="AS35" s="198">
        <f t="shared" si="32"/>
        <v>0</v>
      </c>
      <c r="AT35" s="198">
        <f t="shared" si="32"/>
        <v>0</v>
      </c>
      <c r="AU35" s="53"/>
      <c r="AV35" s="53"/>
      <c r="AW35" s="53"/>
      <c r="AX35" s="53"/>
      <c r="AY35" s="168">
        <f t="shared" si="24"/>
        <v>48.16</v>
      </c>
    </row>
    <row r="36" spans="2:51">
      <c r="B36" s="40">
        <f t="shared" si="31"/>
        <v>40</v>
      </c>
      <c r="C36" s="155">
        <f t="shared" si="39"/>
        <v>41</v>
      </c>
      <c r="D36" s="140">
        <v>288</v>
      </c>
      <c r="E36" s="144">
        <f t="shared" si="29"/>
        <v>1.3</v>
      </c>
      <c r="F36" s="42">
        <f t="shared" si="33"/>
        <v>374.40000000000003</v>
      </c>
      <c r="G36" s="145">
        <f t="shared" si="34"/>
        <v>-63.699999999999989</v>
      </c>
      <c r="I36" s="55">
        <v>31</v>
      </c>
      <c r="J36" s="33">
        <f t="shared" si="18"/>
        <v>5</v>
      </c>
      <c r="K36" s="33">
        <f t="shared" si="19"/>
        <v>1.910565629709926</v>
      </c>
      <c r="L36" s="33">
        <f t="shared" si="20"/>
        <v>45</v>
      </c>
      <c r="M36" s="33">
        <f t="shared" si="21"/>
        <v>0</v>
      </c>
      <c r="N36" s="33">
        <f t="shared" si="0"/>
        <v>0</v>
      </c>
      <c r="O36" s="34">
        <f t="shared" si="1"/>
        <v>177.03590180507811</v>
      </c>
      <c r="P36" s="55">
        <v>31</v>
      </c>
      <c r="Q36" s="33">
        <f t="shared" si="15"/>
        <v>-63.699999999999989</v>
      </c>
      <c r="R36" s="33">
        <f t="shared" si="22"/>
        <v>272.99999999999994</v>
      </c>
      <c r="S36" s="33">
        <f t="shared" si="23"/>
        <v>125.57999999999998</v>
      </c>
      <c r="T36" s="33">
        <f t="shared" si="2"/>
        <v>32.972980053624219</v>
      </c>
      <c r="U36" s="33">
        <f t="shared" si="16"/>
        <v>55.467669967132053</v>
      </c>
      <c r="V36" s="33">
        <f t="shared" si="3"/>
        <v>10</v>
      </c>
      <c r="W36" s="33">
        <v>0</v>
      </c>
      <c r="X36" s="33">
        <f t="shared" si="4"/>
        <v>516.19456347287962</v>
      </c>
      <c r="Y36" s="38">
        <f t="shared" si="5"/>
        <v>339.15866166780154</v>
      </c>
      <c r="AA36" s="71">
        <v>31</v>
      </c>
      <c r="AB36" s="33">
        <f t="shared" si="6"/>
        <v>49</v>
      </c>
      <c r="AC36" s="308">
        <f t="shared" si="40"/>
        <v>0</v>
      </c>
      <c r="AD36" s="101">
        <f t="shared" si="8"/>
        <v>0.56000000000000005</v>
      </c>
      <c r="AE36" s="101">
        <f t="shared" si="9"/>
        <v>0.44</v>
      </c>
      <c r="AF36" s="197">
        <f t="shared" si="35"/>
        <v>0</v>
      </c>
      <c r="AG36" s="197">
        <f t="shared" si="36"/>
        <v>61.076375607667806</v>
      </c>
      <c r="AH36" s="197">
        <f t="shared" si="37"/>
        <v>17.65749427513969</v>
      </c>
      <c r="AI36" s="202">
        <f t="shared" si="38"/>
        <v>78.733869882807497</v>
      </c>
      <c r="AK36" s="71">
        <v>31</v>
      </c>
      <c r="AL36" s="33"/>
      <c r="AM36" s="33"/>
      <c r="AN36" s="33"/>
      <c r="AO36" s="33"/>
      <c r="AP36" s="33"/>
      <c r="AQ36" s="197"/>
      <c r="AR36" s="197"/>
      <c r="AS36" s="197"/>
      <c r="AT36" s="197"/>
      <c r="AU36" s="33"/>
      <c r="AV36" s="33"/>
      <c r="AW36" s="33"/>
      <c r="AX36" s="33"/>
      <c r="AY36" s="76"/>
    </row>
    <row r="37" spans="2:51">
      <c r="B37" s="40">
        <f t="shared" si="31"/>
        <v>41</v>
      </c>
      <c r="C37" s="155">
        <f t="shared" si="39"/>
        <v>45</v>
      </c>
      <c r="D37" s="140">
        <f>D38+49</f>
        <v>367</v>
      </c>
      <c r="E37" s="144">
        <f t="shared" si="29"/>
        <v>1.3</v>
      </c>
      <c r="F37" s="42">
        <f t="shared" si="33"/>
        <v>477.1</v>
      </c>
      <c r="G37" s="145">
        <f t="shared" si="34"/>
        <v>25.674999999999997</v>
      </c>
      <c r="I37" s="55">
        <v>32</v>
      </c>
      <c r="J37" s="33">
        <f t="shared" si="18"/>
        <v>5</v>
      </c>
      <c r="K37" s="33">
        <f t="shared" si="19"/>
        <v>1.910565629709926</v>
      </c>
      <c r="L37" s="33">
        <f t="shared" si="20"/>
        <v>45</v>
      </c>
      <c r="M37" s="33">
        <f t="shared" si="21"/>
        <v>0</v>
      </c>
      <c r="N37" s="33">
        <f t="shared" si="0"/>
        <v>0</v>
      </c>
      <c r="O37" s="34">
        <f t="shared" si="1"/>
        <v>177.03590180507811</v>
      </c>
      <c r="P37" s="55">
        <v>32</v>
      </c>
      <c r="Q37" s="33">
        <f t="shared" si="15"/>
        <v>29.900000000000006</v>
      </c>
      <c r="R37" s="33">
        <f t="shared" si="22"/>
        <v>302.89999999999998</v>
      </c>
      <c r="S37" s="33">
        <f t="shared" si="23"/>
        <v>139.334</v>
      </c>
      <c r="T37" s="33">
        <f t="shared" si="2"/>
        <v>36.144391930570897</v>
      </c>
      <c r="U37" s="33">
        <f t="shared" si="16"/>
        <v>55.719773403779627</v>
      </c>
      <c r="V37" s="33">
        <f t="shared" si="3"/>
        <v>10</v>
      </c>
      <c r="W37" s="33">
        <v>0</v>
      </c>
      <c r="X37" s="33">
        <f t="shared" si="4"/>
        <v>546.59736842626955</v>
      </c>
      <c r="Y37" s="38">
        <f t="shared" si="5"/>
        <v>369.56146662119147</v>
      </c>
      <c r="AA37" s="71">
        <v>32</v>
      </c>
      <c r="AB37" s="33">
        <f t="shared" si="6"/>
        <v>0</v>
      </c>
      <c r="AC37" s="308">
        <f t="shared" si="40"/>
        <v>0</v>
      </c>
      <c r="AD37" s="101">
        <f t="shared" si="8"/>
        <v>0</v>
      </c>
      <c r="AE37" s="101">
        <f t="shared" si="9"/>
        <v>0</v>
      </c>
      <c r="AF37" s="197">
        <f t="shared" si="35"/>
        <v>0</v>
      </c>
      <c r="AG37" s="197">
        <f t="shared" si="36"/>
        <v>59.406238904809129</v>
      </c>
      <c r="AH37" s="197">
        <f t="shared" si="37"/>
        <v>12.485733940713917</v>
      </c>
      <c r="AI37" s="202">
        <f t="shared" si="38"/>
        <v>71.891972845523043</v>
      </c>
      <c r="AK37" s="71">
        <v>32</v>
      </c>
      <c r="AL37" s="33"/>
      <c r="AM37" s="33"/>
      <c r="AN37" s="33"/>
      <c r="AO37" s="33"/>
      <c r="AP37" s="33"/>
      <c r="AQ37" s="197"/>
      <c r="AR37" s="197"/>
      <c r="AS37" s="197"/>
      <c r="AT37" s="197"/>
      <c r="AU37" s="33"/>
      <c r="AV37" s="33"/>
      <c r="AW37" s="33"/>
      <c r="AX37" s="33"/>
      <c r="AY37" s="76"/>
    </row>
    <row r="38" spans="2:51">
      <c r="B38" s="40">
        <f t="shared" si="31"/>
        <v>45</v>
      </c>
      <c r="C38" s="155">
        <f t="shared" si="39"/>
        <v>46</v>
      </c>
      <c r="D38" s="140">
        <v>318</v>
      </c>
      <c r="E38" s="144">
        <f t="shared" si="29"/>
        <v>1.3</v>
      </c>
      <c r="F38" s="42">
        <f t="shared" si="33"/>
        <v>413.40000000000003</v>
      </c>
      <c r="G38" s="145">
        <f t="shared" si="34"/>
        <v>-63.699999999999989</v>
      </c>
      <c r="I38" s="55">
        <v>33</v>
      </c>
      <c r="J38" s="33">
        <f t="shared" si="18"/>
        <v>5</v>
      </c>
      <c r="K38" s="33">
        <f t="shared" si="19"/>
        <v>1.910565629709926</v>
      </c>
      <c r="L38" s="33">
        <f t="shared" si="20"/>
        <v>45</v>
      </c>
      <c r="M38" s="33">
        <f t="shared" si="21"/>
        <v>0</v>
      </c>
      <c r="N38" s="33">
        <f t="shared" si="0"/>
        <v>0</v>
      </c>
      <c r="O38" s="34">
        <f t="shared" si="1"/>
        <v>177.03590180507811</v>
      </c>
      <c r="P38" s="55">
        <v>33</v>
      </c>
      <c r="Q38" s="33">
        <f t="shared" ref="Q38:Q69" si="41">IF(P38&lt;=$F$18,LOOKUP(P38-1,$B$25:$B$78,$G$25:$G$78),)</f>
        <v>29.900000000000006</v>
      </c>
      <c r="R38" s="33">
        <f t="shared" si="22"/>
        <v>332.79999999999995</v>
      </c>
      <c r="S38" s="33">
        <f t="shared" si="23"/>
        <v>153.08799999999999</v>
      </c>
      <c r="T38" s="33">
        <f t="shared" si="2"/>
        <v>39.279510265435114</v>
      </c>
      <c r="U38" s="33">
        <f t="shared" si="16"/>
        <v>55.96750340942021</v>
      </c>
      <c r="V38" s="33">
        <f t="shared" si="3"/>
        <v>10</v>
      </c>
      <c r="W38" s="33">
        <v>0</v>
      </c>
      <c r="X38" s="33">
        <f t="shared" si="4"/>
        <v>576.92092621350685</v>
      </c>
      <c r="Y38" s="38">
        <f t="shared" si="5"/>
        <v>399.88502440842876</v>
      </c>
      <c r="AA38" s="71">
        <v>33</v>
      </c>
      <c r="AB38" s="33">
        <f t="shared" si="6"/>
        <v>0</v>
      </c>
      <c r="AC38" s="308">
        <f t="shared" si="40"/>
        <v>0</v>
      </c>
      <c r="AD38" s="101">
        <f t="shared" si="8"/>
        <v>0</v>
      </c>
      <c r="AE38" s="101">
        <f t="shared" si="9"/>
        <v>0</v>
      </c>
      <c r="AF38" s="197">
        <f t="shared" si="35"/>
        <v>0</v>
      </c>
      <c r="AG38" s="197">
        <f t="shared" si="36"/>
        <v>57.781772177918796</v>
      </c>
      <c r="AH38" s="197">
        <f t="shared" si="37"/>
        <v>8.828747137569847</v>
      </c>
      <c r="AI38" s="202">
        <f t="shared" si="38"/>
        <v>66.610519315488645</v>
      </c>
      <c r="AK38" s="71">
        <v>33</v>
      </c>
      <c r="AL38" s="33"/>
      <c r="AM38" s="33"/>
      <c r="AN38" s="33"/>
      <c r="AO38" s="33"/>
      <c r="AP38" s="33"/>
      <c r="AQ38" s="197"/>
      <c r="AR38" s="197"/>
      <c r="AS38" s="197"/>
      <c r="AT38" s="197"/>
      <c r="AU38" s="33"/>
      <c r="AV38" s="33"/>
      <c r="AW38" s="33"/>
      <c r="AX38" s="33"/>
      <c r="AY38" s="76"/>
    </row>
    <row r="39" spans="2:51">
      <c r="B39" s="40">
        <f t="shared" si="31"/>
        <v>46</v>
      </c>
      <c r="C39" s="155">
        <f t="shared" si="39"/>
        <v>50</v>
      </c>
      <c r="D39" s="140">
        <f>D40+47</f>
        <v>392</v>
      </c>
      <c r="E39" s="144">
        <f t="shared" si="29"/>
        <v>1.3</v>
      </c>
      <c r="F39" s="42">
        <f t="shared" si="33"/>
        <v>509.6</v>
      </c>
      <c r="G39" s="145">
        <f t="shared" si="34"/>
        <v>24.049999999999997</v>
      </c>
      <c r="I39" s="55">
        <v>34</v>
      </c>
      <c r="J39" s="33">
        <f t="shared" si="18"/>
        <v>5</v>
      </c>
      <c r="K39" s="33">
        <f t="shared" si="19"/>
        <v>1.910565629709926</v>
      </c>
      <c r="L39" s="33">
        <f t="shared" si="20"/>
        <v>45</v>
      </c>
      <c r="M39" s="33">
        <f t="shared" si="21"/>
        <v>0</v>
      </c>
      <c r="N39" s="33">
        <f t="shared" si="0"/>
        <v>0</v>
      </c>
      <c r="O39" s="34">
        <f t="shared" si="1"/>
        <v>177.03590180507811</v>
      </c>
      <c r="P39" s="55">
        <v>34</v>
      </c>
      <c r="Q39" s="33">
        <f t="shared" si="41"/>
        <v>29.900000000000006</v>
      </c>
      <c r="R39" s="33">
        <f t="shared" si="22"/>
        <v>362.69999999999993</v>
      </c>
      <c r="S39" s="33">
        <f t="shared" si="23"/>
        <v>166.84199999999998</v>
      </c>
      <c r="T39" s="33">
        <f t="shared" si="2"/>
        <v>42.381966615760334</v>
      </c>
      <c r="U39" s="33">
        <f t="shared" si="16"/>
        <v>56.210935853304257</v>
      </c>
      <c r="V39" s="33">
        <f t="shared" si="3"/>
        <v>10</v>
      </c>
      <c r="W39" s="33">
        <v>0</v>
      </c>
      <c r="X39" s="33">
        <f t="shared" si="4"/>
        <v>607.17183998456483</v>
      </c>
      <c r="Y39" s="38">
        <f t="shared" si="5"/>
        <v>430.13593817948674</v>
      </c>
      <c r="AA39" s="71">
        <v>34</v>
      </c>
      <c r="AB39" s="33">
        <f t="shared" si="6"/>
        <v>0</v>
      </c>
      <c r="AC39" s="308">
        <f t="shared" si="40"/>
        <v>0</v>
      </c>
      <c r="AD39" s="101">
        <f t="shared" si="8"/>
        <v>0</v>
      </c>
      <c r="AE39" s="101">
        <f t="shared" si="9"/>
        <v>0</v>
      </c>
      <c r="AF39" s="197">
        <f t="shared" si="35"/>
        <v>0</v>
      </c>
      <c r="AG39" s="197">
        <f t="shared" si="36"/>
        <v>56.201726579102271</v>
      </c>
      <c r="AH39" s="197">
        <f t="shared" si="37"/>
        <v>6.2428669703569604</v>
      </c>
      <c r="AI39" s="202">
        <f t="shared" si="38"/>
        <v>62.444593549459228</v>
      </c>
      <c r="AK39" s="71">
        <v>34</v>
      </c>
      <c r="AL39" s="33"/>
      <c r="AM39" s="33"/>
      <c r="AN39" s="33"/>
      <c r="AO39" s="33"/>
      <c r="AP39" s="33"/>
      <c r="AQ39" s="197"/>
      <c r="AR39" s="197"/>
      <c r="AS39" s="197"/>
      <c r="AT39" s="197"/>
      <c r="AU39" s="33"/>
      <c r="AV39" s="33"/>
      <c r="AW39" s="33"/>
      <c r="AX39" s="33"/>
      <c r="AY39" s="76"/>
    </row>
    <row r="40" spans="2:51">
      <c r="B40" s="40">
        <f t="shared" si="31"/>
        <v>50</v>
      </c>
      <c r="C40" s="155">
        <f t="shared" si="39"/>
        <v>51</v>
      </c>
      <c r="D40" s="140">
        <v>345</v>
      </c>
      <c r="E40" s="144">
        <f t="shared" si="29"/>
        <v>1.3</v>
      </c>
      <c r="F40" s="42">
        <f t="shared" si="33"/>
        <v>448.5</v>
      </c>
      <c r="G40" s="145">
        <f t="shared" si="34"/>
        <v>-61.100000000000023</v>
      </c>
      <c r="I40" s="55">
        <v>35</v>
      </c>
      <c r="J40" s="33">
        <f t="shared" si="18"/>
        <v>5</v>
      </c>
      <c r="K40" s="33">
        <f t="shared" si="19"/>
        <v>1.910565629709926</v>
      </c>
      <c r="L40" s="33">
        <f t="shared" si="20"/>
        <v>45</v>
      </c>
      <c r="M40" s="33">
        <f t="shared" si="21"/>
        <v>0</v>
      </c>
      <c r="N40" s="33">
        <f t="shared" si="0"/>
        <v>0</v>
      </c>
      <c r="O40" s="34">
        <f t="shared" si="1"/>
        <v>177.03590180507811</v>
      </c>
      <c r="P40" s="55">
        <v>35</v>
      </c>
      <c r="Q40" s="33">
        <f t="shared" si="41"/>
        <v>29.900000000000006</v>
      </c>
      <c r="R40" s="33">
        <f t="shared" si="22"/>
        <v>392.59999999999991</v>
      </c>
      <c r="S40" s="33">
        <f t="shared" si="23"/>
        <v>180.59599999999998</v>
      </c>
      <c r="T40" s="33">
        <f t="shared" si="2"/>
        <v>45.45475966463092</v>
      </c>
      <c r="U40" s="33">
        <f t="shared" si="16"/>
        <v>56.450145288520318</v>
      </c>
      <c r="V40" s="33">
        <f t="shared" si="3"/>
        <v>10</v>
      </c>
      <c r="W40" s="33">
        <v>0</v>
      </c>
      <c r="X40" s="33">
        <f t="shared" si="4"/>
        <v>637.35560580713991</v>
      </c>
      <c r="Y40" s="38">
        <f t="shared" si="5"/>
        <v>460.31970400206183</v>
      </c>
      <c r="AA40" s="71">
        <v>35</v>
      </c>
      <c r="AB40" s="33">
        <f t="shared" si="6"/>
        <v>0</v>
      </c>
      <c r="AC40" s="308">
        <f t="shared" si="40"/>
        <v>0</v>
      </c>
      <c r="AD40" s="101">
        <f t="shared" si="8"/>
        <v>0</v>
      </c>
      <c r="AE40" s="101">
        <f t="shared" si="9"/>
        <v>0</v>
      </c>
      <c r="AF40" s="197">
        <f t="shared" si="35"/>
        <v>0</v>
      </c>
      <c r="AG40" s="197">
        <f t="shared" si="36"/>
        <v>54.664887410276371</v>
      </c>
      <c r="AH40" s="197">
        <f t="shared" si="37"/>
        <v>4.4143735687849244</v>
      </c>
      <c r="AI40" s="202">
        <f t="shared" si="38"/>
        <v>59.079260979061296</v>
      </c>
      <c r="AK40" s="71">
        <v>35</v>
      </c>
      <c r="AL40" s="33"/>
      <c r="AM40" s="33"/>
      <c r="AN40" s="33"/>
      <c r="AO40" s="33"/>
      <c r="AP40" s="33"/>
      <c r="AQ40" s="197"/>
      <c r="AR40" s="197"/>
      <c r="AS40" s="197"/>
      <c r="AT40" s="197"/>
      <c r="AU40" s="33"/>
      <c r="AV40" s="33"/>
      <c r="AW40" s="33"/>
      <c r="AX40" s="33"/>
      <c r="AY40" s="76"/>
    </row>
    <row r="41" spans="2:51">
      <c r="B41" s="40">
        <f t="shared" si="31"/>
        <v>51</v>
      </c>
      <c r="C41" s="155">
        <f t="shared" si="39"/>
        <v>55</v>
      </c>
      <c r="D41" s="140">
        <f>D42+42</f>
        <v>414</v>
      </c>
      <c r="E41" s="144">
        <f t="shared" si="29"/>
        <v>1.3</v>
      </c>
      <c r="F41" s="42">
        <f t="shared" si="33"/>
        <v>538.20000000000005</v>
      </c>
      <c r="G41" s="145">
        <f t="shared" si="34"/>
        <v>22.425000000000011</v>
      </c>
      <c r="I41" s="55">
        <v>36</v>
      </c>
      <c r="J41" s="33">
        <f t="shared" si="18"/>
        <v>5</v>
      </c>
      <c r="K41" s="33">
        <f t="shared" si="19"/>
        <v>1.910565629709926</v>
      </c>
      <c r="L41" s="33">
        <f t="shared" si="20"/>
        <v>45</v>
      </c>
      <c r="M41" s="33">
        <f t="shared" si="21"/>
        <v>0</v>
      </c>
      <c r="N41" s="33">
        <f t="shared" si="0"/>
        <v>0</v>
      </c>
      <c r="O41" s="34">
        <f t="shared" si="1"/>
        <v>177.03590180507811</v>
      </c>
      <c r="P41" s="55">
        <v>36</v>
      </c>
      <c r="Q41" s="33">
        <f t="shared" si="41"/>
        <v>-63.699999999999989</v>
      </c>
      <c r="R41" s="33">
        <f t="shared" si="22"/>
        <v>328.89999999999992</v>
      </c>
      <c r="S41" s="33">
        <f t="shared" si="23"/>
        <v>151.29399999999998</v>
      </c>
      <c r="T41" s="33">
        <f t="shared" si="2"/>
        <v>38.872504593639952</v>
      </c>
      <c r="U41" s="33">
        <f t="shared" si="16"/>
        <v>56.68520497482757</v>
      </c>
      <c r="V41" s="33">
        <f t="shared" si="3"/>
        <v>10</v>
      </c>
      <c r="W41" s="33">
        <v>0</v>
      </c>
      <c r="X41" s="33">
        <f t="shared" si="4"/>
        <v>575.71908040829055</v>
      </c>
      <c r="Y41" s="38">
        <f t="shared" si="5"/>
        <v>398.68317860321247</v>
      </c>
      <c r="AA41" s="71">
        <v>36</v>
      </c>
      <c r="AB41" s="33">
        <f t="shared" si="6"/>
        <v>49</v>
      </c>
      <c r="AC41" s="308">
        <f t="shared" si="40"/>
        <v>0.2</v>
      </c>
      <c r="AD41" s="101">
        <f t="shared" si="8"/>
        <v>0.33600000000000002</v>
      </c>
      <c r="AE41" s="101">
        <f t="shared" si="9"/>
        <v>0.26400000000000001</v>
      </c>
      <c r="AF41" s="197">
        <f t="shared" si="35"/>
        <v>7.774198334657882</v>
      </c>
      <c r="AG41" s="197">
        <f t="shared" si="36"/>
        <v>66.179301623409941</v>
      </c>
      <c r="AH41" s="197">
        <f t="shared" si="37"/>
        <v>11.880074571658295</v>
      </c>
      <c r="AI41" s="202">
        <f t="shared" si="38"/>
        <v>85.833574529726121</v>
      </c>
      <c r="AK41" s="71">
        <v>36</v>
      </c>
      <c r="AL41" s="33"/>
      <c r="AM41" s="33"/>
      <c r="AN41" s="33"/>
      <c r="AO41" s="33"/>
      <c r="AP41" s="33"/>
      <c r="AQ41" s="197"/>
      <c r="AR41" s="197"/>
      <c r="AS41" s="197"/>
      <c r="AT41" s="197"/>
      <c r="AU41" s="33"/>
      <c r="AV41" s="33"/>
      <c r="AW41" s="33"/>
      <c r="AX41" s="33"/>
      <c r="AY41" s="76"/>
    </row>
    <row r="42" spans="2:51">
      <c r="B42" s="40">
        <f t="shared" si="31"/>
        <v>55</v>
      </c>
      <c r="C42" s="155">
        <f t="shared" si="39"/>
        <v>56</v>
      </c>
      <c r="D42" s="140">
        <v>372</v>
      </c>
      <c r="E42" s="144">
        <f t="shared" si="29"/>
        <v>1.3</v>
      </c>
      <c r="F42" s="42">
        <f t="shared" si="33"/>
        <v>483.6</v>
      </c>
      <c r="G42" s="145">
        <f t="shared" si="34"/>
        <v>-54.600000000000023</v>
      </c>
      <c r="I42" s="55">
        <v>37</v>
      </c>
      <c r="J42" s="33">
        <f t="shared" si="18"/>
        <v>5</v>
      </c>
      <c r="K42" s="33">
        <f t="shared" si="19"/>
        <v>1.910565629709926</v>
      </c>
      <c r="L42" s="33">
        <f t="shared" si="20"/>
        <v>45</v>
      </c>
      <c r="M42" s="33">
        <f t="shared" si="21"/>
        <v>0</v>
      </c>
      <c r="N42" s="33">
        <f t="shared" si="0"/>
        <v>0</v>
      </c>
      <c r="O42" s="34">
        <f t="shared" si="1"/>
        <v>177.03590180507811</v>
      </c>
      <c r="P42" s="55">
        <v>37</v>
      </c>
      <c r="Q42" s="33">
        <f t="shared" si="41"/>
        <v>27.299999999999997</v>
      </c>
      <c r="R42" s="33">
        <f t="shared" si="22"/>
        <v>356.19999999999993</v>
      </c>
      <c r="S42" s="33">
        <f t="shared" si="23"/>
        <v>163.85199999999998</v>
      </c>
      <c r="T42" s="33">
        <f t="shared" si="2"/>
        <v>41.710138155336118</v>
      </c>
      <c r="U42" s="33">
        <f t="shared" si="16"/>
        <v>56.916186901092118</v>
      </c>
      <c r="V42" s="33">
        <f t="shared" si="3"/>
        <v>10</v>
      </c>
      <c r="W42" s="33">
        <v>0</v>
      </c>
      <c r="X42" s="33">
        <f t="shared" si="4"/>
        <v>603.38007592454812</v>
      </c>
      <c r="Y42" s="38">
        <f t="shared" si="5"/>
        <v>426.34417411947004</v>
      </c>
      <c r="AA42" s="71">
        <v>37</v>
      </c>
      <c r="AB42" s="33">
        <f t="shared" si="6"/>
        <v>0</v>
      </c>
      <c r="AC42" s="308">
        <f t="shared" si="40"/>
        <v>0</v>
      </c>
      <c r="AD42" s="101">
        <f t="shared" si="8"/>
        <v>0</v>
      </c>
      <c r="AE42" s="101">
        <f t="shared" si="9"/>
        <v>0</v>
      </c>
      <c r="AF42" s="197">
        <f t="shared" si="35"/>
        <v>7.6217510471080123</v>
      </c>
      <c r="AG42" s="197">
        <f t="shared" si="36"/>
        <v>64.369625140299576</v>
      </c>
      <c r="AH42" s="197">
        <f t="shared" si="37"/>
        <v>8.4004812906214497</v>
      </c>
      <c r="AI42" s="202">
        <f t="shared" si="38"/>
        <v>80.391857478029038</v>
      </c>
      <c r="AK42" s="71">
        <v>37</v>
      </c>
      <c r="AL42" s="33"/>
      <c r="AM42" s="33"/>
      <c r="AN42" s="33"/>
      <c r="AO42" s="33"/>
      <c r="AP42" s="33"/>
      <c r="AQ42" s="197"/>
      <c r="AR42" s="197"/>
      <c r="AS42" s="197"/>
      <c r="AT42" s="197"/>
      <c r="AU42" s="33"/>
      <c r="AV42" s="33"/>
      <c r="AW42" s="33"/>
      <c r="AX42" s="33"/>
      <c r="AY42" s="76"/>
    </row>
    <row r="43" spans="2:51">
      <c r="B43" s="40">
        <f t="shared" si="31"/>
        <v>56</v>
      </c>
      <c r="C43" s="155">
        <f t="shared" si="39"/>
        <v>60</v>
      </c>
      <c r="D43" s="140">
        <f>D44+39</f>
        <v>438</v>
      </c>
      <c r="E43" s="144">
        <f t="shared" si="29"/>
        <v>1.3</v>
      </c>
      <c r="F43" s="42">
        <f t="shared" si="33"/>
        <v>569.4</v>
      </c>
      <c r="G43" s="145">
        <f t="shared" si="34"/>
        <v>21.449999999999989</v>
      </c>
      <c r="I43" s="55">
        <v>38</v>
      </c>
      <c r="J43" s="33">
        <f t="shared" si="18"/>
        <v>5</v>
      </c>
      <c r="K43" s="33">
        <f t="shared" si="19"/>
        <v>1.910565629709926</v>
      </c>
      <c r="L43" s="33">
        <f t="shared" si="20"/>
        <v>45</v>
      </c>
      <c r="M43" s="33">
        <f t="shared" si="21"/>
        <v>0</v>
      </c>
      <c r="N43" s="33">
        <f t="shared" si="0"/>
        <v>0</v>
      </c>
      <c r="O43" s="34">
        <f t="shared" si="1"/>
        <v>177.03590180507811</v>
      </c>
      <c r="P43" s="55">
        <v>38</v>
      </c>
      <c r="Q43" s="33">
        <f t="shared" si="41"/>
        <v>27.299999999999997</v>
      </c>
      <c r="R43" s="33">
        <f t="shared" si="22"/>
        <v>383.49999999999994</v>
      </c>
      <c r="S43" s="33">
        <f t="shared" si="23"/>
        <v>176.40999999999997</v>
      </c>
      <c r="T43" s="33">
        <f t="shared" si="2"/>
        <v>44.522543239204609</v>
      </c>
      <c r="U43" s="33">
        <f t="shared" si="16"/>
        <v>57.143161807334202</v>
      </c>
      <c r="V43" s="33">
        <f t="shared" si="3"/>
        <v>10</v>
      </c>
      <c r="W43" s="33">
        <v>0</v>
      </c>
      <c r="X43" s="33">
        <f t="shared" si="4"/>
        <v>630.98243943517343</v>
      </c>
      <c r="Y43" s="38">
        <f t="shared" si="5"/>
        <v>453.94653763009535</v>
      </c>
      <c r="AA43" s="71">
        <v>38</v>
      </c>
      <c r="AB43" s="33">
        <f t="shared" si="6"/>
        <v>0</v>
      </c>
      <c r="AC43" s="308">
        <f t="shared" si="40"/>
        <v>0</v>
      </c>
      <c r="AD43" s="101">
        <f t="shared" si="8"/>
        <v>0</v>
      </c>
      <c r="AE43" s="101">
        <f t="shared" si="9"/>
        <v>0</v>
      </c>
      <c r="AF43" s="197">
        <f t="shared" si="35"/>
        <v>7.4722931578833309</v>
      </c>
      <c r="AG43" s="197">
        <f t="shared" si="36"/>
        <v>62.609434355786618</v>
      </c>
      <c r="AH43" s="197">
        <f t="shared" si="37"/>
        <v>5.9400372858291481</v>
      </c>
      <c r="AI43" s="202">
        <f t="shared" si="38"/>
        <v>76.021764799499095</v>
      </c>
      <c r="AK43" s="71">
        <v>38</v>
      </c>
      <c r="AL43" s="33"/>
      <c r="AM43" s="33"/>
      <c r="AN43" s="33"/>
      <c r="AO43" s="33"/>
      <c r="AP43" s="33"/>
      <c r="AQ43" s="197"/>
      <c r="AR43" s="197"/>
      <c r="AS43" s="197"/>
      <c r="AT43" s="197"/>
      <c r="AU43" s="33"/>
      <c r="AV43" s="33"/>
      <c r="AW43" s="33"/>
      <c r="AX43" s="33"/>
      <c r="AY43" s="76"/>
    </row>
    <row r="44" spans="2:51">
      <c r="B44" s="40">
        <f t="shared" si="31"/>
        <v>60</v>
      </c>
      <c r="C44" s="155">
        <f t="shared" si="39"/>
        <v>61</v>
      </c>
      <c r="D44" s="140">
        <v>399</v>
      </c>
      <c r="E44" s="144">
        <f t="shared" si="29"/>
        <v>1.3</v>
      </c>
      <c r="F44" s="42">
        <f t="shared" si="33"/>
        <v>518.70000000000005</v>
      </c>
      <c r="G44" s="145">
        <f t="shared" si="34"/>
        <v>-50.699999999999932</v>
      </c>
      <c r="I44" s="55">
        <v>39</v>
      </c>
      <c r="J44" s="33">
        <f t="shared" si="18"/>
        <v>5</v>
      </c>
      <c r="K44" s="33">
        <f t="shared" si="19"/>
        <v>1.910565629709926</v>
      </c>
      <c r="L44" s="33">
        <f t="shared" si="20"/>
        <v>45</v>
      </c>
      <c r="M44" s="33">
        <f t="shared" si="21"/>
        <v>0</v>
      </c>
      <c r="N44" s="33">
        <f t="shared" si="0"/>
        <v>0</v>
      </c>
      <c r="O44" s="34">
        <f t="shared" si="1"/>
        <v>177.03590180507811</v>
      </c>
      <c r="P44" s="55">
        <v>39</v>
      </c>
      <c r="Q44" s="33">
        <f t="shared" si="41"/>
        <v>27.299999999999997</v>
      </c>
      <c r="R44" s="33">
        <f t="shared" si="22"/>
        <v>410.79999999999995</v>
      </c>
      <c r="S44" s="33">
        <f t="shared" si="23"/>
        <v>188.96799999999999</v>
      </c>
      <c r="T44" s="33">
        <f t="shared" si="2"/>
        <v>47.311720031947068</v>
      </c>
      <c r="U44" s="33">
        <f t="shared" si="16"/>
        <v>57.366199206392857</v>
      </c>
      <c r="V44" s="33">
        <f t="shared" si="3"/>
        <v>10</v>
      </c>
      <c r="W44" s="33">
        <v>0</v>
      </c>
      <c r="X44" s="33">
        <f t="shared" si="4"/>
        <v>658.52990947908154</v>
      </c>
      <c r="Y44" s="38">
        <f t="shared" si="5"/>
        <v>481.49400767400346</v>
      </c>
      <c r="AA44" s="71">
        <v>39</v>
      </c>
      <c r="AB44" s="33">
        <f t="shared" si="6"/>
        <v>0</v>
      </c>
      <c r="AC44" s="308">
        <f t="shared" si="40"/>
        <v>0</v>
      </c>
      <c r="AD44" s="101">
        <f t="shared" si="8"/>
        <v>0</v>
      </c>
      <c r="AE44" s="101">
        <f t="shared" si="9"/>
        <v>0</v>
      </c>
      <c r="AF44" s="197">
        <f t="shared" si="35"/>
        <v>7.3257660467060344</v>
      </c>
      <c r="AG44" s="197">
        <f t="shared" si="36"/>
        <v>60.897376080840573</v>
      </c>
      <c r="AH44" s="197">
        <f t="shared" si="37"/>
        <v>4.2002406453107257</v>
      </c>
      <c r="AI44" s="202">
        <f t="shared" si="38"/>
        <v>72.423382772857337</v>
      </c>
      <c r="AK44" s="71">
        <v>39</v>
      </c>
      <c r="AL44" s="33"/>
      <c r="AM44" s="33"/>
      <c r="AN44" s="33"/>
      <c r="AO44" s="33"/>
      <c r="AP44" s="33"/>
      <c r="AQ44" s="197"/>
      <c r="AR44" s="197"/>
      <c r="AS44" s="197"/>
      <c r="AT44" s="197"/>
      <c r="AU44" s="33"/>
      <c r="AV44" s="33"/>
      <c r="AW44" s="33"/>
      <c r="AX44" s="33"/>
      <c r="AY44" s="76"/>
    </row>
    <row r="45" spans="2:51">
      <c r="B45" s="40">
        <f t="shared" si="31"/>
        <v>61</v>
      </c>
      <c r="C45" s="155">
        <f t="shared" si="39"/>
        <v>65</v>
      </c>
      <c r="D45" s="140">
        <f>D46+36</f>
        <v>462</v>
      </c>
      <c r="E45" s="144">
        <f t="shared" si="29"/>
        <v>1.3</v>
      </c>
      <c r="F45" s="42">
        <f t="shared" si="33"/>
        <v>600.6</v>
      </c>
      <c r="G45" s="145">
        <f t="shared" si="34"/>
        <v>20.474999999999994</v>
      </c>
      <c r="I45" s="55">
        <v>40</v>
      </c>
      <c r="J45" s="33">
        <f t="shared" si="18"/>
        <v>5</v>
      </c>
      <c r="K45" s="33">
        <f t="shared" si="19"/>
        <v>1.910565629709926</v>
      </c>
      <c r="L45" s="33">
        <f t="shared" si="20"/>
        <v>45</v>
      </c>
      <c r="M45" s="33">
        <f t="shared" si="21"/>
        <v>0</v>
      </c>
      <c r="N45" s="33">
        <f t="shared" si="0"/>
        <v>0</v>
      </c>
      <c r="O45" s="34">
        <f t="shared" si="1"/>
        <v>177.03590180507811</v>
      </c>
      <c r="P45" s="55">
        <v>40</v>
      </c>
      <c r="Q45" s="33">
        <f t="shared" si="41"/>
        <v>27.299999999999997</v>
      </c>
      <c r="R45" s="33">
        <f t="shared" si="22"/>
        <v>438.09999999999997</v>
      </c>
      <c r="S45" s="33">
        <f t="shared" si="23"/>
        <v>201.52599999999998</v>
      </c>
      <c r="T45" s="33">
        <f t="shared" si="2"/>
        <v>50.079387833316794</v>
      </c>
      <c r="U45" s="33">
        <f t="shared" si="16"/>
        <v>57.585367405214768</v>
      </c>
      <c r="V45" s="33">
        <f t="shared" si="3"/>
        <v>10</v>
      </c>
      <c r="W45" s="33">
        <v>0</v>
      </c>
      <c r="X45" s="33">
        <f t="shared" si="4"/>
        <v>686.02573096214758</v>
      </c>
      <c r="Y45" s="38">
        <f t="shared" si="5"/>
        <v>508.98982915706949</v>
      </c>
      <c r="AA45" s="71">
        <v>40</v>
      </c>
      <c r="AB45" s="33">
        <f t="shared" si="6"/>
        <v>0</v>
      </c>
      <c r="AC45" s="308">
        <f t="shared" si="40"/>
        <v>0</v>
      </c>
      <c r="AD45" s="101">
        <f t="shared" si="8"/>
        <v>0</v>
      </c>
      <c r="AE45" s="101">
        <f t="shared" si="9"/>
        <v>0</v>
      </c>
      <c r="AF45" s="197">
        <f t="shared" si="35"/>
        <v>7.1821122428062116</v>
      </c>
      <c r="AG45" s="197">
        <f t="shared" si="36"/>
        <v>59.232134129456163</v>
      </c>
      <c r="AH45" s="197">
        <f t="shared" si="37"/>
        <v>2.9700186429145745</v>
      </c>
      <c r="AI45" s="202">
        <f t="shared" si="38"/>
        <v>69.384265015176936</v>
      </c>
      <c r="AK45" s="71">
        <v>40</v>
      </c>
      <c r="AL45" s="33"/>
      <c r="AM45" s="33"/>
      <c r="AN45" s="33"/>
      <c r="AO45" s="33"/>
      <c r="AP45" s="33"/>
      <c r="AQ45" s="197"/>
      <c r="AR45" s="197"/>
      <c r="AS45" s="197"/>
      <c r="AT45" s="197"/>
      <c r="AU45" s="33"/>
      <c r="AV45" s="33"/>
      <c r="AW45" s="33"/>
      <c r="AX45" s="33"/>
      <c r="AY45" s="76"/>
    </row>
    <row r="46" spans="2:51">
      <c r="B46" s="40">
        <f t="shared" si="31"/>
        <v>65</v>
      </c>
      <c r="C46" s="155">
        <f t="shared" si="39"/>
        <v>66</v>
      </c>
      <c r="D46" s="140">
        <v>426</v>
      </c>
      <c r="E46" s="144">
        <f t="shared" si="29"/>
        <v>1.3</v>
      </c>
      <c r="F46" s="42">
        <f t="shared" si="33"/>
        <v>553.80000000000007</v>
      </c>
      <c r="G46" s="145">
        <f t="shared" si="34"/>
        <v>-46.799999999999955</v>
      </c>
      <c r="I46" s="55">
        <v>41</v>
      </c>
      <c r="J46" s="33">
        <f t="shared" si="18"/>
        <v>5</v>
      </c>
      <c r="K46" s="33">
        <f t="shared" si="19"/>
        <v>1.910565629709926</v>
      </c>
      <c r="L46" s="33">
        <f t="shared" si="20"/>
        <v>45</v>
      </c>
      <c r="M46" s="33">
        <f t="shared" si="21"/>
        <v>0</v>
      </c>
      <c r="N46" s="33">
        <f t="shared" si="0"/>
        <v>0</v>
      </c>
      <c r="O46" s="34">
        <f t="shared" si="1"/>
        <v>177.03590180507811</v>
      </c>
      <c r="P46" s="55">
        <v>41</v>
      </c>
      <c r="Q46" s="33">
        <f t="shared" si="41"/>
        <v>-63.699999999999989</v>
      </c>
      <c r="R46" s="33">
        <f t="shared" si="22"/>
        <v>374.4</v>
      </c>
      <c r="S46" s="33">
        <f t="shared" si="23"/>
        <v>172.22399999999999</v>
      </c>
      <c r="T46" s="33">
        <f t="shared" si="2"/>
        <v>43.587748184815709</v>
      </c>
      <c r="U46" s="33">
        <f t="shared" si="16"/>
        <v>57.800733525773801</v>
      </c>
      <c r="V46" s="33">
        <f t="shared" si="3"/>
        <v>10</v>
      </c>
      <c r="W46" s="33">
        <v>0</v>
      </c>
      <c r="X46" s="33">
        <f t="shared" si="4"/>
        <v>624.47481768305795</v>
      </c>
      <c r="Y46" s="38">
        <f t="shared" si="5"/>
        <v>447.43891587797987</v>
      </c>
      <c r="AA46" s="71">
        <v>41</v>
      </c>
      <c r="AB46" s="33">
        <f t="shared" si="6"/>
        <v>49</v>
      </c>
      <c r="AC46" s="308">
        <f t="shared" si="40"/>
        <v>0.35</v>
      </c>
      <c r="AD46" s="101">
        <f t="shared" si="8"/>
        <v>0.16800000000000004</v>
      </c>
      <c r="AE46" s="101">
        <f t="shared" si="9"/>
        <v>0.13200000000000003</v>
      </c>
      <c r="AF46" s="197">
        <f t="shared" si="35"/>
        <v>20.646122488031988</v>
      </c>
      <c r="AG46" s="197">
        <f t="shared" si="36"/>
        <v>64.117042523838165</v>
      </c>
      <c r="AH46" s="197">
        <f t="shared" si="37"/>
        <v>6.4794408658952705</v>
      </c>
      <c r="AI46" s="202">
        <f t="shared" si="38"/>
        <v>91.242605877765428</v>
      </c>
      <c r="AK46" s="71">
        <v>41</v>
      </c>
      <c r="AL46" s="33"/>
      <c r="AM46" s="33"/>
      <c r="AN46" s="33"/>
      <c r="AO46" s="33"/>
      <c r="AP46" s="33"/>
      <c r="AQ46" s="197"/>
      <c r="AR46" s="197"/>
      <c r="AS46" s="197"/>
      <c r="AT46" s="197"/>
      <c r="AU46" s="33"/>
      <c r="AV46" s="33"/>
      <c r="AW46" s="33"/>
      <c r="AX46" s="33"/>
      <c r="AY46" s="76"/>
    </row>
    <row r="47" spans="2:51">
      <c r="B47" s="40">
        <f t="shared" si="31"/>
        <v>66</v>
      </c>
      <c r="C47" s="155">
        <f t="shared" si="39"/>
        <v>70</v>
      </c>
      <c r="D47" s="140">
        <f>D48+34</f>
        <v>487</v>
      </c>
      <c r="E47" s="144">
        <f t="shared" si="29"/>
        <v>1.3</v>
      </c>
      <c r="F47" s="42">
        <f t="shared" si="33"/>
        <v>633.1</v>
      </c>
      <c r="G47" s="145">
        <f t="shared" si="34"/>
        <v>19.824999999999989</v>
      </c>
      <c r="I47" s="55">
        <v>42</v>
      </c>
      <c r="J47" s="33">
        <f t="shared" si="18"/>
        <v>5</v>
      </c>
      <c r="K47" s="33">
        <f t="shared" si="19"/>
        <v>1.910565629709926</v>
      </c>
      <c r="L47" s="33">
        <f t="shared" si="20"/>
        <v>45</v>
      </c>
      <c r="M47" s="33">
        <f t="shared" si="21"/>
        <v>0</v>
      </c>
      <c r="N47" s="33">
        <f t="shared" si="0"/>
        <v>0</v>
      </c>
      <c r="O47" s="34">
        <f t="shared" si="1"/>
        <v>177.03590180507811</v>
      </c>
      <c r="P47" s="55">
        <v>42</v>
      </c>
      <c r="Q47" s="33">
        <f t="shared" si="41"/>
        <v>25.674999999999997</v>
      </c>
      <c r="R47" s="33">
        <f t="shared" si="22"/>
        <v>400.07499999999999</v>
      </c>
      <c r="S47" s="33">
        <f t="shared" si="23"/>
        <v>184.03450000000001</v>
      </c>
      <c r="T47" s="33">
        <f t="shared" si="2"/>
        <v>46.218626826369743</v>
      </c>
      <c r="U47" s="33">
        <f t="shared" si="16"/>
        <v>58.012363525627649</v>
      </c>
      <c r="V47" s="33">
        <f t="shared" si="3"/>
        <v>10</v>
      </c>
      <c r="W47" s="33">
        <v>0</v>
      </c>
      <c r="X47" s="33">
        <f t="shared" si="4"/>
        <v>650.40286214989544</v>
      </c>
      <c r="Y47" s="38">
        <f t="shared" si="5"/>
        <v>473.36696034481736</v>
      </c>
      <c r="AA47" s="71">
        <v>42</v>
      </c>
      <c r="AB47" s="33">
        <f t="shared" si="6"/>
        <v>0</v>
      </c>
      <c r="AC47" s="308">
        <f t="shared" si="40"/>
        <v>0</v>
      </c>
      <c r="AD47" s="101">
        <f t="shared" si="8"/>
        <v>0</v>
      </c>
      <c r="AE47" s="101">
        <f t="shared" si="9"/>
        <v>0</v>
      </c>
      <c r="AF47" s="197">
        <f t="shared" si="35"/>
        <v>20.241264618932952</v>
      </c>
      <c r="AG47" s="197">
        <f t="shared" si="36"/>
        <v>62.363758624255084</v>
      </c>
      <c r="AH47" s="197">
        <f t="shared" si="37"/>
        <v>4.581656574571781</v>
      </c>
      <c r="AI47" s="202">
        <f t="shared" si="38"/>
        <v>87.186679817759824</v>
      </c>
      <c r="AK47" s="71">
        <v>42</v>
      </c>
      <c r="AL47" s="33"/>
      <c r="AM47" s="33"/>
      <c r="AN47" s="33"/>
      <c r="AO47" s="33"/>
      <c r="AP47" s="33"/>
      <c r="AQ47" s="197"/>
      <c r="AR47" s="197"/>
      <c r="AS47" s="197"/>
      <c r="AT47" s="197"/>
      <c r="AU47" s="33"/>
      <c r="AV47" s="33"/>
      <c r="AW47" s="33"/>
      <c r="AX47" s="33"/>
      <c r="AY47" s="76"/>
    </row>
    <row r="48" spans="2:51">
      <c r="B48" s="40">
        <f t="shared" si="31"/>
        <v>70</v>
      </c>
      <c r="C48" s="155">
        <f t="shared" si="39"/>
        <v>71</v>
      </c>
      <c r="D48" s="140">
        <v>453</v>
      </c>
      <c r="E48" s="144">
        <f t="shared" si="29"/>
        <v>1.3</v>
      </c>
      <c r="F48" s="42">
        <f t="shared" si="33"/>
        <v>588.9</v>
      </c>
      <c r="G48" s="145">
        <f t="shared" si="34"/>
        <v>-44.200000000000045</v>
      </c>
      <c r="I48" s="55">
        <v>43</v>
      </c>
      <c r="J48" s="33">
        <f t="shared" si="18"/>
        <v>5</v>
      </c>
      <c r="K48" s="33">
        <f t="shared" si="19"/>
        <v>1.910565629709926</v>
      </c>
      <c r="L48" s="33">
        <f t="shared" si="20"/>
        <v>45</v>
      </c>
      <c r="M48" s="33">
        <f t="shared" si="21"/>
        <v>0</v>
      </c>
      <c r="N48" s="33">
        <f t="shared" si="0"/>
        <v>0</v>
      </c>
      <c r="O48" s="34">
        <f t="shared" si="1"/>
        <v>177.03590180507811</v>
      </c>
      <c r="P48" s="55">
        <v>43</v>
      </c>
      <c r="Q48" s="33">
        <f t="shared" si="41"/>
        <v>25.674999999999997</v>
      </c>
      <c r="R48" s="33">
        <f t="shared" si="22"/>
        <v>425.75</v>
      </c>
      <c r="S48" s="33">
        <f t="shared" si="23"/>
        <v>195.845</v>
      </c>
      <c r="T48" s="33">
        <f t="shared" si="2"/>
        <v>48.829911767840876</v>
      </c>
      <c r="U48" s="33">
        <f t="shared" si="16"/>
        <v>58.220322218117829</v>
      </c>
      <c r="V48" s="33">
        <f t="shared" si="3"/>
        <v>10</v>
      </c>
      <c r="W48" s="33">
        <v>0</v>
      </c>
      <c r="X48" s="33">
        <f t="shared" si="4"/>
        <v>676.28331946208812</v>
      </c>
      <c r="Y48" s="38">
        <f t="shared" si="5"/>
        <v>499.24741765701003</v>
      </c>
      <c r="AA48" s="71">
        <v>43</v>
      </c>
      <c r="AB48" s="33">
        <f t="shared" si="6"/>
        <v>0</v>
      </c>
      <c r="AC48" s="308">
        <f t="shared" si="40"/>
        <v>0</v>
      </c>
      <c r="AD48" s="101">
        <f t="shared" si="8"/>
        <v>0</v>
      </c>
      <c r="AE48" s="101">
        <f t="shared" si="9"/>
        <v>0</v>
      </c>
      <c r="AF48" s="197">
        <f t="shared" si="35"/>
        <v>19.844345765708034</v>
      </c>
      <c r="AG48" s="197">
        <f t="shared" si="36"/>
        <v>60.658418365107295</v>
      </c>
      <c r="AH48" s="197">
        <f t="shared" si="37"/>
        <v>3.2397204329476352</v>
      </c>
      <c r="AI48" s="202">
        <f t="shared" si="38"/>
        <v>83.742484563762972</v>
      </c>
      <c r="AK48" s="71">
        <v>43</v>
      </c>
      <c r="AL48" s="33"/>
      <c r="AM48" s="33"/>
      <c r="AN48" s="33"/>
      <c r="AO48" s="33"/>
      <c r="AP48" s="33"/>
      <c r="AQ48" s="197"/>
      <c r="AR48" s="197"/>
      <c r="AS48" s="197"/>
      <c r="AT48" s="197"/>
      <c r="AU48" s="33"/>
      <c r="AV48" s="33"/>
      <c r="AW48" s="33"/>
      <c r="AX48" s="33"/>
      <c r="AY48" s="76"/>
    </row>
    <row r="49" spans="2:51">
      <c r="B49" s="40">
        <f t="shared" si="31"/>
        <v>71</v>
      </c>
      <c r="C49" s="155">
        <f t="shared" si="39"/>
        <v>75</v>
      </c>
      <c r="D49" s="140">
        <f>D50+33</f>
        <v>507</v>
      </c>
      <c r="E49" s="144">
        <f t="shared" si="29"/>
        <v>1.3</v>
      </c>
      <c r="F49" s="42">
        <f t="shared" si="33"/>
        <v>659.1</v>
      </c>
      <c r="G49" s="145">
        <f t="shared" si="34"/>
        <v>17.550000000000011</v>
      </c>
      <c r="I49" s="55">
        <v>44</v>
      </c>
      <c r="J49" s="33">
        <f t="shared" si="18"/>
        <v>5</v>
      </c>
      <c r="K49" s="33">
        <f t="shared" si="19"/>
        <v>1.910565629709926</v>
      </c>
      <c r="L49" s="33">
        <f t="shared" si="20"/>
        <v>45</v>
      </c>
      <c r="M49" s="33">
        <f t="shared" si="21"/>
        <v>0</v>
      </c>
      <c r="N49" s="33">
        <f t="shared" si="0"/>
        <v>0</v>
      </c>
      <c r="O49" s="34">
        <f t="shared" si="1"/>
        <v>177.03590180507811</v>
      </c>
      <c r="P49" s="55">
        <v>44</v>
      </c>
      <c r="Q49" s="33">
        <f t="shared" si="41"/>
        <v>25.674999999999997</v>
      </c>
      <c r="R49" s="33">
        <f t="shared" si="22"/>
        <v>451.42500000000001</v>
      </c>
      <c r="S49" s="33">
        <f t="shared" si="23"/>
        <v>207.65550000000002</v>
      </c>
      <c r="T49" s="33">
        <f t="shared" si="2"/>
        <v>51.422919176546138</v>
      </c>
      <c r="U49" s="33">
        <f t="shared" si="16"/>
        <v>58.424673292219296</v>
      </c>
      <c r="V49" s="33">
        <f t="shared" si="3"/>
        <v>10</v>
      </c>
      <c r="W49" s="33">
        <v>0</v>
      </c>
      <c r="X49" s="33">
        <f t="shared" si="4"/>
        <v>702.11871547062185</v>
      </c>
      <c r="Y49" s="38">
        <f t="shared" si="5"/>
        <v>525.08281366554377</v>
      </c>
      <c r="AA49" s="71">
        <v>44</v>
      </c>
      <c r="AB49" s="33">
        <f t="shared" si="6"/>
        <v>0</v>
      </c>
      <c r="AC49" s="308">
        <f t="shared" si="40"/>
        <v>0</v>
      </c>
      <c r="AD49" s="101">
        <f t="shared" si="8"/>
        <v>0</v>
      </c>
      <c r="AE49" s="101">
        <f t="shared" si="9"/>
        <v>0</v>
      </c>
      <c r="AF49" s="197">
        <f t="shared" si="35"/>
        <v>19.455210249098261</v>
      </c>
      <c r="AG49" s="197">
        <f t="shared" si="36"/>
        <v>58.999710725025849</v>
      </c>
      <c r="AH49" s="197">
        <f t="shared" si="37"/>
        <v>2.2908282872858905</v>
      </c>
      <c r="AI49" s="202">
        <f t="shared" si="38"/>
        <v>80.745749261409998</v>
      </c>
      <c r="AK49" s="71">
        <v>44</v>
      </c>
      <c r="AL49" s="33"/>
      <c r="AM49" s="33"/>
      <c r="AN49" s="33"/>
      <c r="AO49" s="33"/>
      <c r="AP49" s="33"/>
      <c r="AQ49" s="197"/>
      <c r="AR49" s="197"/>
      <c r="AS49" s="197"/>
      <c r="AT49" s="197"/>
      <c r="AU49" s="33"/>
      <c r="AV49" s="33"/>
      <c r="AW49" s="33"/>
      <c r="AX49" s="33"/>
      <c r="AY49" s="76"/>
    </row>
    <row r="50" spans="2:51">
      <c r="B50" s="40">
        <f t="shared" si="31"/>
        <v>75</v>
      </c>
      <c r="C50" s="155">
        <f t="shared" si="39"/>
        <v>76</v>
      </c>
      <c r="D50" s="140">
        <v>474</v>
      </c>
      <c r="E50" s="144">
        <f t="shared" si="29"/>
        <v>1.3</v>
      </c>
      <c r="F50" s="42">
        <f t="shared" si="33"/>
        <v>616.20000000000005</v>
      </c>
      <c r="G50" s="145">
        <f t="shared" si="34"/>
        <v>-42.899999999999977</v>
      </c>
      <c r="I50" s="55">
        <v>45</v>
      </c>
      <c r="J50" s="33">
        <f t="shared" si="18"/>
        <v>5</v>
      </c>
      <c r="K50" s="33">
        <f t="shared" si="19"/>
        <v>1.910565629709926</v>
      </c>
      <c r="L50" s="33">
        <f t="shared" si="20"/>
        <v>45</v>
      </c>
      <c r="M50" s="33">
        <f t="shared" si="21"/>
        <v>0</v>
      </c>
      <c r="N50" s="33">
        <f t="shared" si="0"/>
        <v>0</v>
      </c>
      <c r="O50" s="34">
        <f t="shared" si="1"/>
        <v>177.03590180507811</v>
      </c>
      <c r="P50" s="55">
        <v>45</v>
      </c>
      <c r="Q50" s="33">
        <f t="shared" si="41"/>
        <v>25.674999999999997</v>
      </c>
      <c r="R50" s="33">
        <f t="shared" si="22"/>
        <v>477.1</v>
      </c>
      <c r="S50" s="33">
        <f t="shared" si="23"/>
        <v>219.46600000000001</v>
      </c>
      <c r="T50" s="33">
        <f t="shared" si="2"/>
        <v>53.998807048358273</v>
      </c>
      <c r="U50" s="33">
        <f t="shared" si="16"/>
        <v>58.625479332045664</v>
      </c>
      <c r="V50" s="33">
        <f t="shared" si="3"/>
        <v>10</v>
      </c>
      <c r="W50" s="33">
        <v>0</v>
      </c>
      <c r="X50" s="33">
        <f t="shared" si="4"/>
        <v>727.91129649339155</v>
      </c>
      <c r="Y50" s="38">
        <f t="shared" si="5"/>
        <v>550.87539468831346</v>
      </c>
      <c r="AA50" s="71">
        <v>45</v>
      </c>
      <c r="AB50" s="33">
        <f t="shared" si="6"/>
        <v>0</v>
      </c>
      <c r="AC50" s="308">
        <f t="shared" si="40"/>
        <v>0</v>
      </c>
      <c r="AD50" s="101">
        <f t="shared" si="8"/>
        <v>0</v>
      </c>
      <c r="AE50" s="101">
        <f t="shared" si="9"/>
        <v>0</v>
      </c>
      <c r="AF50" s="197">
        <f t="shared" si="35"/>
        <v>19.073705442619975</v>
      </c>
      <c r="AG50" s="197">
        <f t="shared" si="36"/>
        <v>57.386360532590075</v>
      </c>
      <c r="AH50" s="197">
        <f t="shared" si="37"/>
        <v>1.6198602164738176</v>
      </c>
      <c r="AI50" s="202">
        <f t="shared" si="38"/>
        <v>78.079926191683882</v>
      </c>
      <c r="AK50" s="71">
        <v>45</v>
      </c>
      <c r="AL50" s="33"/>
      <c r="AM50" s="33"/>
      <c r="AN50" s="33"/>
      <c r="AO50" s="33"/>
      <c r="AP50" s="33"/>
      <c r="AQ50" s="197"/>
      <c r="AR50" s="197"/>
      <c r="AS50" s="197"/>
      <c r="AT50" s="197"/>
      <c r="AU50" s="33"/>
      <c r="AV50" s="33"/>
      <c r="AW50" s="33"/>
      <c r="AX50" s="33"/>
      <c r="AY50" s="76"/>
    </row>
    <row r="51" spans="2:51">
      <c r="B51" s="40">
        <f t="shared" si="31"/>
        <v>76</v>
      </c>
      <c r="C51" s="155">
        <f t="shared" si="39"/>
        <v>80</v>
      </c>
      <c r="D51" s="140">
        <f>D52+32</f>
        <v>528</v>
      </c>
      <c r="E51" s="144">
        <f t="shared" si="29"/>
        <v>1.3</v>
      </c>
      <c r="F51" s="42">
        <f t="shared" si="33"/>
        <v>686.4</v>
      </c>
      <c r="G51" s="145">
        <f t="shared" si="34"/>
        <v>17.549999999999983</v>
      </c>
      <c r="I51" s="55">
        <v>46</v>
      </c>
      <c r="J51" s="33">
        <f t="shared" si="18"/>
        <v>5</v>
      </c>
      <c r="K51" s="33">
        <f t="shared" si="19"/>
        <v>1.910565629709926</v>
      </c>
      <c r="L51" s="33">
        <f t="shared" si="20"/>
        <v>45</v>
      </c>
      <c r="M51" s="33">
        <f t="shared" si="21"/>
        <v>0</v>
      </c>
      <c r="N51" s="33">
        <f t="shared" si="0"/>
        <v>0</v>
      </c>
      <c r="O51" s="34">
        <f t="shared" si="1"/>
        <v>177.03590180507811</v>
      </c>
      <c r="P51" s="55">
        <v>46</v>
      </c>
      <c r="Q51" s="33">
        <f t="shared" si="41"/>
        <v>-63.699999999999989</v>
      </c>
      <c r="R51" s="33">
        <f t="shared" si="22"/>
        <v>413.40000000000003</v>
      </c>
      <c r="S51" s="33">
        <f t="shared" si="23"/>
        <v>190.16400000000002</v>
      </c>
      <c r="T51" s="33">
        <f t="shared" si="2"/>
        <v>47.576209101852911</v>
      </c>
      <c r="U51" s="33">
        <f t="shared" si="16"/>
        <v>58.82280183601609</v>
      </c>
      <c r="V51" s="33">
        <f t="shared" si="3"/>
        <v>10</v>
      </c>
      <c r="W51" s="33">
        <v>0</v>
      </c>
      <c r="X51" s="33">
        <f t="shared" si="4"/>
        <v>666.41447091778616</v>
      </c>
      <c r="Y51" s="38">
        <f t="shared" si="5"/>
        <v>489.37856911270808</v>
      </c>
      <c r="AA51" s="71">
        <v>46</v>
      </c>
      <c r="AB51" s="33">
        <f t="shared" si="6"/>
        <v>49</v>
      </c>
      <c r="AC51" s="308">
        <f t="shared" si="40"/>
        <v>0.35</v>
      </c>
      <c r="AD51" s="101">
        <f t="shared" si="8"/>
        <v>0.16800000000000004</v>
      </c>
      <c r="AE51" s="101">
        <f t="shared" si="9"/>
        <v>0.13200000000000003</v>
      </c>
      <c r="AF51" s="197">
        <f t="shared" si="35"/>
        <v>32.304528798353068</v>
      </c>
      <c r="AG51" s="197">
        <f t="shared" si="36"/>
        <v>62.321741703043386</v>
      </c>
      <c r="AH51" s="197">
        <f t="shared" si="37"/>
        <v>5.5247346868828524</v>
      </c>
      <c r="AI51" s="202">
        <f t="shared" si="38"/>
        <v>100.1510051882793</v>
      </c>
      <c r="AK51" s="71">
        <v>46</v>
      </c>
      <c r="AL51" s="33"/>
      <c r="AM51" s="33"/>
      <c r="AN51" s="33"/>
      <c r="AO51" s="33"/>
      <c r="AP51" s="33"/>
      <c r="AQ51" s="197"/>
      <c r="AR51" s="197"/>
      <c r="AS51" s="197"/>
      <c r="AT51" s="197"/>
      <c r="AU51" s="33"/>
      <c r="AV51" s="33"/>
      <c r="AW51" s="33"/>
      <c r="AX51" s="33"/>
      <c r="AY51" s="76"/>
    </row>
    <row r="52" spans="2:51">
      <c r="B52" s="40">
        <f t="shared" si="31"/>
        <v>80</v>
      </c>
      <c r="C52" s="155">
        <f t="shared" si="39"/>
        <v>81</v>
      </c>
      <c r="D52" s="140">
        <v>496</v>
      </c>
      <c r="E52" s="144">
        <f t="shared" si="29"/>
        <v>1.3</v>
      </c>
      <c r="F52" s="42">
        <f t="shared" si="33"/>
        <v>644.80000000000007</v>
      </c>
      <c r="G52" s="145">
        <f t="shared" si="34"/>
        <v>-41.599999999999909</v>
      </c>
      <c r="I52" s="55">
        <v>47</v>
      </c>
      <c r="J52" s="33">
        <f t="shared" si="18"/>
        <v>5</v>
      </c>
      <c r="K52" s="33">
        <f t="shared" si="19"/>
        <v>1.910565629709926</v>
      </c>
      <c r="L52" s="33">
        <f t="shared" si="20"/>
        <v>45</v>
      </c>
      <c r="M52" s="33">
        <f t="shared" si="21"/>
        <v>0</v>
      </c>
      <c r="N52" s="33">
        <f t="shared" si="0"/>
        <v>0</v>
      </c>
      <c r="O52" s="34">
        <f t="shared" si="1"/>
        <v>177.03590180507811</v>
      </c>
      <c r="P52" s="55">
        <v>47</v>
      </c>
      <c r="Q52" s="33">
        <f t="shared" si="41"/>
        <v>24.049999999999997</v>
      </c>
      <c r="R52" s="33">
        <f t="shared" si="22"/>
        <v>437.45000000000005</v>
      </c>
      <c r="S52" s="33">
        <f t="shared" si="23"/>
        <v>201.22700000000003</v>
      </c>
      <c r="T52" s="33">
        <f t="shared" si="2"/>
        <v>50.013729123809902</v>
      </c>
      <c r="U52" s="33">
        <f t="shared" si="16"/>
        <v>59.016701235689659</v>
      </c>
      <c r="V52" s="33">
        <f t="shared" si="3"/>
        <v>10</v>
      </c>
      <c r="W52" s="33">
        <v>0</v>
      </c>
      <c r="X52" s="33">
        <f t="shared" si="4"/>
        <v>690.63884108816444</v>
      </c>
      <c r="Y52" s="38">
        <f t="shared" si="5"/>
        <v>513.60293928308636</v>
      </c>
      <c r="AA52" s="71">
        <v>47</v>
      </c>
      <c r="AB52" s="33">
        <f t="shared" si="6"/>
        <v>0</v>
      </c>
      <c r="AC52" s="308">
        <f t="shared" si="40"/>
        <v>0</v>
      </c>
      <c r="AD52" s="101">
        <f t="shared" si="8"/>
        <v>0</v>
      </c>
      <c r="AE52" s="101">
        <f t="shared" si="9"/>
        <v>0</v>
      </c>
      <c r="AF52" s="197">
        <f t="shared" si="35"/>
        <v>31.671056692434341</v>
      </c>
      <c r="AG52" s="197">
        <f t="shared" si="36"/>
        <v>60.617550398815709</v>
      </c>
      <c r="AH52" s="197">
        <f t="shared" si="37"/>
        <v>3.9065773613514025</v>
      </c>
      <c r="AI52" s="202">
        <f t="shared" si="38"/>
        <v>96.195184452601438</v>
      </c>
      <c r="AK52" s="71">
        <v>47</v>
      </c>
      <c r="AL52" s="33"/>
      <c r="AM52" s="33"/>
      <c r="AN52" s="33"/>
      <c r="AO52" s="33"/>
      <c r="AP52" s="33"/>
      <c r="AQ52" s="197"/>
      <c r="AR52" s="197"/>
      <c r="AS52" s="197"/>
      <c r="AT52" s="197"/>
      <c r="AU52" s="33"/>
      <c r="AV52" s="33"/>
      <c r="AW52" s="33"/>
      <c r="AX52" s="33"/>
      <c r="AY52" s="76"/>
    </row>
    <row r="53" spans="2:51">
      <c r="B53" s="40"/>
      <c r="C53" s="155"/>
      <c r="D53" s="140"/>
      <c r="E53" s="144"/>
      <c r="F53" s="42"/>
      <c r="G53" s="51"/>
      <c r="I53" s="55">
        <v>48</v>
      </c>
      <c r="J53" s="33">
        <f t="shared" si="18"/>
        <v>5</v>
      </c>
      <c r="K53" s="33">
        <f t="shared" si="19"/>
        <v>1.910565629709926</v>
      </c>
      <c r="L53" s="33">
        <f t="shared" si="20"/>
        <v>45</v>
      </c>
      <c r="M53" s="33">
        <f t="shared" si="21"/>
        <v>0</v>
      </c>
      <c r="N53" s="33">
        <f t="shared" si="0"/>
        <v>0</v>
      </c>
      <c r="O53" s="34">
        <f t="shared" si="1"/>
        <v>177.03590180507811</v>
      </c>
      <c r="P53" s="55">
        <v>48</v>
      </c>
      <c r="Q53" s="33">
        <f t="shared" si="41"/>
        <v>24.049999999999997</v>
      </c>
      <c r="R53" s="33">
        <f t="shared" si="22"/>
        <v>461.50000000000006</v>
      </c>
      <c r="S53" s="33">
        <f t="shared" si="23"/>
        <v>212.29000000000005</v>
      </c>
      <c r="T53" s="33">
        <f t="shared" si="2"/>
        <v>52.435691998503984</v>
      </c>
      <c r="U53" s="33">
        <f t="shared" si="16"/>
        <v>59.207236914273011</v>
      </c>
      <c r="V53" s="33">
        <f t="shared" si="3"/>
        <v>10</v>
      </c>
      <c r="W53" s="33">
        <v>0</v>
      </c>
      <c r="X53" s="33">
        <f t="shared" si="4"/>
        <v>714.82378224972888</v>
      </c>
      <c r="Y53" s="38">
        <f t="shared" si="5"/>
        <v>537.7878804446508</v>
      </c>
      <c r="AA53" s="71">
        <v>48</v>
      </c>
      <c r="AB53" s="33">
        <f t="shared" si="6"/>
        <v>0</v>
      </c>
      <c r="AC53" s="308">
        <f t="shared" si="40"/>
        <v>0</v>
      </c>
      <c r="AD53" s="101">
        <f t="shared" si="8"/>
        <v>0</v>
      </c>
      <c r="AE53" s="101">
        <f t="shared" si="9"/>
        <v>0</v>
      </c>
      <c r="AF53" s="197">
        <f t="shared" si="35"/>
        <v>31.050006588132849</v>
      </c>
      <c r="AG53" s="197">
        <f t="shared" si="36"/>
        <v>58.959960295421659</v>
      </c>
      <c r="AH53" s="197">
        <f t="shared" si="37"/>
        <v>2.7623673434414266</v>
      </c>
      <c r="AI53" s="202">
        <f t="shared" si="38"/>
        <v>92.772334226995937</v>
      </c>
      <c r="AK53" s="71">
        <v>48</v>
      </c>
      <c r="AL53" s="33"/>
      <c r="AM53" s="33"/>
      <c r="AN53" s="33"/>
      <c r="AO53" s="33"/>
      <c r="AP53" s="33"/>
      <c r="AQ53" s="197"/>
      <c r="AR53" s="197"/>
      <c r="AS53" s="197"/>
      <c r="AT53" s="197"/>
      <c r="AU53" s="33"/>
      <c r="AV53" s="33"/>
      <c r="AW53" s="33"/>
      <c r="AX53" s="33"/>
      <c r="AY53" s="76"/>
    </row>
    <row r="54" spans="2:51">
      <c r="B54" s="40"/>
      <c r="C54" s="155"/>
      <c r="D54" s="140"/>
      <c r="E54" s="144"/>
      <c r="F54" s="42"/>
      <c r="G54" s="51"/>
      <c r="I54" s="55">
        <v>49</v>
      </c>
      <c r="J54" s="33">
        <f t="shared" si="18"/>
        <v>5</v>
      </c>
      <c r="K54" s="33">
        <f t="shared" si="19"/>
        <v>1.910565629709926</v>
      </c>
      <c r="L54" s="33">
        <f t="shared" si="20"/>
        <v>45</v>
      </c>
      <c r="M54" s="33">
        <f t="shared" si="21"/>
        <v>0</v>
      </c>
      <c r="N54" s="33">
        <f t="shared" si="0"/>
        <v>0</v>
      </c>
      <c r="O54" s="34">
        <f t="shared" si="1"/>
        <v>177.03590180507811</v>
      </c>
      <c r="P54" s="55">
        <v>49</v>
      </c>
      <c r="Q54" s="33">
        <f t="shared" si="41"/>
        <v>24.049999999999997</v>
      </c>
      <c r="R54" s="33">
        <f t="shared" si="22"/>
        <v>485.55000000000007</v>
      </c>
      <c r="S54" s="33">
        <f t="shared" si="23"/>
        <v>223.35300000000004</v>
      </c>
      <c r="T54" s="33">
        <f t="shared" si="2"/>
        <v>54.843000917506586</v>
      </c>
      <c r="U54" s="33">
        <f t="shared" si="16"/>
        <v>59.394467224806895</v>
      </c>
      <c r="V54" s="33">
        <f t="shared" si="3"/>
        <v>10</v>
      </c>
      <c r="W54" s="33">
        <v>0</v>
      </c>
      <c r="X54" s="33">
        <f t="shared" si="4"/>
        <v>738.97108142228274</v>
      </c>
      <c r="Y54" s="38">
        <f t="shared" si="5"/>
        <v>561.93517961720465</v>
      </c>
      <c r="AA54" s="71">
        <v>49</v>
      </c>
      <c r="AB54" s="33">
        <f t="shared" si="6"/>
        <v>0</v>
      </c>
      <c r="AC54" s="308">
        <f t="shared" si="40"/>
        <v>0</v>
      </c>
      <c r="AD54" s="101">
        <f t="shared" si="8"/>
        <v>0</v>
      </c>
      <c r="AE54" s="101">
        <f t="shared" si="9"/>
        <v>0</v>
      </c>
      <c r="AF54" s="197">
        <f t="shared" si="35"/>
        <v>30.441134897573548</v>
      </c>
      <c r="AG54" s="197">
        <f t="shared" si="36"/>
        <v>57.347697080573795</v>
      </c>
      <c r="AH54" s="197">
        <f t="shared" si="37"/>
        <v>1.9532886806757015</v>
      </c>
      <c r="AI54" s="202">
        <f t="shared" si="38"/>
        <v>89.74212065882304</v>
      </c>
      <c r="AK54" s="71">
        <v>49</v>
      </c>
      <c r="AL54" s="33"/>
      <c r="AM54" s="33"/>
      <c r="AN54" s="33"/>
      <c r="AO54" s="33"/>
      <c r="AP54" s="33"/>
      <c r="AQ54" s="197"/>
      <c r="AR54" s="197"/>
      <c r="AS54" s="197"/>
      <c r="AT54" s="197"/>
      <c r="AU54" s="33"/>
      <c r="AV54" s="33"/>
      <c r="AW54" s="33"/>
      <c r="AX54" s="33"/>
      <c r="AY54" s="76"/>
    </row>
    <row r="55" spans="2:51">
      <c r="B55" s="40"/>
      <c r="C55" s="155"/>
      <c r="D55" s="140"/>
      <c r="E55" s="144"/>
      <c r="F55" s="42"/>
      <c r="G55" s="51"/>
      <c r="I55" s="55">
        <v>50</v>
      </c>
      <c r="J55" s="33">
        <f t="shared" si="18"/>
        <v>5</v>
      </c>
      <c r="K55" s="33">
        <f t="shared" si="19"/>
        <v>1.910565629709926</v>
      </c>
      <c r="L55" s="33">
        <f t="shared" si="20"/>
        <v>45</v>
      </c>
      <c r="M55" s="33">
        <f t="shared" si="21"/>
        <v>0</v>
      </c>
      <c r="N55" s="33">
        <f t="shared" si="0"/>
        <v>0</v>
      </c>
      <c r="O55" s="34">
        <f t="shared" si="1"/>
        <v>177.03590180507811</v>
      </c>
      <c r="P55" s="55">
        <v>50</v>
      </c>
      <c r="Q55" s="33">
        <f t="shared" si="41"/>
        <v>24.049999999999997</v>
      </c>
      <c r="R55" s="33">
        <f t="shared" si="22"/>
        <v>509.60000000000008</v>
      </c>
      <c r="S55" s="33">
        <f t="shared" si="23"/>
        <v>234.41600000000005</v>
      </c>
      <c r="T55" s="33">
        <f t="shared" si="2"/>
        <v>57.236464545088474</v>
      </c>
      <c r="U55" s="33">
        <f t="shared" si="16"/>
        <v>59.578449508037295</v>
      </c>
      <c r="V55" s="33">
        <f t="shared" si="3"/>
        <v>10</v>
      </c>
      <c r="W55" s="33">
        <v>0</v>
      </c>
      <c r="X55" s="33">
        <f t="shared" si="4"/>
        <v>763.08235727883266</v>
      </c>
      <c r="Y55" s="38">
        <f t="shared" si="5"/>
        <v>586.04645547375458</v>
      </c>
      <c r="AA55" s="71">
        <v>50</v>
      </c>
      <c r="AB55" s="33">
        <f t="shared" si="6"/>
        <v>392</v>
      </c>
      <c r="AC55" s="308">
        <f t="shared" si="40"/>
        <v>0.47499999999999998</v>
      </c>
      <c r="AD55" s="101">
        <f t="shared" si="8"/>
        <v>2.8000000000000028E-2</v>
      </c>
      <c r="AE55" s="101">
        <f t="shared" si="9"/>
        <v>2.200000000000002E-2</v>
      </c>
      <c r="AF55" s="197">
        <f t="shared" si="35"/>
        <v>177.55397116799082</v>
      </c>
      <c r="AG55" s="197">
        <f t="shared" si="36"/>
        <v>64.452340244167232</v>
      </c>
      <c r="AH55" s="197">
        <f t="shared" si="37"/>
        <v>7.2202777293739269</v>
      </c>
      <c r="AI55" s="202">
        <f t="shared" si="38"/>
        <v>249.22658914153197</v>
      </c>
      <c r="AK55" s="71">
        <v>50</v>
      </c>
      <c r="AL55" s="33"/>
      <c r="AM55" s="33"/>
      <c r="AN55" s="33"/>
      <c r="AO55" s="33"/>
      <c r="AP55" s="33"/>
      <c r="AQ55" s="197"/>
      <c r="AR55" s="197"/>
      <c r="AS55" s="197"/>
      <c r="AT55" s="197"/>
      <c r="AU55" s="33"/>
      <c r="AV55" s="33"/>
      <c r="AW55" s="33"/>
      <c r="AX55" s="33"/>
      <c r="AY55" s="76"/>
    </row>
    <row r="56" spans="2:51">
      <c r="B56" s="40"/>
      <c r="C56" s="155"/>
      <c r="D56" s="140"/>
      <c r="E56" s="144"/>
      <c r="F56" s="42"/>
      <c r="G56" s="51"/>
      <c r="I56" s="55">
        <v>51</v>
      </c>
      <c r="J56" s="33">
        <f t="shared" si="18"/>
        <v>0</v>
      </c>
      <c r="K56" s="33">
        <f t="shared" si="19"/>
        <v>0</v>
      </c>
      <c r="L56" s="33">
        <f t="shared" si="20"/>
        <v>0</v>
      </c>
      <c r="M56" s="33">
        <f t="shared" si="21"/>
        <v>0</v>
      </c>
      <c r="N56" s="33">
        <f t="shared" si="0"/>
        <v>0</v>
      </c>
      <c r="O56" s="34">
        <f t="shared" si="1"/>
        <v>0</v>
      </c>
      <c r="P56" s="55">
        <v>51</v>
      </c>
      <c r="Q56" s="33">
        <f t="shared" si="41"/>
        <v>0</v>
      </c>
      <c r="R56" s="33">
        <f t="shared" si="22"/>
        <v>0</v>
      </c>
      <c r="S56" s="33">
        <f t="shared" si="23"/>
        <v>0</v>
      </c>
      <c r="T56" s="33">
        <f t="shared" si="2"/>
        <v>0</v>
      </c>
      <c r="U56" s="33">
        <f t="shared" si="16"/>
        <v>0</v>
      </c>
      <c r="V56" s="33">
        <f t="shared" si="3"/>
        <v>0</v>
      </c>
      <c r="W56" s="33">
        <v>0</v>
      </c>
      <c r="X56" s="33">
        <f t="shared" si="4"/>
        <v>0</v>
      </c>
      <c r="Y56" s="38">
        <f t="shared" si="5"/>
        <v>0</v>
      </c>
      <c r="AA56" s="71">
        <v>51</v>
      </c>
      <c r="AB56" s="33">
        <f t="shared" si="6"/>
        <v>0</v>
      </c>
      <c r="AC56" s="308">
        <f t="shared" si="40"/>
        <v>0</v>
      </c>
      <c r="AD56" s="101">
        <f t="shared" si="8"/>
        <v>0</v>
      </c>
      <c r="AE56" s="101">
        <f t="shared" si="9"/>
        <v>0</v>
      </c>
      <c r="AF56" s="197">
        <f t="shared" si="35"/>
        <v>0</v>
      </c>
      <c r="AG56" s="197">
        <f t="shared" si="36"/>
        <v>0</v>
      </c>
      <c r="AH56" s="197">
        <f t="shared" si="37"/>
        <v>0</v>
      </c>
      <c r="AI56" s="202">
        <f t="shared" si="38"/>
        <v>0</v>
      </c>
      <c r="AK56" s="71">
        <v>51</v>
      </c>
      <c r="AL56" s="33"/>
      <c r="AM56" s="33"/>
      <c r="AN56" s="33"/>
      <c r="AO56" s="33"/>
      <c r="AP56" s="33"/>
      <c r="AQ56" s="197"/>
      <c r="AR56" s="197"/>
      <c r="AS56" s="197"/>
      <c r="AT56" s="197"/>
      <c r="AU56" s="33"/>
      <c r="AV56" s="33"/>
      <c r="AW56" s="33"/>
      <c r="AX56" s="33"/>
      <c r="AY56" s="76"/>
    </row>
    <row r="57" spans="2:51">
      <c r="B57" s="40"/>
      <c r="C57" s="155"/>
      <c r="D57" s="140"/>
      <c r="E57" s="144"/>
      <c r="F57" s="42"/>
      <c r="G57" s="51"/>
      <c r="I57" s="55">
        <v>52</v>
      </c>
      <c r="J57" s="33">
        <f t="shared" si="18"/>
        <v>0</v>
      </c>
      <c r="K57" s="33">
        <f t="shared" si="19"/>
        <v>0</v>
      </c>
      <c r="L57" s="33">
        <f t="shared" si="20"/>
        <v>0</v>
      </c>
      <c r="M57" s="33">
        <f t="shared" si="21"/>
        <v>0</v>
      </c>
      <c r="N57" s="33">
        <f t="shared" si="0"/>
        <v>0</v>
      </c>
      <c r="O57" s="34">
        <f t="shared" si="1"/>
        <v>0</v>
      </c>
      <c r="P57" s="55">
        <v>52</v>
      </c>
      <c r="Q57" s="33">
        <f t="shared" si="41"/>
        <v>0</v>
      </c>
      <c r="R57" s="33">
        <f t="shared" si="22"/>
        <v>0</v>
      </c>
      <c r="S57" s="33">
        <f t="shared" si="23"/>
        <v>0</v>
      </c>
      <c r="T57" s="33">
        <f t="shared" si="2"/>
        <v>0</v>
      </c>
      <c r="U57" s="33">
        <f t="shared" si="16"/>
        <v>0</v>
      </c>
      <c r="V57" s="33">
        <f t="shared" si="3"/>
        <v>0</v>
      </c>
      <c r="W57" s="33">
        <v>0</v>
      </c>
      <c r="X57" s="33">
        <f t="shared" si="4"/>
        <v>0</v>
      </c>
      <c r="Y57" s="38">
        <f t="shared" si="5"/>
        <v>0</v>
      </c>
      <c r="AA57" s="71">
        <v>52</v>
      </c>
      <c r="AB57" s="33">
        <f t="shared" si="6"/>
        <v>0</v>
      </c>
      <c r="AC57" s="308">
        <f t="shared" si="40"/>
        <v>0</v>
      </c>
      <c r="AD57" s="101">
        <f t="shared" si="8"/>
        <v>0</v>
      </c>
      <c r="AE57" s="101">
        <f t="shared" si="9"/>
        <v>0</v>
      </c>
      <c r="AF57" s="197">
        <f t="shared" si="35"/>
        <v>0</v>
      </c>
      <c r="AG57" s="197">
        <f t="shared" si="36"/>
        <v>0</v>
      </c>
      <c r="AH57" s="197">
        <f t="shared" si="37"/>
        <v>0</v>
      </c>
      <c r="AI57" s="202">
        <f t="shared" si="38"/>
        <v>0</v>
      </c>
      <c r="AK57" s="71">
        <v>52</v>
      </c>
      <c r="AL57" s="33"/>
      <c r="AM57" s="33"/>
      <c r="AN57" s="33"/>
      <c r="AO57" s="33"/>
      <c r="AP57" s="33"/>
      <c r="AQ57" s="197"/>
      <c r="AR57" s="197"/>
      <c r="AS57" s="197"/>
      <c r="AT57" s="197"/>
      <c r="AU57" s="33"/>
      <c r="AV57" s="33"/>
      <c r="AW57" s="33"/>
      <c r="AX57" s="33"/>
      <c r="AY57" s="76"/>
    </row>
    <row r="58" spans="2:51">
      <c r="B58" s="40"/>
      <c r="C58" s="155"/>
      <c r="D58" s="140"/>
      <c r="E58" s="144"/>
      <c r="F58" s="42"/>
      <c r="G58" s="51"/>
      <c r="I58" s="55">
        <v>53</v>
      </c>
      <c r="J58" s="33">
        <f t="shared" si="18"/>
        <v>0</v>
      </c>
      <c r="K58" s="33">
        <f t="shared" si="19"/>
        <v>0</v>
      </c>
      <c r="L58" s="33">
        <f t="shared" si="20"/>
        <v>0</v>
      </c>
      <c r="M58" s="33">
        <f t="shared" si="21"/>
        <v>0</v>
      </c>
      <c r="N58" s="33">
        <f t="shared" si="0"/>
        <v>0</v>
      </c>
      <c r="O58" s="34">
        <f t="shared" si="1"/>
        <v>0</v>
      </c>
      <c r="P58" s="55">
        <v>53</v>
      </c>
      <c r="Q58" s="33">
        <f t="shared" si="41"/>
        <v>0</v>
      </c>
      <c r="R58" s="33">
        <f t="shared" si="22"/>
        <v>0</v>
      </c>
      <c r="S58" s="33">
        <f t="shared" si="23"/>
        <v>0</v>
      </c>
      <c r="T58" s="33">
        <f t="shared" si="2"/>
        <v>0</v>
      </c>
      <c r="U58" s="33">
        <f t="shared" si="16"/>
        <v>0</v>
      </c>
      <c r="V58" s="33">
        <f t="shared" si="3"/>
        <v>0</v>
      </c>
      <c r="W58" s="33">
        <v>0</v>
      </c>
      <c r="X58" s="33">
        <f t="shared" si="4"/>
        <v>0</v>
      </c>
      <c r="Y58" s="38">
        <f t="shared" si="5"/>
        <v>0</v>
      </c>
      <c r="AA58" s="71">
        <v>53</v>
      </c>
      <c r="AB58" s="33">
        <f t="shared" si="6"/>
        <v>0</v>
      </c>
      <c r="AC58" s="308">
        <f t="shared" si="40"/>
        <v>0</v>
      </c>
      <c r="AD58" s="101">
        <f t="shared" si="8"/>
        <v>0</v>
      </c>
      <c r="AE58" s="101">
        <f t="shared" si="9"/>
        <v>0</v>
      </c>
      <c r="AF58" s="197">
        <f t="shared" si="35"/>
        <v>0</v>
      </c>
      <c r="AG58" s="197">
        <f t="shared" si="36"/>
        <v>0</v>
      </c>
      <c r="AH58" s="197">
        <f t="shared" si="37"/>
        <v>0</v>
      </c>
      <c r="AI58" s="202">
        <f t="shared" si="38"/>
        <v>0</v>
      </c>
      <c r="AK58" s="71">
        <v>53</v>
      </c>
      <c r="AL58" s="33"/>
      <c r="AM58" s="33"/>
      <c r="AN58" s="33"/>
      <c r="AO58" s="33"/>
      <c r="AP58" s="33"/>
      <c r="AQ58" s="197"/>
      <c r="AR58" s="197"/>
      <c r="AS58" s="197"/>
      <c r="AT58" s="197"/>
      <c r="AU58" s="33"/>
      <c r="AV58" s="33"/>
      <c r="AW58" s="33"/>
      <c r="AX58" s="33"/>
      <c r="AY58" s="76"/>
    </row>
    <row r="59" spans="2:51">
      <c r="B59" s="40"/>
      <c r="C59" s="155"/>
      <c r="D59" s="140"/>
      <c r="E59" s="144"/>
      <c r="F59" s="42"/>
      <c r="G59" s="51"/>
      <c r="I59" s="55">
        <v>54</v>
      </c>
      <c r="J59" s="33">
        <f t="shared" si="18"/>
        <v>0</v>
      </c>
      <c r="K59" s="33">
        <f t="shared" si="19"/>
        <v>0</v>
      </c>
      <c r="L59" s="33">
        <f t="shared" si="20"/>
        <v>0</v>
      </c>
      <c r="M59" s="33">
        <f t="shared" si="21"/>
        <v>0</v>
      </c>
      <c r="N59" s="33">
        <f t="shared" si="0"/>
        <v>0</v>
      </c>
      <c r="O59" s="34">
        <f t="shared" si="1"/>
        <v>0</v>
      </c>
      <c r="P59" s="55">
        <v>54</v>
      </c>
      <c r="Q59" s="33">
        <f t="shared" si="41"/>
        <v>0</v>
      </c>
      <c r="R59" s="33">
        <f t="shared" si="22"/>
        <v>0</v>
      </c>
      <c r="S59" s="33">
        <f t="shared" si="23"/>
        <v>0</v>
      </c>
      <c r="T59" s="33">
        <f t="shared" si="2"/>
        <v>0</v>
      </c>
      <c r="U59" s="33">
        <f t="shared" si="16"/>
        <v>0</v>
      </c>
      <c r="V59" s="33">
        <f t="shared" si="3"/>
        <v>0</v>
      </c>
      <c r="W59" s="33">
        <v>0</v>
      </c>
      <c r="X59" s="33">
        <f t="shared" si="4"/>
        <v>0</v>
      </c>
      <c r="Y59" s="38">
        <f t="shared" si="5"/>
        <v>0</v>
      </c>
      <c r="AA59" s="71">
        <v>54</v>
      </c>
      <c r="AB59" s="33">
        <f t="shared" si="6"/>
        <v>0</v>
      </c>
      <c r="AC59" s="308">
        <f t="shared" si="40"/>
        <v>0</v>
      </c>
      <c r="AD59" s="101">
        <f t="shared" si="8"/>
        <v>0</v>
      </c>
      <c r="AE59" s="101">
        <f t="shared" si="9"/>
        <v>0</v>
      </c>
      <c r="AF59" s="197">
        <f t="shared" si="35"/>
        <v>0</v>
      </c>
      <c r="AG59" s="197">
        <f t="shared" si="36"/>
        <v>0</v>
      </c>
      <c r="AH59" s="197">
        <f t="shared" si="37"/>
        <v>0</v>
      </c>
      <c r="AI59" s="202">
        <f t="shared" si="38"/>
        <v>0</v>
      </c>
      <c r="AK59" s="71">
        <v>54</v>
      </c>
      <c r="AL59" s="33"/>
      <c r="AM59" s="33"/>
      <c r="AN59" s="33"/>
      <c r="AO59" s="33"/>
      <c r="AP59" s="33"/>
      <c r="AQ59" s="197"/>
      <c r="AR59" s="197"/>
      <c r="AS59" s="197"/>
      <c r="AT59" s="197"/>
      <c r="AU59" s="33"/>
      <c r="AV59" s="33"/>
      <c r="AW59" s="33"/>
      <c r="AX59" s="33"/>
      <c r="AY59" s="76"/>
    </row>
    <row r="60" spans="2:51">
      <c r="B60" s="40"/>
      <c r="C60" s="155"/>
      <c r="D60" s="140"/>
      <c r="E60" s="144"/>
      <c r="F60" s="42"/>
      <c r="G60" s="51"/>
      <c r="I60" s="55">
        <v>55</v>
      </c>
      <c r="J60" s="33">
        <f t="shared" si="18"/>
        <v>0</v>
      </c>
      <c r="K60" s="33">
        <f t="shared" si="19"/>
        <v>0</v>
      </c>
      <c r="L60" s="33">
        <f t="shared" si="20"/>
        <v>0</v>
      </c>
      <c r="M60" s="33">
        <f t="shared" si="21"/>
        <v>0</v>
      </c>
      <c r="N60" s="33">
        <f t="shared" si="0"/>
        <v>0</v>
      </c>
      <c r="O60" s="34">
        <f t="shared" si="1"/>
        <v>0</v>
      </c>
      <c r="P60" s="55">
        <v>55</v>
      </c>
      <c r="Q60" s="33">
        <f t="shared" si="41"/>
        <v>0</v>
      </c>
      <c r="R60" s="33">
        <f t="shared" si="22"/>
        <v>0</v>
      </c>
      <c r="S60" s="33">
        <f t="shared" si="23"/>
        <v>0</v>
      </c>
      <c r="T60" s="33">
        <f t="shared" si="2"/>
        <v>0</v>
      </c>
      <c r="U60" s="33">
        <f t="shared" si="16"/>
        <v>0</v>
      </c>
      <c r="V60" s="33">
        <f t="shared" si="3"/>
        <v>0</v>
      </c>
      <c r="W60" s="33">
        <v>0</v>
      </c>
      <c r="X60" s="33">
        <f t="shared" si="4"/>
        <v>0</v>
      </c>
      <c r="Y60" s="38">
        <f t="shared" si="5"/>
        <v>0</v>
      </c>
      <c r="AA60" s="71">
        <v>55</v>
      </c>
      <c r="AB60" s="33">
        <f t="shared" si="6"/>
        <v>0</v>
      </c>
      <c r="AC60" s="308">
        <f t="shared" si="40"/>
        <v>0</v>
      </c>
      <c r="AD60" s="101">
        <f t="shared" si="8"/>
        <v>0</v>
      </c>
      <c r="AE60" s="101">
        <f t="shared" si="9"/>
        <v>0</v>
      </c>
      <c r="AF60" s="197">
        <f t="shared" si="35"/>
        <v>0</v>
      </c>
      <c r="AG60" s="197">
        <f t="shared" si="36"/>
        <v>0</v>
      </c>
      <c r="AH60" s="197">
        <f t="shared" si="37"/>
        <v>0</v>
      </c>
      <c r="AI60" s="202">
        <f t="shared" si="38"/>
        <v>0</v>
      </c>
      <c r="AK60" s="71">
        <v>55</v>
      </c>
      <c r="AL60" s="33"/>
      <c r="AM60" s="33"/>
      <c r="AN60" s="33"/>
      <c r="AO60" s="33"/>
      <c r="AP60" s="33"/>
      <c r="AQ60" s="197"/>
      <c r="AR60" s="197"/>
      <c r="AS60" s="197"/>
      <c r="AT60" s="197"/>
      <c r="AU60" s="33"/>
      <c r="AV60" s="33"/>
      <c r="AW60" s="33"/>
      <c r="AX60" s="33"/>
      <c r="AY60" s="76"/>
    </row>
    <row r="61" spans="2:51">
      <c r="B61" s="40"/>
      <c r="C61" s="155"/>
      <c r="D61" s="140"/>
      <c r="E61" s="144"/>
      <c r="F61" s="42"/>
      <c r="G61" s="51"/>
      <c r="I61" s="55">
        <v>56</v>
      </c>
      <c r="J61" s="33">
        <f t="shared" si="18"/>
        <v>0</v>
      </c>
      <c r="K61" s="33">
        <f t="shared" si="19"/>
        <v>0</v>
      </c>
      <c r="L61" s="33">
        <f t="shared" si="20"/>
        <v>0</v>
      </c>
      <c r="M61" s="33">
        <f t="shared" si="21"/>
        <v>0</v>
      </c>
      <c r="N61" s="33">
        <f t="shared" si="0"/>
        <v>0</v>
      </c>
      <c r="O61" s="34">
        <f t="shared" si="1"/>
        <v>0</v>
      </c>
      <c r="P61" s="55">
        <v>56</v>
      </c>
      <c r="Q61" s="33">
        <f t="shared" si="41"/>
        <v>0</v>
      </c>
      <c r="R61" s="33">
        <f t="shared" si="22"/>
        <v>0</v>
      </c>
      <c r="S61" s="33">
        <f t="shared" si="23"/>
        <v>0</v>
      </c>
      <c r="T61" s="33">
        <f t="shared" si="2"/>
        <v>0</v>
      </c>
      <c r="U61" s="33">
        <f t="shared" si="16"/>
        <v>0</v>
      </c>
      <c r="V61" s="33">
        <f t="shared" si="3"/>
        <v>0</v>
      </c>
      <c r="W61" s="33">
        <v>0</v>
      </c>
      <c r="X61" s="33">
        <f t="shared" si="4"/>
        <v>0</v>
      </c>
      <c r="Y61" s="38">
        <f t="shared" si="5"/>
        <v>0</v>
      </c>
      <c r="AA61" s="71">
        <v>56</v>
      </c>
      <c r="AB61" s="33">
        <f t="shared" si="6"/>
        <v>0</v>
      </c>
      <c r="AC61" s="308">
        <f t="shared" si="40"/>
        <v>0</v>
      </c>
      <c r="AD61" s="101">
        <f t="shared" si="8"/>
        <v>0</v>
      </c>
      <c r="AE61" s="101">
        <f t="shared" si="9"/>
        <v>0</v>
      </c>
      <c r="AF61" s="197">
        <f t="shared" si="35"/>
        <v>0</v>
      </c>
      <c r="AG61" s="197">
        <f t="shared" si="36"/>
        <v>0</v>
      </c>
      <c r="AH61" s="197">
        <f t="shared" si="37"/>
        <v>0</v>
      </c>
      <c r="AI61" s="202">
        <f t="shared" si="38"/>
        <v>0</v>
      </c>
      <c r="AK61" s="71">
        <v>56</v>
      </c>
      <c r="AL61" s="33"/>
      <c r="AM61" s="33"/>
      <c r="AN61" s="33"/>
      <c r="AO61" s="33"/>
      <c r="AP61" s="33"/>
      <c r="AQ61" s="197"/>
      <c r="AR61" s="197"/>
      <c r="AS61" s="197"/>
      <c r="AT61" s="197"/>
      <c r="AU61" s="33"/>
      <c r="AV61" s="33"/>
      <c r="AW61" s="33"/>
      <c r="AX61" s="33"/>
      <c r="AY61" s="76"/>
    </row>
    <row r="62" spans="2:51">
      <c r="B62" s="40"/>
      <c r="C62" s="155"/>
      <c r="D62" s="140"/>
      <c r="E62" s="144"/>
      <c r="F62" s="42"/>
      <c r="G62" s="51"/>
      <c r="I62" s="55">
        <v>57</v>
      </c>
      <c r="J62" s="33">
        <f t="shared" si="18"/>
        <v>0</v>
      </c>
      <c r="K62" s="33">
        <f t="shared" si="19"/>
        <v>0</v>
      </c>
      <c r="L62" s="33">
        <f t="shared" si="20"/>
        <v>0</v>
      </c>
      <c r="M62" s="33">
        <f t="shared" si="21"/>
        <v>0</v>
      </c>
      <c r="N62" s="33">
        <f t="shared" si="0"/>
        <v>0</v>
      </c>
      <c r="O62" s="34">
        <f t="shared" si="1"/>
        <v>0</v>
      </c>
      <c r="P62" s="55">
        <v>57</v>
      </c>
      <c r="Q62" s="33">
        <f t="shared" si="41"/>
        <v>0</v>
      </c>
      <c r="R62" s="33">
        <f t="shared" si="22"/>
        <v>0</v>
      </c>
      <c r="S62" s="33">
        <f t="shared" si="23"/>
        <v>0</v>
      </c>
      <c r="T62" s="33">
        <f t="shared" si="2"/>
        <v>0</v>
      </c>
      <c r="U62" s="33">
        <f t="shared" si="16"/>
        <v>0</v>
      </c>
      <c r="V62" s="33">
        <f t="shared" si="3"/>
        <v>0</v>
      </c>
      <c r="W62" s="33">
        <v>0</v>
      </c>
      <c r="X62" s="33">
        <f t="shared" si="4"/>
        <v>0</v>
      </c>
      <c r="Y62" s="38">
        <f t="shared" si="5"/>
        <v>0</v>
      </c>
      <c r="AA62" s="71">
        <v>57</v>
      </c>
      <c r="AB62" s="33">
        <f t="shared" si="6"/>
        <v>0</v>
      </c>
      <c r="AC62" s="308">
        <f t="shared" si="40"/>
        <v>0</v>
      </c>
      <c r="AD62" s="101">
        <f t="shared" si="8"/>
        <v>0</v>
      </c>
      <c r="AE62" s="101">
        <f t="shared" si="9"/>
        <v>0</v>
      </c>
      <c r="AF62" s="197">
        <f t="shared" si="35"/>
        <v>0</v>
      </c>
      <c r="AG62" s="197">
        <f t="shared" si="36"/>
        <v>0</v>
      </c>
      <c r="AH62" s="197">
        <f t="shared" si="37"/>
        <v>0</v>
      </c>
      <c r="AI62" s="202">
        <f t="shared" si="38"/>
        <v>0</v>
      </c>
      <c r="AK62" s="71">
        <v>57</v>
      </c>
      <c r="AL62" s="33"/>
      <c r="AM62" s="33"/>
      <c r="AN62" s="33"/>
      <c r="AO62" s="33"/>
      <c r="AP62" s="33"/>
      <c r="AQ62" s="197"/>
      <c r="AR62" s="197"/>
      <c r="AS62" s="197"/>
      <c r="AT62" s="197"/>
      <c r="AU62" s="33"/>
      <c r="AV62" s="33"/>
      <c r="AW62" s="33"/>
      <c r="AX62" s="33"/>
      <c r="AY62" s="76"/>
    </row>
    <row r="63" spans="2:51">
      <c r="B63" s="40"/>
      <c r="C63" s="155"/>
      <c r="D63" s="140"/>
      <c r="E63" s="144"/>
      <c r="F63" s="42"/>
      <c r="G63" s="51"/>
      <c r="I63" s="55">
        <v>58</v>
      </c>
      <c r="J63" s="33">
        <f t="shared" si="18"/>
        <v>0</v>
      </c>
      <c r="K63" s="33">
        <f t="shared" si="19"/>
        <v>0</v>
      </c>
      <c r="L63" s="33">
        <f t="shared" si="20"/>
        <v>0</v>
      </c>
      <c r="M63" s="33">
        <f t="shared" si="21"/>
        <v>0</v>
      </c>
      <c r="N63" s="33">
        <f t="shared" si="0"/>
        <v>0</v>
      </c>
      <c r="O63" s="34">
        <f t="shared" si="1"/>
        <v>0</v>
      </c>
      <c r="P63" s="55">
        <v>58</v>
      </c>
      <c r="Q63" s="33">
        <f t="shared" si="41"/>
        <v>0</v>
      </c>
      <c r="R63" s="33">
        <f t="shared" si="22"/>
        <v>0</v>
      </c>
      <c r="S63" s="33">
        <f t="shared" si="23"/>
        <v>0</v>
      </c>
      <c r="T63" s="33">
        <f t="shared" si="2"/>
        <v>0</v>
      </c>
      <c r="U63" s="33">
        <f t="shared" si="16"/>
        <v>0</v>
      </c>
      <c r="V63" s="33">
        <f t="shared" si="3"/>
        <v>0</v>
      </c>
      <c r="W63" s="33">
        <v>0</v>
      </c>
      <c r="X63" s="33">
        <f t="shared" si="4"/>
        <v>0</v>
      </c>
      <c r="Y63" s="38">
        <f t="shared" si="5"/>
        <v>0</v>
      </c>
      <c r="AA63" s="71">
        <v>58</v>
      </c>
      <c r="AB63" s="33">
        <f t="shared" si="6"/>
        <v>0</v>
      </c>
      <c r="AC63" s="308">
        <f t="shared" si="40"/>
        <v>0</v>
      </c>
      <c r="AD63" s="101">
        <f t="shared" si="8"/>
        <v>0</v>
      </c>
      <c r="AE63" s="101">
        <f t="shared" si="9"/>
        <v>0</v>
      </c>
      <c r="AF63" s="197">
        <f t="shared" si="35"/>
        <v>0</v>
      </c>
      <c r="AG63" s="197">
        <f t="shared" si="36"/>
        <v>0</v>
      </c>
      <c r="AH63" s="197">
        <f t="shared" si="37"/>
        <v>0</v>
      </c>
      <c r="AI63" s="202">
        <f t="shared" si="38"/>
        <v>0</v>
      </c>
      <c r="AK63" s="71">
        <v>58</v>
      </c>
      <c r="AL63" s="33"/>
      <c r="AM63" s="33"/>
      <c r="AN63" s="33"/>
      <c r="AO63" s="33"/>
      <c r="AP63" s="33"/>
      <c r="AQ63" s="197"/>
      <c r="AR63" s="197"/>
      <c r="AS63" s="197"/>
      <c r="AT63" s="197"/>
      <c r="AU63" s="33"/>
      <c r="AV63" s="33"/>
      <c r="AW63" s="33"/>
      <c r="AX63" s="33"/>
      <c r="AY63" s="76"/>
    </row>
    <row r="64" spans="2:51">
      <c r="B64" s="40"/>
      <c r="C64" s="155"/>
      <c r="D64" s="140"/>
      <c r="E64" s="144"/>
      <c r="F64" s="42"/>
      <c r="G64" s="51"/>
      <c r="I64" s="55">
        <v>59</v>
      </c>
      <c r="J64" s="33">
        <f t="shared" si="18"/>
        <v>0</v>
      </c>
      <c r="K64" s="33">
        <f t="shared" si="19"/>
        <v>0</v>
      </c>
      <c r="L64" s="33">
        <f t="shared" si="20"/>
        <v>0</v>
      </c>
      <c r="M64" s="33">
        <f t="shared" si="21"/>
        <v>0</v>
      </c>
      <c r="N64" s="33">
        <f t="shared" si="0"/>
        <v>0</v>
      </c>
      <c r="O64" s="34">
        <f t="shared" si="1"/>
        <v>0</v>
      </c>
      <c r="P64" s="55">
        <v>59</v>
      </c>
      <c r="Q64" s="33">
        <f t="shared" si="41"/>
        <v>0</v>
      </c>
      <c r="R64" s="33">
        <f t="shared" si="22"/>
        <v>0</v>
      </c>
      <c r="S64" s="33">
        <f t="shared" si="23"/>
        <v>0</v>
      </c>
      <c r="T64" s="33">
        <f t="shared" si="2"/>
        <v>0</v>
      </c>
      <c r="U64" s="33">
        <f t="shared" si="16"/>
        <v>0</v>
      </c>
      <c r="V64" s="33">
        <f t="shared" si="3"/>
        <v>0</v>
      </c>
      <c r="W64" s="33">
        <v>0</v>
      </c>
      <c r="X64" s="33">
        <f t="shared" si="4"/>
        <v>0</v>
      </c>
      <c r="Y64" s="38">
        <f t="shared" si="5"/>
        <v>0</v>
      </c>
      <c r="AA64" s="71">
        <v>59</v>
      </c>
      <c r="AB64" s="33">
        <f t="shared" si="6"/>
        <v>0</v>
      </c>
      <c r="AC64" s="308">
        <f t="shared" si="40"/>
        <v>0</v>
      </c>
      <c r="AD64" s="101">
        <f t="shared" si="8"/>
        <v>0</v>
      </c>
      <c r="AE64" s="101">
        <f t="shared" si="9"/>
        <v>0</v>
      </c>
      <c r="AF64" s="197">
        <f t="shared" si="35"/>
        <v>0</v>
      </c>
      <c r="AG64" s="197">
        <f t="shared" si="36"/>
        <v>0</v>
      </c>
      <c r="AH64" s="197">
        <f t="shared" si="37"/>
        <v>0</v>
      </c>
      <c r="AI64" s="202">
        <f t="shared" si="38"/>
        <v>0</v>
      </c>
      <c r="AK64" s="71">
        <v>59</v>
      </c>
      <c r="AL64" s="33"/>
      <c r="AM64" s="33"/>
      <c r="AN64" s="33"/>
      <c r="AO64" s="33"/>
      <c r="AP64" s="33"/>
      <c r="AQ64" s="197"/>
      <c r="AR64" s="197"/>
      <c r="AS64" s="197"/>
      <c r="AT64" s="197"/>
      <c r="AU64" s="33"/>
      <c r="AV64" s="33"/>
      <c r="AW64" s="33"/>
      <c r="AX64" s="33"/>
      <c r="AY64" s="76"/>
    </row>
    <row r="65" spans="2:51">
      <c r="B65" s="40"/>
      <c r="C65" s="155"/>
      <c r="D65" s="140"/>
      <c r="E65" s="144"/>
      <c r="F65" s="42"/>
      <c r="G65" s="51"/>
      <c r="I65" s="55">
        <v>60</v>
      </c>
      <c r="J65" s="33">
        <f t="shared" si="18"/>
        <v>0</v>
      </c>
      <c r="K65" s="33">
        <f t="shared" si="19"/>
        <v>0</v>
      </c>
      <c r="L65" s="33">
        <f t="shared" si="20"/>
        <v>0</v>
      </c>
      <c r="M65" s="33">
        <f t="shared" si="21"/>
        <v>0</v>
      </c>
      <c r="N65" s="33">
        <f t="shared" si="0"/>
        <v>0</v>
      </c>
      <c r="O65" s="34">
        <f t="shared" si="1"/>
        <v>0</v>
      </c>
      <c r="P65" s="55">
        <v>60</v>
      </c>
      <c r="Q65" s="33">
        <f t="shared" si="41"/>
        <v>0</v>
      </c>
      <c r="R65" s="33">
        <f t="shared" si="22"/>
        <v>0</v>
      </c>
      <c r="S65" s="33">
        <f t="shared" si="23"/>
        <v>0</v>
      </c>
      <c r="T65" s="33">
        <f t="shared" si="2"/>
        <v>0</v>
      </c>
      <c r="U65" s="33">
        <f t="shared" si="16"/>
        <v>0</v>
      </c>
      <c r="V65" s="33">
        <f t="shared" si="3"/>
        <v>0</v>
      </c>
      <c r="W65" s="33">
        <v>0</v>
      </c>
      <c r="X65" s="33">
        <f t="shared" si="4"/>
        <v>0</v>
      </c>
      <c r="Y65" s="38">
        <f t="shared" si="5"/>
        <v>0</v>
      </c>
      <c r="AA65" s="71">
        <v>60</v>
      </c>
      <c r="AB65" s="33">
        <f t="shared" si="6"/>
        <v>0</v>
      </c>
      <c r="AC65" s="308">
        <f t="shared" si="40"/>
        <v>0</v>
      </c>
      <c r="AD65" s="101">
        <f t="shared" si="8"/>
        <v>0</v>
      </c>
      <c r="AE65" s="101">
        <f t="shared" si="9"/>
        <v>0</v>
      </c>
      <c r="AF65" s="197">
        <f t="shared" si="35"/>
        <v>0</v>
      </c>
      <c r="AG65" s="197">
        <f t="shared" si="36"/>
        <v>0</v>
      </c>
      <c r="AH65" s="197">
        <f t="shared" si="37"/>
        <v>0</v>
      </c>
      <c r="AI65" s="202">
        <f t="shared" si="38"/>
        <v>0</v>
      </c>
      <c r="AK65" s="71">
        <v>60</v>
      </c>
      <c r="AL65" s="33"/>
      <c r="AM65" s="33"/>
      <c r="AN65" s="33"/>
      <c r="AO65" s="33"/>
      <c r="AP65" s="33"/>
      <c r="AQ65" s="197"/>
      <c r="AR65" s="197"/>
      <c r="AS65" s="197"/>
      <c r="AT65" s="197"/>
      <c r="AU65" s="33"/>
      <c r="AV65" s="33"/>
      <c r="AW65" s="33"/>
      <c r="AX65" s="33"/>
      <c r="AY65" s="76"/>
    </row>
    <row r="66" spans="2:51">
      <c r="B66" s="40"/>
      <c r="C66" s="155"/>
      <c r="D66" s="140"/>
      <c r="E66" s="144"/>
      <c r="F66" s="42"/>
      <c r="G66" s="51"/>
      <c r="I66" s="55">
        <v>61</v>
      </c>
      <c r="J66" s="33">
        <f t="shared" si="18"/>
        <v>0</v>
      </c>
      <c r="K66" s="33">
        <f t="shared" si="19"/>
        <v>0</v>
      </c>
      <c r="L66" s="33">
        <f t="shared" si="20"/>
        <v>0</v>
      </c>
      <c r="M66" s="33">
        <f t="shared" si="21"/>
        <v>0</v>
      </c>
      <c r="N66" s="33">
        <f t="shared" si="0"/>
        <v>0</v>
      </c>
      <c r="O66" s="34">
        <f t="shared" si="1"/>
        <v>0</v>
      </c>
      <c r="P66" s="55">
        <v>61</v>
      </c>
      <c r="Q66" s="33">
        <f t="shared" si="41"/>
        <v>0</v>
      </c>
      <c r="R66" s="33">
        <f t="shared" si="22"/>
        <v>0</v>
      </c>
      <c r="S66" s="33">
        <f t="shared" si="23"/>
        <v>0</v>
      </c>
      <c r="T66" s="33">
        <f t="shared" si="2"/>
        <v>0</v>
      </c>
      <c r="U66" s="33">
        <f t="shared" si="16"/>
        <v>0</v>
      </c>
      <c r="V66" s="33">
        <f t="shared" si="3"/>
        <v>0</v>
      </c>
      <c r="W66" s="33">
        <v>0</v>
      </c>
      <c r="X66" s="33">
        <f t="shared" si="4"/>
        <v>0</v>
      </c>
      <c r="Y66" s="38">
        <f t="shared" si="5"/>
        <v>0</v>
      </c>
      <c r="AA66" s="71">
        <v>61</v>
      </c>
      <c r="AB66" s="33">
        <f t="shared" si="6"/>
        <v>0</v>
      </c>
      <c r="AC66" s="308">
        <f t="shared" si="40"/>
        <v>0</v>
      </c>
      <c r="AD66" s="101">
        <f t="shared" si="8"/>
        <v>0</v>
      </c>
      <c r="AE66" s="101">
        <f t="shared" si="9"/>
        <v>0</v>
      </c>
      <c r="AF66" s="197">
        <f t="shared" si="35"/>
        <v>0</v>
      </c>
      <c r="AG66" s="197">
        <f t="shared" si="36"/>
        <v>0</v>
      </c>
      <c r="AH66" s="197">
        <f t="shared" si="37"/>
        <v>0</v>
      </c>
      <c r="AI66" s="202">
        <f t="shared" si="38"/>
        <v>0</v>
      </c>
      <c r="AK66" s="71">
        <v>61</v>
      </c>
      <c r="AL66" s="33"/>
      <c r="AM66" s="33"/>
      <c r="AN66" s="33"/>
      <c r="AO66" s="33"/>
      <c r="AP66" s="33"/>
      <c r="AQ66" s="197"/>
      <c r="AR66" s="197"/>
      <c r="AS66" s="197"/>
      <c r="AT66" s="197"/>
      <c r="AU66" s="33"/>
      <c r="AV66" s="33"/>
      <c r="AW66" s="33"/>
      <c r="AX66" s="33"/>
      <c r="AY66" s="76"/>
    </row>
    <row r="67" spans="2:51">
      <c r="B67" s="40"/>
      <c r="C67" s="155"/>
      <c r="D67" s="140"/>
      <c r="E67" s="144"/>
      <c r="F67" s="42"/>
      <c r="G67" s="51"/>
      <c r="I67" s="55">
        <v>62</v>
      </c>
      <c r="J67" s="33">
        <f t="shared" si="18"/>
        <v>0</v>
      </c>
      <c r="K67" s="33">
        <f t="shared" si="19"/>
        <v>0</v>
      </c>
      <c r="L67" s="33">
        <f t="shared" si="20"/>
        <v>0</v>
      </c>
      <c r="M67" s="33">
        <f t="shared" si="21"/>
        <v>0</v>
      </c>
      <c r="N67" s="33">
        <f t="shared" si="0"/>
        <v>0</v>
      </c>
      <c r="O67" s="34">
        <f t="shared" si="1"/>
        <v>0</v>
      </c>
      <c r="P67" s="55">
        <v>62</v>
      </c>
      <c r="Q67" s="33">
        <f t="shared" si="41"/>
        <v>0</v>
      </c>
      <c r="R67" s="33">
        <f t="shared" si="22"/>
        <v>0</v>
      </c>
      <c r="S67" s="33">
        <f t="shared" si="23"/>
        <v>0</v>
      </c>
      <c r="T67" s="33">
        <f t="shared" si="2"/>
        <v>0</v>
      </c>
      <c r="U67" s="33">
        <f t="shared" si="16"/>
        <v>0</v>
      </c>
      <c r="V67" s="33">
        <f t="shared" si="3"/>
        <v>0</v>
      </c>
      <c r="W67" s="33">
        <v>0</v>
      </c>
      <c r="X67" s="33">
        <f t="shared" si="4"/>
        <v>0</v>
      </c>
      <c r="Y67" s="38">
        <f t="shared" si="5"/>
        <v>0</v>
      </c>
      <c r="AA67" s="71">
        <v>62</v>
      </c>
      <c r="AB67" s="33">
        <f t="shared" si="6"/>
        <v>0</v>
      </c>
      <c r="AC67" s="308">
        <f t="shared" si="40"/>
        <v>0</v>
      </c>
      <c r="AD67" s="101">
        <f t="shared" si="8"/>
        <v>0</v>
      </c>
      <c r="AE67" s="101">
        <f t="shared" si="9"/>
        <v>0</v>
      </c>
      <c r="AF67" s="197">
        <f t="shared" si="35"/>
        <v>0</v>
      </c>
      <c r="AG67" s="197">
        <f t="shared" si="36"/>
        <v>0</v>
      </c>
      <c r="AH67" s="197">
        <f t="shared" si="37"/>
        <v>0</v>
      </c>
      <c r="AI67" s="202">
        <f t="shared" si="38"/>
        <v>0</v>
      </c>
      <c r="AK67" s="71">
        <v>62</v>
      </c>
      <c r="AL67" s="33"/>
      <c r="AM67" s="33"/>
      <c r="AN67" s="33"/>
      <c r="AO67" s="33"/>
      <c r="AP67" s="33"/>
      <c r="AQ67" s="197"/>
      <c r="AR67" s="197"/>
      <c r="AS67" s="197"/>
      <c r="AT67" s="197"/>
      <c r="AU67" s="33"/>
      <c r="AV67" s="33"/>
      <c r="AW67" s="33"/>
      <c r="AX67" s="33"/>
      <c r="AY67" s="76"/>
    </row>
    <row r="68" spans="2:51">
      <c r="B68" s="40"/>
      <c r="C68" s="155"/>
      <c r="D68" s="140"/>
      <c r="E68" s="144"/>
      <c r="F68" s="42"/>
      <c r="G68" s="51"/>
      <c r="I68" s="55">
        <v>63</v>
      </c>
      <c r="J68" s="33">
        <f t="shared" si="18"/>
        <v>0</v>
      </c>
      <c r="K68" s="33">
        <f t="shared" si="19"/>
        <v>0</v>
      </c>
      <c r="L68" s="33">
        <f t="shared" si="20"/>
        <v>0</v>
      </c>
      <c r="M68" s="33">
        <f t="shared" si="21"/>
        <v>0</v>
      </c>
      <c r="N68" s="33">
        <f t="shared" si="0"/>
        <v>0</v>
      </c>
      <c r="O68" s="34">
        <f t="shared" si="1"/>
        <v>0</v>
      </c>
      <c r="P68" s="55">
        <v>63</v>
      </c>
      <c r="Q68" s="33">
        <f t="shared" si="41"/>
        <v>0</v>
      </c>
      <c r="R68" s="33">
        <f t="shared" si="22"/>
        <v>0</v>
      </c>
      <c r="S68" s="33">
        <f t="shared" si="23"/>
        <v>0</v>
      </c>
      <c r="T68" s="33">
        <f t="shared" si="2"/>
        <v>0</v>
      </c>
      <c r="U68" s="33">
        <f t="shared" si="16"/>
        <v>0</v>
      </c>
      <c r="V68" s="33">
        <f t="shared" si="3"/>
        <v>0</v>
      </c>
      <c r="W68" s="33">
        <v>0</v>
      </c>
      <c r="X68" s="33">
        <f t="shared" si="4"/>
        <v>0</v>
      </c>
      <c r="Y68" s="38">
        <f t="shared" si="5"/>
        <v>0</v>
      </c>
      <c r="AA68" s="71">
        <v>63</v>
      </c>
      <c r="AB68" s="33">
        <f t="shared" si="6"/>
        <v>0</v>
      </c>
      <c r="AC68" s="308">
        <f t="shared" si="40"/>
        <v>0</v>
      </c>
      <c r="AD68" s="101">
        <f t="shared" si="8"/>
        <v>0</v>
      </c>
      <c r="AE68" s="101">
        <f t="shared" si="9"/>
        <v>0</v>
      </c>
      <c r="AF68" s="197">
        <f t="shared" si="35"/>
        <v>0</v>
      </c>
      <c r="AG68" s="197">
        <f t="shared" si="36"/>
        <v>0</v>
      </c>
      <c r="AH68" s="197">
        <f t="shared" si="37"/>
        <v>0</v>
      </c>
      <c r="AI68" s="202">
        <f t="shared" si="38"/>
        <v>0</v>
      </c>
      <c r="AK68" s="71">
        <v>63</v>
      </c>
      <c r="AL68" s="33"/>
      <c r="AM68" s="33"/>
      <c r="AN68" s="33"/>
      <c r="AO68" s="33"/>
      <c r="AP68" s="33"/>
      <c r="AQ68" s="197"/>
      <c r="AR68" s="197"/>
      <c r="AS68" s="197"/>
      <c r="AT68" s="197"/>
      <c r="AU68" s="33"/>
      <c r="AV68" s="33"/>
      <c r="AW68" s="33"/>
      <c r="AX68" s="33"/>
      <c r="AY68" s="76"/>
    </row>
    <row r="69" spans="2:51">
      <c r="B69" s="40"/>
      <c r="C69" s="155"/>
      <c r="D69" s="140"/>
      <c r="E69" s="144"/>
      <c r="F69" s="42"/>
      <c r="G69" s="51"/>
      <c r="I69" s="55">
        <v>64</v>
      </c>
      <c r="J69" s="33">
        <f t="shared" si="18"/>
        <v>0</v>
      </c>
      <c r="K69" s="33">
        <f t="shared" si="19"/>
        <v>0</v>
      </c>
      <c r="L69" s="33">
        <f t="shared" si="20"/>
        <v>0</v>
      </c>
      <c r="M69" s="33">
        <f t="shared" si="21"/>
        <v>0</v>
      </c>
      <c r="N69" s="33">
        <f t="shared" ref="N69:N132" si="42">IF(P70&lt;=$F$18,0,)</f>
        <v>0</v>
      </c>
      <c r="O69" s="34">
        <f t="shared" ref="O69:O132" si="43">((J69+K69)*0.475+L69+M69+N69)*44/12</f>
        <v>0</v>
      </c>
      <c r="P69" s="55">
        <v>64</v>
      </c>
      <c r="Q69" s="33">
        <f t="shared" si="41"/>
        <v>0</v>
      </c>
      <c r="R69" s="33">
        <f t="shared" si="22"/>
        <v>0</v>
      </c>
      <c r="S69" s="33">
        <f t="shared" si="23"/>
        <v>0</v>
      </c>
      <c r="T69" s="33">
        <f t="shared" ref="T69:T132" si="44">IF(S69=0,0,EXP(-1.0587+0.8836*LN(S69)+0.284))</f>
        <v>0</v>
      </c>
      <c r="U69" s="33">
        <f t="shared" si="16"/>
        <v>0</v>
      </c>
      <c r="V69" s="33">
        <f t="shared" ref="V69:V132" si="45">IF(P69&lt;=$F$18,IF(P69&lt;=30,P69*($F$16-$F$6)/30,$F$16-$F$6),)</f>
        <v>0</v>
      </c>
      <c r="W69" s="33">
        <v>0</v>
      </c>
      <c r="X69" s="33">
        <f t="shared" ref="X69:X132" si="46">((S69+T69)*0.475+U69+V69+W69)*44/12</f>
        <v>0</v>
      </c>
      <c r="Y69" s="38">
        <f t="shared" ref="Y69:Y132" si="47">IF(P69&lt;=$F$18,X69-O69,)</f>
        <v>0</v>
      </c>
      <c r="AA69" s="71">
        <v>64</v>
      </c>
      <c r="AB69" s="33">
        <f t="shared" ref="AB69:AB132" si="48">IF(AA69&lt;=$F$18,IFERROR(VLOOKUP($AA69,$B$82:$G$94,2,FALSE),0),)</f>
        <v>0</v>
      </c>
      <c r="AC69" s="308">
        <f t="shared" si="40"/>
        <v>0</v>
      </c>
      <c r="AD69" s="101">
        <f t="shared" ref="AD69:AD132" si="49">IF(AA69&lt;=$F$18,IFERROR(VLOOKUP($AA69,$B$82:$G$94,4,FALSE),0),)</f>
        <v>0</v>
      </c>
      <c r="AE69" s="101">
        <f t="shared" ref="AE69:AE132" si="50">IF(AA69&lt;=$F$18,IFERROR(VLOOKUP($AA69,$B$82:$G$94,5,FALSE),0),)</f>
        <v>0</v>
      </c>
      <c r="AF69" s="197">
        <f t="shared" si="35"/>
        <v>0</v>
      </c>
      <c r="AG69" s="197">
        <f t="shared" si="36"/>
        <v>0</v>
      </c>
      <c r="AH69" s="197">
        <f t="shared" si="37"/>
        <v>0</v>
      </c>
      <c r="AI69" s="202">
        <f t="shared" si="38"/>
        <v>0</v>
      </c>
      <c r="AK69" s="71">
        <v>64</v>
      </c>
      <c r="AL69" s="33"/>
      <c r="AM69" s="33"/>
      <c r="AN69" s="33"/>
      <c r="AO69" s="33"/>
      <c r="AP69" s="33"/>
      <c r="AQ69" s="197"/>
      <c r="AR69" s="197"/>
      <c r="AS69" s="197"/>
      <c r="AT69" s="197"/>
      <c r="AU69" s="33"/>
      <c r="AV69" s="33"/>
      <c r="AW69" s="33"/>
      <c r="AX69" s="33"/>
      <c r="AY69" s="76"/>
    </row>
    <row r="70" spans="2:51">
      <c r="B70" s="40"/>
      <c r="C70" s="155"/>
      <c r="D70" s="140"/>
      <c r="E70" s="144"/>
      <c r="F70" s="42"/>
      <c r="G70" s="51"/>
      <c r="I70" s="55">
        <v>65</v>
      </c>
      <c r="J70" s="33">
        <f t="shared" si="18"/>
        <v>0</v>
      </c>
      <c r="K70" s="33">
        <f t="shared" si="19"/>
        <v>0</v>
      </c>
      <c r="L70" s="33">
        <f t="shared" si="20"/>
        <v>0</v>
      </c>
      <c r="M70" s="33">
        <f t="shared" si="21"/>
        <v>0</v>
      </c>
      <c r="N70" s="33">
        <f t="shared" si="42"/>
        <v>0</v>
      </c>
      <c r="O70" s="34">
        <f t="shared" si="43"/>
        <v>0</v>
      </c>
      <c r="P70" s="55">
        <v>65</v>
      </c>
      <c r="Q70" s="33">
        <f t="shared" ref="Q70:Q101" si="51">IF(P70&lt;=$F$18,LOOKUP(P70-1,$B$25:$B$78,$G$25:$G$78),)</f>
        <v>0</v>
      </c>
      <c r="R70" s="33">
        <f t="shared" si="22"/>
        <v>0</v>
      </c>
      <c r="S70" s="33">
        <f t="shared" si="23"/>
        <v>0</v>
      </c>
      <c r="T70" s="33">
        <f t="shared" si="44"/>
        <v>0</v>
      </c>
      <c r="U70" s="33">
        <f t="shared" ref="U70:U133" si="52">IF(P70&lt;=$F$18,$F$5+($F$15-$F$5)*(1-EXP(-0.0175*P70)),)</f>
        <v>0</v>
      </c>
      <c r="V70" s="33">
        <f t="shared" si="45"/>
        <v>0</v>
      </c>
      <c r="W70" s="33">
        <v>0</v>
      </c>
      <c r="X70" s="33">
        <f t="shared" si="46"/>
        <v>0</v>
      </c>
      <c r="Y70" s="38">
        <f t="shared" si="47"/>
        <v>0</v>
      </c>
      <c r="AA70" s="71">
        <v>65</v>
      </c>
      <c r="AB70" s="33">
        <f t="shared" si="48"/>
        <v>0</v>
      </c>
      <c r="AC70" s="308">
        <f t="shared" si="40"/>
        <v>0</v>
      </c>
      <c r="AD70" s="101">
        <f t="shared" si="49"/>
        <v>0</v>
      </c>
      <c r="AE70" s="101">
        <f t="shared" si="50"/>
        <v>0</v>
      </c>
      <c r="AF70" s="197">
        <f t="shared" si="35"/>
        <v>0</v>
      </c>
      <c r="AG70" s="197">
        <f t="shared" si="36"/>
        <v>0</v>
      </c>
      <c r="AH70" s="197">
        <f t="shared" si="37"/>
        <v>0</v>
      </c>
      <c r="AI70" s="202">
        <f t="shared" si="38"/>
        <v>0</v>
      </c>
      <c r="AK70" s="71">
        <v>65</v>
      </c>
      <c r="AL70" s="33"/>
      <c r="AM70" s="33"/>
      <c r="AN70" s="33"/>
      <c r="AO70" s="33"/>
      <c r="AP70" s="33"/>
      <c r="AQ70" s="197"/>
      <c r="AR70" s="197"/>
      <c r="AS70" s="197"/>
      <c r="AT70" s="197"/>
      <c r="AU70" s="33"/>
      <c r="AV70" s="33"/>
      <c r="AW70" s="33"/>
      <c r="AX70" s="33"/>
      <c r="AY70" s="76"/>
    </row>
    <row r="71" spans="2:51">
      <c r="B71" s="40"/>
      <c r="C71" s="155"/>
      <c r="D71" s="140"/>
      <c r="E71" s="144"/>
      <c r="F71" s="42"/>
      <c r="G71" s="51"/>
      <c r="I71" s="55">
        <v>66</v>
      </c>
      <c r="J71" s="33">
        <f t="shared" ref="J71:J134" si="53">IF($I71&lt;=$F$10,$F$11*$F$13+J70,)</f>
        <v>0</v>
      </c>
      <c r="K71" s="33">
        <f t="shared" ref="K71:K134" si="54">IF(J71=0,0,EXP(-1.0587+0.8836*LN(J71)+0.284))</f>
        <v>0</v>
      </c>
      <c r="L71" s="33">
        <f t="shared" ref="L71:L134" si="55">IF(I71&lt;=$F$10,$F$5+($F$8-$F$5)*(1-EXP(-0.0175*I71)),)</f>
        <v>0</v>
      </c>
      <c r="M71" s="33">
        <f t="shared" ref="M71:M134" si="56">IF(I71&lt;=$F$10,IF(I71&lt;=30,I71*($F$9-$F$6)/30,$F$9-$F$6),)</f>
        <v>0</v>
      </c>
      <c r="N71" s="33">
        <f t="shared" si="42"/>
        <v>0</v>
      </c>
      <c r="O71" s="34">
        <f t="shared" si="43"/>
        <v>0</v>
      </c>
      <c r="P71" s="55">
        <v>66</v>
      </c>
      <c r="Q71" s="33">
        <f t="shared" si="51"/>
        <v>0</v>
      </c>
      <c r="R71" s="33">
        <f t="shared" ref="R71:R134" si="57">IF(P71&lt;=$F$18,Q71+R70,)</f>
        <v>0</v>
      </c>
      <c r="S71" s="33">
        <f t="shared" ref="S71:S134" si="58">$F$19*R71</f>
        <v>0</v>
      </c>
      <c r="T71" s="33">
        <f t="shared" si="44"/>
        <v>0</v>
      </c>
      <c r="U71" s="33">
        <f t="shared" si="52"/>
        <v>0</v>
      </c>
      <c r="V71" s="33">
        <f t="shared" si="45"/>
        <v>0</v>
      </c>
      <c r="W71" s="33">
        <v>0</v>
      </c>
      <c r="X71" s="33">
        <f t="shared" si="46"/>
        <v>0</v>
      </c>
      <c r="Y71" s="38">
        <f t="shared" si="47"/>
        <v>0</v>
      </c>
      <c r="AA71" s="71">
        <v>66</v>
      </c>
      <c r="AB71" s="33">
        <f t="shared" si="48"/>
        <v>0</v>
      </c>
      <c r="AC71" s="308">
        <f t="shared" si="40"/>
        <v>0</v>
      </c>
      <c r="AD71" s="101">
        <f t="shared" si="49"/>
        <v>0</v>
      </c>
      <c r="AE71" s="101">
        <f t="shared" si="50"/>
        <v>0</v>
      </c>
      <c r="AF71" s="197">
        <f t="shared" si="35"/>
        <v>0</v>
      </c>
      <c r="AG71" s="197">
        <f t="shared" si="36"/>
        <v>0</v>
      </c>
      <c r="AH71" s="197">
        <f t="shared" si="37"/>
        <v>0</v>
      </c>
      <c r="AI71" s="202">
        <f t="shared" si="38"/>
        <v>0</v>
      </c>
      <c r="AK71" s="71">
        <v>66</v>
      </c>
      <c r="AL71" s="33"/>
      <c r="AM71" s="33"/>
      <c r="AN71" s="33"/>
      <c r="AO71" s="33"/>
      <c r="AP71" s="33"/>
      <c r="AQ71" s="197"/>
      <c r="AR71" s="197"/>
      <c r="AS71" s="197"/>
      <c r="AT71" s="197"/>
      <c r="AU71" s="33"/>
      <c r="AV71" s="33"/>
      <c r="AW71" s="33"/>
      <c r="AX71" s="33"/>
      <c r="AY71" s="76"/>
    </row>
    <row r="72" spans="2:51">
      <c r="B72" s="40"/>
      <c r="C72" s="155"/>
      <c r="D72" s="140"/>
      <c r="E72" s="144"/>
      <c r="F72" s="42"/>
      <c r="G72" s="51"/>
      <c r="I72" s="55">
        <v>67</v>
      </c>
      <c r="J72" s="33">
        <f t="shared" si="53"/>
        <v>0</v>
      </c>
      <c r="K72" s="33">
        <f t="shared" si="54"/>
        <v>0</v>
      </c>
      <c r="L72" s="33">
        <f t="shared" si="55"/>
        <v>0</v>
      </c>
      <c r="M72" s="33">
        <f t="shared" si="56"/>
        <v>0</v>
      </c>
      <c r="N72" s="33">
        <f t="shared" si="42"/>
        <v>0</v>
      </c>
      <c r="O72" s="34">
        <f t="shared" si="43"/>
        <v>0</v>
      </c>
      <c r="P72" s="55">
        <v>67</v>
      </c>
      <c r="Q72" s="33">
        <f t="shared" si="51"/>
        <v>0</v>
      </c>
      <c r="R72" s="33">
        <f t="shared" si="57"/>
        <v>0</v>
      </c>
      <c r="S72" s="33">
        <f t="shared" si="58"/>
        <v>0</v>
      </c>
      <c r="T72" s="33">
        <f t="shared" si="44"/>
        <v>0</v>
      </c>
      <c r="U72" s="33">
        <f t="shared" si="52"/>
        <v>0</v>
      </c>
      <c r="V72" s="33">
        <f t="shared" si="45"/>
        <v>0</v>
      </c>
      <c r="W72" s="33">
        <v>0</v>
      </c>
      <c r="X72" s="33">
        <f t="shared" si="46"/>
        <v>0</v>
      </c>
      <c r="Y72" s="38">
        <f t="shared" si="47"/>
        <v>0</v>
      </c>
      <c r="AA72" s="71">
        <v>67</v>
      </c>
      <c r="AB72" s="33">
        <f t="shared" si="48"/>
        <v>0</v>
      </c>
      <c r="AC72" s="308">
        <f t="shared" si="40"/>
        <v>0</v>
      </c>
      <c r="AD72" s="101">
        <f t="shared" si="49"/>
        <v>0</v>
      </c>
      <c r="AE72" s="101">
        <f t="shared" si="50"/>
        <v>0</v>
      </c>
      <c r="AF72" s="197">
        <f t="shared" si="35"/>
        <v>0</v>
      </c>
      <c r="AG72" s="197">
        <f t="shared" si="36"/>
        <v>0</v>
      </c>
      <c r="AH72" s="197">
        <f t="shared" si="37"/>
        <v>0</v>
      </c>
      <c r="AI72" s="202">
        <f t="shared" si="38"/>
        <v>0</v>
      </c>
      <c r="AK72" s="71">
        <v>67</v>
      </c>
      <c r="AL72" s="33"/>
      <c r="AM72" s="33"/>
      <c r="AN72" s="33"/>
      <c r="AO72" s="33"/>
      <c r="AP72" s="33"/>
      <c r="AQ72" s="197"/>
      <c r="AR72" s="197"/>
      <c r="AS72" s="197"/>
      <c r="AT72" s="197"/>
      <c r="AU72" s="33"/>
      <c r="AV72" s="33"/>
      <c r="AW72" s="33"/>
      <c r="AX72" s="33"/>
      <c r="AY72" s="76"/>
    </row>
    <row r="73" spans="2:51">
      <c r="B73" s="40"/>
      <c r="C73" s="155"/>
      <c r="D73" s="140"/>
      <c r="E73" s="144"/>
      <c r="F73" s="42"/>
      <c r="G73" s="51"/>
      <c r="I73" s="55">
        <v>68</v>
      </c>
      <c r="J73" s="33">
        <f t="shared" si="53"/>
        <v>0</v>
      </c>
      <c r="K73" s="33">
        <f t="shared" si="54"/>
        <v>0</v>
      </c>
      <c r="L73" s="33">
        <f t="shared" si="55"/>
        <v>0</v>
      </c>
      <c r="M73" s="33">
        <f t="shared" si="56"/>
        <v>0</v>
      </c>
      <c r="N73" s="33">
        <f t="shared" si="42"/>
        <v>0</v>
      </c>
      <c r="O73" s="34">
        <f t="shared" si="43"/>
        <v>0</v>
      </c>
      <c r="P73" s="55">
        <v>68</v>
      </c>
      <c r="Q73" s="33">
        <f t="shared" si="51"/>
        <v>0</v>
      </c>
      <c r="R73" s="33">
        <f t="shared" si="57"/>
        <v>0</v>
      </c>
      <c r="S73" s="33">
        <f t="shared" si="58"/>
        <v>0</v>
      </c>
      <c r="T73" s="33">
        <f t="shared" si="44"/>
        <v>0</v>
      </c>
      <c r="U73" s="33">
        <f t="shared" si="52"/>
        <v>0</v>
      </c>
      <c r="V73" s="33">
        <f t="shared" si="45"/>
        <v>0</v>
      </c>
      <c r="W73" s="33">
        <v>0</v>
      </c>
      <c r="X73" s="33">
        <f t="shared" si="46"/>
        <v>0</v>
      </c>
      <c r="Y73" s="38">
        <f t="shared" si="47"/>
        <v>0</v>
      </c>
      <c r="AA73" s="71">
        <v>68</v>
      </c>
      <c r="AB73" s="33">
        <f t="shared" si="48"/>
        <v>0</v>
      </c>
      <c r="AC73" s="308">
        <f t="shared" si="40"/>
        <v>0</v>
      </c>
      <c r="AD73" s="101">
        <f t="shared" si="49"/>
        <v>0</v>
      </c>
      <c r="AE73" s="101">
        <f t="shared" si="50"/>
        <v>0</v>
      </c>
      <c r="AF73" s="197">
        <f t="shared" si="35"/>
        <v>0</v>
      </c>
      <c r="AG73" s="197">
        <f t="shared" si="36"/>
        <v>0</v>
      </c>
      <c r="AH73" s="197">
        <f t="shared" si="37"/>
        <v>0</v>
      </c>
      <c r="AI73" s="202">
        <f t="shared" si="38"/>
        <v>0</v>
      </c>
      <c r="AK73" s="71">
        <v>68</v>
      </c>
      <c r="AL73" s="33"/>
      <c r="AM73" s="33"/>
      <c r="AN73" s="33"/>
      <c r="AO73" s="33"/>
      <c r="AP73" s="33"/>
      <c r="AQ73" s="197"/>
      <c r="AR73" s="197"/>
      <c r="AS73" s="197"/>
      <c r="AT73" s="197"/>
      <c r="AU73" s="33"/>
      <c r="AV73" s="33"/>
      <c r="AW73" s="33"/>
      <c r="AX73" s="33"/>
      <c r="AY73" s="76"/>
    </row>
    <row r="74" spans="2:51">
      <c r="B74" s="40"/>
      <c r="C74" s="155"/>
      <c r="D74" s="140"/>
      <c r="E74" s="144"/>
      <c r="F74" s="42"/>
      <c r="G74" s="51"/>
      <c r="I74" s="55">
        <v>69</v>
      </c>
      <c r="J74" s="33">
        <f t="shared" si="53"/>
        <v>0</v>
      </c>
      <c r="K74" s="33">
        <f t="shared" si="54"/>
        <v>0</v>
      </c>
      <c r="L74" s="33">
        <f t="shared" si="55"/>
        <v>0</v>
      </c>
      <c r="M74" s="33">
        <f t="shared" si="56"/>
        <v>0</v>
      </c>
      <c r="N74" s="33">
        <f t="shared" si="42"/>
        <v>0</v>
      </c>
      <c r="O74" s="34">
        <f t="shared" si="43"/>
        <v>0</v>
      </c>
      <c r="P74" s="55">
        <v>69</v>
      </c>
      <c r="Q74" s="33">
        <f t="shared" si="51"/>
        <v>0</v>
      </c>
      <c r="R74" s="33">
        <f t="shared" si="57"/>
        <v>0</v>
      </c>
      <c r="S74" s="33">
        <f t="shared" si="58"/>
        <v>0</v>
      </c>
      <c r="T74" s="33">
        <f t="shared" si="44"/>
        <v>0</v>
      </c>
      <c r="U74" s="33">
        <f t="shared" si="52"/>
        <v>0</v>
      </c>
      <c r="V74" s="33">
        <f t="shared" si="45"/>
        <v>0</v>
      </c>
      <c r="W74" s="33">
        <v>0</v>
      </c>
      <c r="X74" s="33">
        <f t="shared" si="46"/>
        <v>0</v>
      </c>
      <c r="Y74" s="38">
        <f t="shared" si="47"/>
        <v>0</v>
      </c>
      <c r="AA74" s="71">
        <v>69</v>
      </c>
      <c r="AB74" s="33">
        <f t="shared" si="48"/>
        <v>0</v>
      </c>
      <c r="AC74" s="308">
        <f t="shared" si="40"/>
        <v>0</v>
      </c>
      <c r="AD74" s="101">
        <f t="shared" si="49"/>
        <v>0</v>
      </c>
      <c r="AE74" s="101">
        <f t="shared" si="50"/>
        <v>0</v>
      </c>
      <c r="AF74" s="197">
        <f t="shared" si="35"/>
        <v>0</v>
      </c>
      <c r="AG74" s="197">
        <f t="shared" si="36"/>
        <v>0</v>
      </c>
      <c r="AH74" s="197">
        <f t="shared" si="37"/>
        <v>0</v>
      </c>
      <c r="AI74" s="202">
        <f t="shared" si="38"/>
        <v>0</v>
      </c>
      <c r="AK74" s="71">
        <v>69</v>
      </c>
      <c r="AL74" s="33"/>
      <c r="AM74" s="33"/>
      <c r="AN74" s="33"/>
      <c r="AO74" s="33"/>
      <c r="AP74" s="33"/>
      <c r="AQ74" s="197"/>
      <c r="AR74" s="197"/>
      <c r="AS74" s="197"/>
      <c r="AT74" s="197"/>
      <c r="AU74" s="33"/>
      <c r="AV74" s="33"/>
      <c r="AW74" s="33"/>
      <c r="AX74" s="33"/>
      <c r="AY74" s="76"/>
    </row>
    <row r="75" spans="2:51">
      <c r="B75" s="40"/>
      <c r="C75" s="155"/>
      <c r="D75" s="140"/>
      <c r="E75" s="144"/>
      <c r="F75" s="42"/>
      <c r="G75" s="51"/>
      <c r="I75" s="55">
        <v>70</v>
      </c>
      <c r="J75" s="33">
        <f t="shared" si="53"/>
        <v>0</v>
      </c>
      <c r="K75" s="33">
        <f t="shared" si="54"/>
        <v>0</v>
      </c>
      <c r="L75" s="33">
        <f t="shared" si="55"/>
        <v>0</v>
      </c>
      <c r="M75" s="33">
        <f t="shared" si="56"/>
        <v>0</v>
      </c>
      <c r="N75" s="33">
        <f t="shared" si="42"/>
        <v>0</v>
      </c>
      <c r="O75" s="34">
        <f t="shared" si="43"/>
        <v>0</v>
      </c>
      <c r="P75" s="55">
        <v>70</v>
      </c>
      <c r="Q75" s="33">
        <f t="shared" si="51"/>
        <v>0</v>
      </c>
      <c r="R75" s="33">
        <f t="shared" si="57"/>
        <v>0</v>
      </c>
      <c r="S75" s="33">
        <f t="shared" si="58"/>
        <v>0</v>
      </c>
      <c r="T75" s="33">
        <f t="shared" si="44"/>
        <v>0</v>
      </c>
      <c r="U75" s="33">
        <f t="shared" si="52"/>
        <v>0</v>
      </c>
      <c r="V75" s="33">
        <f t="shared" si="45"/>
        <v>0</v>
      </c>
      <c r="W75" s="33">
        <v>0</v>
      </c>
      <c r="X75" s="33">
        <f t="shared" si="46"/>
        <v>0</v>
      </c>
      <c r="Y75" s="38">
        <f t="shared" si="47"/>
        <v>0</v>
      </c>
      <c r="AA75" s="71">
        <v>70</v>
      </c>
      <c r="AB75" s="33">
        <f t="shared" si="48"/>
        <v>0</v>
      </c>
      <c r="AC75" s="308">
        <f t="shared" si="40"/>
        <v>0</v>
      </c>
      <c r="AD75" s="101">
        <f t="shared" si="49"/>
        <v>0</v>
      </c>
      <c r="AE75" s="101">
        <f t="shared" si="50"/>
        <v>0</v>
      </c>
      <c r="AF75" s="197">
        <f t="shared" si="35"/>
        <v>0</v>
      </c>
      <c r="AG75" s="197">
        <f t="shared" si="36"/>
        <v>0</v>
      </c>
      <c r="AH75" s="197">
        <f t="shared" si="37"/>
        <v>0</v>
      </c>
      <c r="AI75" s="202">
        <f t="shared" si="38"/>
        <v>0</v>
      </c>
      <c r="AK75" s="71">
        <v>70</v>
      </c>
      <c r="AL75" s="33"/>
      <c r="AM75" s="33"/>
      <c r="AN75" s="33"/>
      <c r="AO75" s="33"/>
      <c r="AP75" s="33"/>
      <c r="AQ75" s="197"/>
      <c r="AR75" s="197"/>
      <c r="AS75" s="197"/>
      <c r="AT75" s="197"/>
      <c r="AU75" s="33"/>
      <c r="AV75" s="33"/>
      <c r="AW75" s="33"/>
      <c r="AX75" s="33"/>
      <c r="AY75" s="76"/>
    </row>
    <row r="76" spans="2:51">
      <c r="B76" s="40"/>
      <c r="C76" s="155"/>
      <c r="D76" s="140"/>
      <c r="E76" s="144"/>
      <c r="F76" s="42"/>
      <c r="G76" s="51"/>
      <c r="I76" s="55">
        <v>71</v>
      </c>
      <c r="J76" s="33">
        <f t="shared" si="53"/>
        <v>0</v>
      </c>
      <c r="K76" s="33">
        <f t="shared" si="54"/>
        <v>0</v>
      </c>
      <c r="L76" s="33">
        <f t="shared" si="55"/>
        <v>0</v>
      </c>
      <c r="M76" s="33">
        <f t="shared" si="56"/>
        <v>0</v>
      </c>
      <c r="N76" s="33">
        <f t="shared" si="42"/>
        <v>0</v>
      </c>
      <c r="O76" s="34">
        <f t="shared" si="43"/>
        <v>0</v>
      </c>
      <c r="P76" s="55">
        <v>71</v>
      </c>
      <c r="Q76" s="33">
        <f t="shared" si="51"/>
        <v>0</v>
      </c>
      <c r="R76" s="33">
        <f t="shared" si="57"/>
        <v>0</v>
      </c>
      <c r="S76" s="33">
        <f t="shared" si="58"/>
        <v>0</v>
      </c>
      <c r="T76" s="33">
        <f t="shared" si="44"/>
        <v>0</v>
      </c>
      <c r="U76" s="33">
        <f t="shared" si="52"/>
        <v>0</v>
      </c>
      <c r="V76" s="33">
        <f t="shared" si="45"/>
        <v>0</v>
      </c>
      <c r="W76" s="33">
        <v>0</v>
      </c>
      <c r="X76" s="33">
        <f t="shared" si="46"/>
        <v>0</v>
      </c>
      <c r="Y76" s="38">
        <f t="shared" si="47"/>
        <v>0</v>
      </c>
      <c r="AA76" s="71">
        <v>71</v>
      </c>
      <c r="AB76" s="33">
        <f t="shared" si="48"/>
        <v>0</v>
      </c>
      <c r="AC76" s="308">
        <f t="shared" si="40"/>
        <v>0</v>
      </c>
      <c r="AD76" s="101">
        <f t="shared" si="49"/>
        <v>0</v>
      </c>
      <c r="AE76" s="101">
        <f t="shared" si="50"/>
        <v>0</v>
      </c>
      <c r="AF76" s="197">
        <f t="shared" si="35"/>
        <v>0</v>
      </c>
      <c r="AG76" s="197">
        <f t="shared" si="36"/>
        <v>0</v>
      </c>
      <c r="AH76" s="197">
        <f t="shared" si="37"/>
        <v>0</v>
      </c>
      <c r="AI76" s="202">
        <f t="shared" si="38"/>
        <v>0</v>
      </c>
      <c r="AK76" s="71">
        <v>71</v>
      </c>
      <c r="AL76" s="33"/>
      <c r="AM76" s="33"/>
      <c r="AN76" s="33"/>
      <c r="AO76" s="33"/>
      <c r="AP76" s="33"/>
      <c r="AQ76" s="197"/>
      <c r="AR76" s="197"/>
      <c r="AS76" s="197"/>
      <c r="AT76" s="197"/>
      <c r="AU76" s="33"/>
      <c r="AV76" s="33"/>
      <c r="AW76" s="33"/>
      <c r="AX76" s="33"/>
      <c r="AY76" s="76"/>
    </row>
    <row r="77" spans="2:51">
      <c r="B77" s="40"/>
      <c r="C77" s="155"/>
      <c r="D77" s="140"/>
      <c r="E77" s="144"/>
      <c r="F77" s="42"/>
      <c r="G77" s="51"/>
      <c r="I77" s="55">
        <v>72</v>
      </c>
      <c r="J77" s="33">
        <f t="shared" si="53"/>
        <v>0</v>
      </c>
      <c r="K77" s="33">
        <f t="shared" si="54"/>
        <v>0</v>
      </c>
      <c r="L77" s="33">
        <f t="shared" si="55"/>
        <v>0</v>
      </c>
      <c r="M77" s="33">
        <f t="shared" si="56"/>
        <v>0</v>
      </c>
      <c r="N77" s="33">
        <f t="shared" si="42"/>
        <v>0</v>
      </c>
      <c r="O77" s="34">
        <f t="shared" si="43"/>
        <v>0</v>
      </c>
      <c r="P77" s="55">
        <v>72</v>
      </c>
      <c r="Q77" s="33">
        <f t="shared" si="51"/>
        <v>0</v>
      </c>
      <c r="R77" s="33">
        <f t="shared" si="57"/>
        <v>0</v>
      </c>
      <c r="S77" s="33">
        <f t="shared" si="58"/>
        <v>0</v>
      </c>
      <c r="T77" s="33">
        <f t="shared" si="44"/>
        <v>0</v>
      </c>
      <c r="U77" s="33">
        <f t="shared" si="52"/>
        <v>0</v>
      </c>
      <c r="V77" s="33">
        <f t="shared" si="45"/>
        <v>0</v>
      </c>
      <c r="W77" s="33">
        <v>0</v>
      </c>
      <c r="X77" s="33">
        <f t="shared" si="46"/>
        <v>0</v>
      </c>
      <c r="Y77" s="38">
        <f t="shared" si="47"/>
        <v>0</v>
      </c>
      <c r="AA77" s="71">
        <v>72</v>
      </c>
      <c r="AB77" s="33">
        <f t="shared" si="48"/>
        <v>0</v>
      </c>
      <c r="AC77" s="308">
        <f t="shared" si="40"/>
        <v>0</v>
      </c>
      <c r="AD77" s="101">
        <f t="shared" si="49"/>
        <v>0</v>
      </c>
      <c r="AE77" s="101">
        <f t="shared" si="50"/>
        <v>0</v>
      </c>
      <c r="AF77" s="197">
        <f t="shared" si="35"/>
        <v>0</v>
      </c>
      <c r="AG77" s="197">
        <f t="shared" si="36"/>
        <v>0</v>
      </c>
      <c r="AH77" s="197">
        <f t="shared" si="37"/>
        <v>0</v>
      </c>
      <c r="AI77" s="202">
        <f t="shared" si="38"/>
        <v>0</v>
      </c>
      <c r="AK77" s="71">
        <v>72</v>
      </c>
      <c r="AL77" s="33"/>
      <c r="AM77" s="33"/>
      <c r="AN77" s="33"/>
      <c r="AO77" s="33"/>
      <c r="AP77" s="33"/>
      <c r="AQ77" s="197"/>
      <c r="AR77" s="197"/>
      <c r="AS77" s="197"/>
      <c r="AT77" s="197"/>
      <c r="AU77" s="33"/>
      <c r="AV77" s="33"/>
      <c r="AW77" s="33"/>
      <c r="AX77" s="33"/>
      <c r="AY77" s="76"/>
    </row>
    <row r="78" spans="2:51">
      <c r="B78" s="43"/>
      <c r="C78" s="156"/>
      <c r="D78" s="157"/>
      <c r="E78" s="144"/>
      <c r="F78" s="42"/>
      <c r="G78" s="51"/>
      <c r="I78" s="55">
        <v>73</v>
      </c>
      <c r="J78" s="33">
        <f t="shared" si="53"/>
        <v>0</v>
      </c>
      <c r="K78" s="33">
        <f t="shared" si="54"/>
        <v>0</v>
      </c>
      <c r="L78" s="33">
        <f t="shared" si="55"/>
        <v>0</v>
      </c>
      <c r="M78" s="33">
        <f t="shared" si="56"/>
        <v>0</v>
      </c>
      <c r="N78" s="33">
        <f t="shared" si="42"/>
        <v>0</v>
      </c>
      <c r="O78" s="34">
        <f t="shared" si="43"/>
        <v>0</v>
      </c>
      <c r="P78" s="55">
        <v>73</v>
      </c>
      <c r="Q78" s="33">
        <f t="shared" si="51"/>
        <v>0</v>
      </c>
      <c r="R78" s="33">
        <f t="shared" si="57"/>
        <v>0</v>
      </c>
      <c r="S78" s="33">
        <f t="shared" si="58"/>
        <v>0</v>
      </c>
      <c r="T78" s="33">
        <f t="shared" si="44"/>
        <v>0</v>
      </c>
      <c r="U78" s="33">
        <f t="shared" si="52"/>
        <v>0</v>
      </c>
      <c r="V78" s="33">
        <f t="shared" si="45"/>
        <v>0</v>
      </c>
      <c r="W78" s="33">
        <v>0</v>
      </c>
      <c r="X78" s="33">
        <f t="shared" si="46"/>
        <v>0</v>
      </c>
      <c r="Y78" s="38">
        <f t="shared" si="47"/>
        <v>0</v>
      </c>
      <c r="AA78" s="71">
        <v>73</v>
      </c>
      <c r="AB78" s="33">
        <f t="shared" si="48"/>
        <v>0</v>
      </c>
      <c r="AC78" s="308">
        <f t="shared" si="40"/>
        <v>0</v>
      </c>
      <c r="AD78" s="101">
        <f t="shared" si="49"/>
        <v>0</v>
      </c>
      <c r="AE78" s="101">
        <f t="shared" si="50"/>
        <v>0</v>
      </c>
      <c r="AF78" s="197">
        <f t="shared" si="35"/>
        <v>0</v>
      </c>
      <c r="AG78" s="197">
        <f t="shared" si="36"/>
        <v>0</v>
      </c>
      <c r="AH78" s="197">
        <f t="shared" si="37"/>
        <v>0</v>
      </c>
      <c r="AI78" s="202">
        <f t="shared" si="38"/>
        <v>0</v>
      </c>
      <c r="AK78" s="71">
        <v>73</v>
      </c>
      <c r="AL78" s="33"/>
      <c r="AM78" s="33"/>
      <c r="AN78" s="33"/>
      <c r="AO78" s="33"/>
      <c r="AP78" s="33"/>
      <c r="AQ78" s="197"/>
      <c r="AR78" s="197"/>
      <c r="AS78" s="197"/>
      <c r="AT78" s="197"/>
      <c r="AU78" s="33"/>
      <c r="AV78" s="33"/>
      <c r="AW78" s="33"/>
      <c r="AX78" s="33"/>
      <c r="AY78" s="76"/>
    </row>
    <row r="79" spans="2:51">
      <c r="I79" s="55">
        <v>74</v>
      </c>
      <c r="J79" s="33">
        <f t="shared" si="53"/>
        <v>0</v>
      </c>
      <c r="K79" s="33">
        <f t="shared" si="54"/>
        <v>0</v>
      </c>
      <c r="L79" s="33">
        <f t="shared" si="55"/>
        <v>0</v>
      </c>
      <c r="M79" s="33">
        <f t="shared" si="56"/>
        <v>0</v>
      </c>
      <c r="N79" s="33">
        <f t="shared" si="42"/>
        <v>0</v>
      </c>
      <c r="O79" s="34">
        <f t="shared" si="43"/>
        <v>0</v>
      </c>
      <c r="P79" s="55">
        <v>74</v>
      </c>
      <c r="Q79" s="33">
        <f t="shared" si="51"/>
        <v>0</v>
      </c>
      <c r="R79" s="33">
        <f t="shared" si="57"/>
        <v>0</v>
      </c>
      <c r="S79" s="33">
        <f t="shared" si="58"/>
        <v>0</v>
      </c>
      <c r="T79" s="33">
        <f t="shared" si="44"/>
        <v>0</v>
      </c>
      <c r="U79" s="33">
        <f t="shared" si="52"/>
        <v>0</v>
      </c>
      <c r="V79" s="33">
        <f t="shared" si="45"/>
        <v>0</v>
      </c>
      <c r="W79" s="33">
        <v>0</v>
      </c>
      <c r="X79" s="33">
        <f t="shared" si="46"/>
        <v>0</v>
      </c>
      <c r="Y79" s="38">
        <f t="shared" si="47"/>
        <v>0</v>
      </c>
      <c r="AA79" s="71">
        <v>74</v>
      </c>
      <c r="AB79" s="33">
        <f t="shared" si="48"/>
        <v>0</v>
      </c>
      <c r="AC79" s="308">
        <f t="shared" si="40"/>
        <v>0</v>
      </c>
      <c r="AD79" s="101">
        <f t="shared" si="49"/>
        <v>0</v>
      </c>
      <c r="AE79" s="101">
        <f t="shared" si="50"/>
        <v>0</v>
      </c>
      <c r="AF79" s="197">
        <f t="shared" si="35"/>
        <v>0</v>
      </c>
      <c r="AG79" s="197">
        <f t="shared" si="36"/>
        <v>0</v>
      </c>
      <c r="AH79" s="197">
        <f t="shared" si="37"/>
        <v>0</v>
      </c>
      <c r="AI79" s="202">
        <f t="shared" si="38"/>
        <v>0</v>
      </c>
      <c r="AK79" s="71">
        <v>74</v>
      </c>
      <c r="AL79" s="33"/>
      <c r="AM79" s="33"/>
      <c r="AN79" s="33"/>
      <c r="AO79" s="33"/>
      <c r="AP79" s="33"/>
      <c r="AQ79" s="197"/>
      <c r="AR79" s="197"/>
      <c r="AS79" s="197"/>
      <c r="AT79" s="197"/>
      <c r="AU79" s="33"/>
      <c r="AV79" s="33"/>
      <c r="AW79" s="33"/>
      <c r="AX79" s="33"/>
      <c r="AY79" s="76"/>
    </row>
    <row r="80" spans="2:51">
      <c r="B80" s="358" t="s">
        <v>259</v>
      </c>
      <c r="C80" s="359"/>
      <c r="D80" s="359"/>
      <c r="E80" s="359"/>
      <c r="F80" s="359"/>
      <c r="G80" s="360"/>
      <c r="H80" s="23"/>
      <c r="I80" s="55">
        <v>75</v>
      </c>
      <c r="J80" s="33">
        <f t="shared" si="53"/>
        <v>0</v>
      </c>
      <c r="K80" s="33">
        <f t="shared" si="54"/>
        <v>0</v>
      </c>
      <c r="L80" s="33">
        <f t="shared" si="55"/>
        <v>0</v>
      </c>
      <c r="M80" s="33">
        <f t="shared" si="56"/>
        <v>0</v>
      </c>
      <c r="N80" s="33">
        <f t="shared" si="42"/>
        <v>0</v>
      </c>
      <c r="O80" s="34">
        <f t="shared" si="43"/>
        <v>0</v>
      </c>
      <c r="P80" s="55">
        <v>75</v>
      </c>
      <c r="Q80" s="33">
        <f t="shared" si="51"/>
        <v>0</v>
      </c>
      <c r="R80" s="33">
        <f t="shared" si="57"/>
        <v>0</v>
      </c>
      <c r="S80" s="33">
        <f t="shared" si="58"/>
        <v>0</v>
      </c>
      <c r="T80" s="33">
        <f t="shared" si="44"/>
        <v>0</v>
      </c>
      <c r="U80" s="33">
        <f t="shared" si="52"/>
        <v>0</v>
      </c>
      <c r="V80" s="33">
        <f t="shared" si="45"/>
        <v>0</v>
      </c>
      <c r="W80" s="33">
        <v>0</v>
      </c>
      <c r="X80" s="33">
        <f t="shared" si="46"/>
        <v>0</v>
      </c>
      <c r="Y80" s="38">
        <f t="shared" si="47"/>
        <v>0</v>
      </c>
      <c r="AA80" s="71">
        <v>75</v>
      </c>
      <c r="AB80" s="33">
        <f t="shared" si="48"/>
        <v>0</v>
      </c>
      <c r="AC80" s="308">
        <f t="shared" si="40"/>
        <v>0</v>
      </c>
      <c r="AD80" s="101">
        <f t="shared" si="49"/>
        <v>0</v>
      </c>
      <c r="AE80" s="101">
        <f t="shared" si="50"/>
        <v>0</v>
      </c>
      <c r="AF80" s="197">
        <f t="shared" si="35"/>
        <v>0</v>
      </c>
      <c r="AG80" s="197">
        <f t="shared" si="36"/>
        <v>0</v>
      </c>
      <c r="AH80" s="197">
        <f t="shared" si="37"/>
        <v>0</v>
      </c>
      <c r="AI80" s="202">
        <f t="shared" si="38"/>
        <v>0</v>
      </c>
      <c r="AK80" s="71">
        <v>75</v>
      </c>
      <c r="AL80" s="33"/>
      <c r="AM80" s="33"/>
      <c r="AN80" s="33"/>
      <c r="AO80" s="33"/>
      <c r="AP80" s="33"/>
      <c r="AQ80" s="197"/>
      <c r="AR80" s="197"/>
      <c r="AS80" s="197"/>
      <c r="AT80" s="197"/>
      <c r="AU80" s="33"/>
      <c r="AV80" s="33"/>
      <c r="AW80" s="33"/>
      <c r="AX80" s="33"/>
      <c r="AY80" s="76"/>
    </row>
    <row r="81" spans="2:51">
      <c r="B81" s="138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7"/>
      <c r="I81" s="55">
        <v>76</v>
      </c>
      <c r="J81" s="33">
        <f t="shared" si="53"/>
        <v>0</v>
      </c>
      <c r="K81" s="33">
        <f t="shared" si="54"/>
        <v>0</v>
      </c>
      <c r="L81" s="33">
        <f t="shared" si="55"/>
        <v>0</v>
      </c>
      <c r="M81" s="33">
        <f t="shared" si="56"/>
        <v>0</v>
      </c>
      <c r="N81" s="33">
        <f t="shared" si="42"/>
        <v>0</v>
      </c>
      <c r="O81" s="34">
        <f t="shared" si="43"/>
        <v>0</v>
      </c>
      <c r="P81" s="55">
        <v>76</v>
      </c>
      <c r="Q81" s="33">
        <f t="shared" si="51"/>
        <v>0</v>
      </c>
      <c r="R81" s="33">
        <f t="shared" si="57"/>
        <v>0</v>
      </c>
      <c r="S81" s="33">
        <f t="shared" si="58"/>
        <v>0</v>
      </c>
      <c r="T81" s="33">
        <f t="shared" si="44"/>
        <v>0</v>
      </c>
      <c r="U81" s="33">
        <f t="shared" si="52"/>
        <v>0</v>
      </c>
      <c r="V81" s="33">
        <f t="shared" si="45"/>
        <v>0</v>
      </c>
      <c r="W81" s="33">
        <v>0</v>
      </c>
      <c r="X81" s="33">
        <f t="shared" si="46"/>
        <v>0</v>
      </c>
      <c r="Y81" s="38">
        <f t="shared" si="47"/>
        <v>0</v>
      </c>
      <c r="AA81" s="71">
        <v>76</v>
      </c>
      <c r="AB81" s="33">
        <f t="shared" si="48"/>
        <v>0</v>
      </c>
      <c r="AC81" s="308">
        <f t="shared" si="40"/>
        <v>0</v>
      </c>
      <c r="AD81" s="101">
        <f t="shared" si="49"/>
        <v>0</v>
      </c>
      <c r="AE81" s="101">
        <f t="shared" si="50"/>
        <v>0</v>
      </c>
      <c r="AF81" s="197">
        <f t="shared" si="35"/>
        <v>0</v>
      </c>
      <c r="AG81" s="197">
        <f t="shared" si="36"/>
        <v>0</v>
      </c>
      <c r="AH81" s="197">
        <f t="shared" si="37"/>
        <v>0</v>
      </c>
      <c r="AI81" s="202">
        <f t="shared" si="38"/>
        <v>0</v>
      </c>
      <c r="AK81" s="71">
        <v>76</v>
      </c>
      <c r="AL81" s="33"/>
      <c r="AM81" s="33"/>
      <c r="AN81" s="33"/>
      <c r="AO81" s="33"/>
      <c r="AP81" s="33"/>
      <c r="AQ81" s="197"/>
      <c r="AR81" s="197"/>
      <c r="AS81" s="197"/>
      <c r="AT81" s="197"/>
      <c r="AU81" s="33"/>
      <c r="AV81" s="33"/>
      <c r="AW81" s="33"/>
      <c r="AX81" s="33"/>
      <c r="AY81" s="76"/>
    </row>
    <row r="82" spans="2:51">
      <c r="B82" s="173">
        <f>IF(C25&lt;=$F$18,C25+1,"-")</f>
        <v>16</v>
      </c>
      <c r="C82" s="148">
        <f>D25-D26</f>
        <v>14</v>
      </c>
      <c r="D82" s="149"/>
      <c r="E82" s="174">
        <f>IF(G82+D82&lt;&gt;1,(1-(G82+D82))*56%,0)</f>
        <v>0.56000000000000005</v>
      </c>
      <c r="F82" s="174">
        <f>IF(G82+D82&lt;&gt;1,(1-(G82+D82))*44%,0)</f>
        <v>0.44</v>
      </c>
      <c r="G82" s="150"/>
      <c r="H82" s="58">
        <f t="shared" ref="H82:H94" si="59">IF(C82=0,0,IF(SUM(D82:G82)&lt;&gt;1,"erreur",))</f>
        <v>0</v>
      </c>
      <c r="I82" s="55">
        <v>77</v>
      </c>
      <c r="J82" s="33">
        <f t="shared" si="53"/>
        <v>0</v>
      </c>
      <c r="K82" s="33">
        <f t="shared" si="54"/>
        <v>0</v>
      </c>
      <c r="L82" s="33">
        <f t="shared" si="55"/>
        <v>0</v>
      </c>
      <c r="M82" s="33">
        <f t="shared" si="56"/>
        <v>0</v>
      </c>
      <c r="N82" s="33">
        <f t="shared" si="42"/>
        <v>0</v>
      </c>
      <c r="O82" s="34">
        <f t="shared" si="43"/>
        <v>0</v>
      </c>
      <c r="P82" s="55">
        <v>77</v>
      </c>
      <c r="Q82" s="33">
        <f t="shared" si="51"/>
        <v>0</v>
      </c>
      <c r="R82" s="33">
        <f t="shared" si="57"/>
        <v>0</v>
      </c>
      <c r="S82" s="33">
        <f t="shared" si="58"/>
        <v>0</v>
      </c>
      <c r="T82" s="33">
        <f t="shared" si="44"/>
        <v>0</v>
      </c>
      <c r="U82" s="33">
        <f t="shared" si="52"/>
        <v>0</v>
      </c>
      <c r="V82" s="33">
        <f t="shared" si="45"/>
        <v>0</v>
      </c>
      <c r="W82" s="33">
        <v>0</v>
      </c>
      <c r="X82" s="33">
        <f t="shared" si="46"/>
        <v>0</v>
      </c>
      <c r="Y82" s="38">
        <f t="shared" si="47"/>
        <v>0</v>
      </c>
      <c r="AA82" s="71">
        <v>77</v>
      </c>
      <c r="AB82" s="33">
        <f t="shared" si="48"/>
        <v>0</v>
      </c>
      <c r="AC82" s="308">
        <f t="shared" si="40"/>
        <v>0</v>
      </c>
      <c r="AD82" s="101">
        <f t="shared" si="49"/>
        <v>0</v>
      </c>
      <c r="AE82" s="101">
        <f t="shared" si="50"/>
        <v>0</v>
      </c>
      <c r="AF82" s="197">
        <f t="shared" si="35"/>
        <v>0</v>
      </c>
      <c r="AG82" s="197">
        <f t="shared" si="36"/>
        <v>0</v>
      </c>
      <c r="AH82" s="197">
        <f t="shared" si="37"/>
        <v>0</v>
      </c>
      <c r="AI82" s="202">
        <f t="shared" si="38"/>
        <v>0</v>
      </c>
      <c r="AK82" s="71">
        <v>77</v>
      </c>
      <c r="AL82" s="33"/>
      <c r="AM82" s="33"/>
      <c r="AN82" s="33"/>
      <c r="AO82" s="33"/>
      <c r="AP82" s="33"/>
      <c r="AQ82" s="197"/>
      <c r="AR82" s="197"/>
      <c r="AS82" s="197"/>
      <c r="AT82" s="197"/>
      <c r="AU82" s="33"/>
      <c r="AV82" s="33"/>
      <c r="AW82" s="33"/>
      <c r="AX82" s="33"/>
      <c r="AY82" s="76"/>
    </row>
    <row r="83" spans="2:51">
      <c r="B83" s="175">
        <f>IF(C27&lt;=$F$18,C27+1,"-")</f>
        <v>21</v>
      </c>
      <c r="C83" s="151">
        <f>D27-D28</f>
        <v>49</v>
      </c>
      <c r="D83" s="152"/>
      <c r="E83" s="130">
        <f t="shared" ref="E83:E94" si="60">IF(G83+D83&lt;&gt;1,(1-(G83+D83))*56%,0)</f>
        <v>0.56000000000000005</v>
      </c>
      <c r="F83" s="130">
        <f t="shared" ref="F83:F94" si="61">IF(G83+D83&lt;&gt;1,(1-(G83+D83))*44%,0)</f>
        <v>0.44</v>
      </c>
      <c r="G83" s="153"/>
      <c r="H83" s="58">
        <f t="shared" si="59"/>
        <v>0</v>
      </c>
      <c r="I83" s="55">
        <v>78</v>
      </c>
      <c r="J83" s="33">
        <f t="shared" si="53"/>
        <v>0</v>
      </c>
      <c r="K83" s="33">
        <f t="shared" si="54"/>
        <v>0</v>
      </c>
      <c r="L83" s="33">
        <f t="shared" si="55"/>
        <v>0</v>
      </c>
      <c r="M83" s="33">
        <f t="shared" si="56"/>
        <v>0</v>
      </c>
      <c r="N83" s="33">
        <f t="shared" si="42"/>
        <v>0</v>
      </c>
      <c r="O83" s="34">
        <f t="shared" si="43"/>
        <v>0</v>
      </c>
      <c r="P83" s="55">
        <v>78</v>
      </c>
      <c r="Q83" s="33">
        <f t="shared" si="51"/>
        <v>0</v>
      </c>
      <c r="R83" s="33">
        <f t="shared" si="57"/>
        <v>0</v>
      </c>
      <c r="S83" s="33">
        <f t="shared" si="58"/>
        <v>0</v>
      </c>
      <c r="T83" s="33">
        <f t="shared" si="44"/>
        <v>0</v>
      </c>
      <c r="U83" s="33">
        <f t="shared" si="52"/>
        <v>0</v>
      </c>
      <c r="V83" s="33">
        <f t="shared" si="45"/>
        <v>0</v>
      </c>
      <c r="W83" s="33">
        <v>0</v>
      </c>
      <c r="X83" s="33">
        <f t="shared" si="46"/>
        <v>0</v>
      </c>
      <c r="Y83" s="38">
        <f t="shared" si="47"/>
        <v>0</v>
      </c>
      <c r="AA83" s="71">
        <v>78</v>
      </c>
      <c r="AB83" s="33">
        <f t="shared" si="48"/>
        <v>0</v>
      </c>
      <c r="AC83" s="308">
        <f t="shared" si="40"/>
        <v>0</v>
      </c>
      <c r="AD83" s="101">
        <f t="shared" si="49"/>
        <v>0</v>
      </c>
      <c r="AE83" s="101">
        <f t="shared" si="50"/>
        <v>0</v>
      </c>
      <c r="AF83" s="197">
        <f t="shared" si="35"/>
        <v>0</v>
      </c>
      <c r="AG83" s="197">
        <f t="shared" si="36"/>
        <v>0</v>
      </c>
      <c r="AH83" s="197">
        <f t="shared" si="37"/>
        <v>0</v>
      </c>
      <c r="AI83" s="202">
        <f t="shared" si="38"/>
        <v>0</v>
      </c>
      <c r="AK83" s="71">
        <v>78</v>
      </c>
      <c r="AL83" s="33"/>
      <c r="AM83" s="33"/>
      <c r="AN83" s="33"/>
      <c r="AO83" s="33"/>
      <c r="AP83" s="33"/>
      <c r="AQ83" s="197"/>
      <c r="AR83" s="197"/>
      <c r="AS83" s="197"/>
      <c r="AT83" s="197"/>
      <c r="AU83" s="33"/>
      <c r="AV83" s="33"/>
      <c r="AW83" s="33"/>
      <c r="AX83" s="33"/>
      <c r="AY83" s="76"/>
    </row>
    <row r="84" spans="2:51">
      <c r="B84" s="190">
        <f>IF(C29&lt;=$F$18,C29+1,"-")</f>
        <v>26</v>
      </c>
      <c r="C84" s="151">
        <f>D29-D30</f>
        <v>49</v>
      </c>
      <c r="D84" s="152"/>
      <c r="E84" s="130">
        <f t="shared" si="60"/>
        <v>0.56000000000000005</v>
      </c>
      <c r="F84" s="130">
        <f t="shared" si="61"/>
        <v>0.44</v>
      </c>
      <c r="G84" s="153"/>
      <c r="H84" s="58">
        <f t="shared" si="59"/>
        <v>0</v>
      </c>
      <c r="I84" s="55">
        <v>79</v>
      </c>
      <c r="J84" s="33">
        <f t="shared" si="53"/>
        <v>0</v>
      </c>
      <c r="K84" s="33">
        <f t="shared" si="54"/>
        <v>0</v>
      </c>
      <c r="L84" s="33">
        <f t="shared" si="55"/>
        <v>0</v>
      </c>
      <c r="M84" s="33">
        <f t="shared" si="56"/>
        <v>0</v>
      </c>
      <c r="N84" s="33">
        <f t="shared" si="42"/>
        <v>0</v>
      </c>
      <c r="O84" s="34">
        <f t="shared" si="43"/>
        <v>0</v>
      </c>
      <c r="P84" s="55">
        <v>79</v>
      </c>
      <c r="Q84" s="33">
        <f t="shared" si="51"/>
        <v>0</v>
      </c>
      <c r="R84" s="33">
        <f t="shared" si="57"/>
        <v>0</v>
      </c>
      <c r="S84" s="33">
        <f t="shared" si="58"/>
        <v>0</v>
      </c>
      <c r="T84" s="33">
        <f t="shared" si="44"/>
        <v>0</v>
      </c>
      <c r="U84" s="33">
        <f t="shared" si="52"/>
        <v>0</v>
      </c>
      <c r="V84" s="33">
        <f t="shared" si="45"/>
        <v>0</v>
      </c>
      <c r="W84" s="33">
        <v>0</v>
      </c>
      <c r="X84" s="33">
        <f t="shared" si="46"/>
        <v>0</v>
      </c>
      <c r="Y84" s="38">
        <f t="shared" si="47"/>
        <v>0</v>
      </c>
      <c r="AA84" s="71">
        <v>79</v>
      </c>
      <c r="AB84" s="33">
        <f t="shared" si="48"/>
        <v>0</v>
      </c>
      <c r="AC84" s="308">
        <f t="shared" si="40"/>
        <v>0</v>
      </c>
      <c r="AD84" s="101">
        <f t="shared" si="49"/>
        <v>0</v>
      </c>
      <c r="AE84" s="101">
        <f t="shared" si="50"/>
        <v>0</v>
      </c>
      <c r="AF84" s="197">
        <f t="shared" si="35"/>
        <v>0</v>
      </c>
      <c r="AG84" s="197">
        <f t="shared" si="36"/>
        <v>0</v>
      </c>
      <c r="AH84" s="197">
        <f t="shared" si="37"/>
        <v>0</v>
      </c>
      <c r="AI84" s="202">
        <f t="shared" si="38"/>
        <v>0</v>
      </c>
      <c r="AK84" s="71">
        <v>79</v>
      </c>
      <c r="AL84" s="33"/>
      <c r="AM84" s="33"/>
      <c r="AN84" s="33"/>
      <c r="AO84" s="33"/>
      <c r="AP84" s="33"/>
      <c r="AQ84" s="197"/>
      <c r="AR84" s="197"/>
      <c r="AS84" s="197"/>
      <c r="AT84" s="197"/>
      <c r="AU84" s="33"/>
      <c r="AV84" s="33"/>
      <c r="AW84" s="33"/>
      <c r="AX84" s="33"/>
      <c r="AY84" s="76"/>
    </row>
    <row r="85" spans="2:51">
      <c r="B85" s="175">
        <f>IF(C31&lt;=$F$18,C31+1,"-")</f>
        <v>31</v>
      </c>
      <c r="C85" s="151">
        <f>D31-D32</f>
        <v>49</v>
      </c>
      <c r="D85" s="152"/>
      <c r="E85" s="130">
        <f t="shared" si="60"/>
        <v>0.56000000000000005</v>
      </c>
      <c r="F85" s="130">
        <f t="shared" si="61"/>
        <v>0.44</v>
      </c>
      <c r="G85" s="153"/>
      <c r="H85" s="58">
        <f t="shared" si="59"/>
        <v>0</v>
      </c>
      <c r="I85" s="55">
        <v>80</v>
      </c>
      <c r="J85" s="33">
        <f t="shared" si="53"/>
        <v>0</v>
      </c>
      <c r="K85" s="33">
        <f t="shared" si="54"/>
        <v>0</v>
      </c>
      <c r="L85" s="33">
        <f t="shared" si="55"/>
        <v>0</v>
      </c>
      <c r="M85" s="33">
        <f t="shared" si="56"/>
        <v>0</v>
      </c>
      <c r="N85" s="33">
        <f t="shared" si="42"/>
        <v>0</v>
      </c>
      <c r="O85" s="34">
        <f t="shared" si="43"/>
        <v>0</v>
      </c>
      <c r="P85" s="55">
        <v>80</v>
      </c>
      <c r="Q85" s="33">
        <f t="shared" si="51"/>
        <v>0</v>
      </c>
      <c r="R85" s="33">
        <f t="shared" si="57"/>
        <v>0</v>
      </c>
      <c r="S85" s="33">
        <f t="shared" si="58"/>
        <v>0</v>
      </c>
      <c r="T85" s="33">
        <f t="shared" si="44"/>
        <v>0</v>
      </c>
      <c r="U85" s="33">
        <f t="shared" si="52"/>
        <v>0</v>
      </c>
      <c r="V85" s="33">
        <f t="shared" si="45"/>
        <v>0</v>
      </c>
      <c r="W85" s="33">
        <v>0</v>
      </c>
      <c r="X85" s="33">
        <f t="shared" si="46"/>
        <v>0</v>
      </c>
      <c r="Y85" s="38">
        <f t="shared" si="47"/>
        <v>0</v>
      </c>
      <c r="AA85" s="71">
        <v>80</v>
      </c>
      <c r="AB85" s="33">
        <f t="shared" si="48"/>
        <v>0</v>
      </c>
      <c r="AC85" s="308">
        <f t="shared" si="40"/>
        <v>0</v>
      </c>
      <c r="AD85" s="101">
        <f t="shared" si="49"/>
        <v>0</v>
      </c>
      <c r="AE85" s="101">
        <f t="shared" si="50"/>
        <v>0</v>
      </c>
      <c r="AF85" s="197">
        <f t="shared" si="35"/>
        <v>0</v>
      </c>
      <c r="AG85" s="197">
        <f t="shared" si="36"/>
        <v>0</v>
      </c>
      <c r="AH85" s="197">
        <f t="shared" si="37"/>
        <v>0</v>
      </c>
      <c r="AI85" s="202">
        <f t="shared" si="38"/>
        <v>0</v>
      </c>
      <c r="AK85" s="71">
        <v>80</v>
      </c>
      <c r="AL85" s="33"/>
      <c r="AM85" s="33"/>
      <c r="AN85" s="33"/>
      <c r="AO85" s="33"/>
      <c r="AP85" s="33"/>
      <c r="AQ85" s="197"/>
      <c r="AR85" s="197"/>
      <c r="AS85" s="197"/>
      <c r="AT85" s="197"/>
      <c r="AU85" s="33"/>
      <c r="AV85" s="33"/>
      <c r="AW85" s="33"/>
      <c r="AX85" s="33"/>
      <c r="AY85" s="76"/>
    </row>
    <row r="86" spans="2:51">
      <c r="B86" s="175">
        <f>IF(C33&lt;=$F$18,C33+1,"-")</f>
        <v>36</v>
      </c>
      <c r="C86" s="151">
        <f>D33-D34</f>
        <v>49</v>
      </c>
      <c r="D86" s="152">
        <v>0.4</v>
      </c>
      <c r="E86" s="130">
        <f t="shared" si="60"/>
        <v>0.33600000000000002</v>
      </c>
      <c r="F86" s="130">
        <f t="shared" si="61"/>
        <v>0.26400000000000001</v>
      </c>
      <c r="G86" s="153"/>
      <c r="H86" s="58">
        <f t="shared" si="59"/>
        <v>0</v>
      </c>
      <c r="I86" s="55">
        <v>81</v>
      </c>
      <c r="J86" s="33">
        <f t="shared" si="53"/>
        <v>0</v>
      </c>
      <c r="K86" s="33">
        <f t="shared" si="54"/>
        <v>0</v>
      </c>
      <c r="L86" s="33">
        <f t="shared" si="55"/>
        <v>0</v>
      </c>
      <c r="M86" s="33">
        <f t="shared" si="56"/>
        <v>0</v>
      </c>
      <c r="N86" s="33">
        <f t="shared" si="42"/>
        <v>0</v>
      </c>
      <c r="O86" s="34">
        <f t="shared" si="43"/>
        <v>0</v>
      </c>
      <c r="P86" s="55">
        <v>81</v>
      </c>
      <c r="Q86" s="33">
        <f t="shared" si="51"/>
        <v>0</v>
      </c>
      <c r="R86" s="33">
        <f t="shared" si="57"/>
        <v>0</v>
      </c>
      <c r="S86" s="33">
        <f t="shared" si="58"/>
        <v>0</v>
      </c>
      <c r="T86" s="33">
        <f t="shared" si="44"/>
        <v>0</v>
      </c>
      <c r="U86" s="33">
        <f t="shared" si="52"/>
        <v>0</v>
      </c>
      <c r="V86" s="33">
        <f t="shared" si="45"/>
        <v>0</v>
      </c>
      <c r="W86" s="33">
        <v>0</v>
      </c>
      <c r="X86" s="33">
        <f t="shared" si="46"/>
        <v>0</v>
      </c>
      <c r="Y86" s="38">
        <f t="shared" si="47"/>
        <v>0</v>
      </c>
      <c r="AA86" s="71">
        <v>81</v>
      </c>
      <c r="AB86" s="33">
        <f t="shared" si="48"/>
        <v>0</v>
      </c>
      <c r="AC86" s="308">
        <f t="shared" si="40"/>
        <v>0</v>
      </c>
      <c r="AD86" s="101">
        <f t="shared" si="49"/>
        <v>0</v>
      </c>
      <c r="AE86" s="101">
        <f t="shared" si="50"/>
        <v>0</v>
      </c>
      <c r="AF86" s="197">
        <f t="shared" si="35"/>
        <v>0</v>
      </c>
      <c r="AG86" s="197">
        <f t="shared" si="36"/>
        <v>0</v>
      </c>
      <c r="AH86" s="197">
        <f t="shared" si="37"/>
        <v>0</v>
      </c>
      <c r="AI86" s="202">
        <f t="shared" si="38"/>
        <v>0</v>
      </c>
      <c r="AK86" s="71">
        <v>81</v>
      </c>
      <c r="AL86" s="33"/>
      <c r="AM86" s="33"/>
      <c r="AN86" s="33"/>
      <c r="AO86" s="33"/>
      <c r="AP86" s="33"/>
      <c r="AQ86" s="197"/>
      <c r="AR86" s="197"/>
      <c r="AS86" s="197"/>
      <c r="AT86" s="197"/>
      <c r="AU86" s="33"/>
      <c r="AV86" s="33"/>
      <c r="AW86" s="33"/>
      <c r="AX86" s="33"/>
      <c r="AY86" s="76"/>
    </row>
    <row r="87" spans="2:51">
      <c r="B87" s="175">
        <f>IF(C35&lt;=$F$18,C35+1,"-")</f>
        <v>41</v>
      </c>
      <c r="C87" s="151">
        <f>D35-D36</f>
        <v>49</v>
      </c>
      <c r="D87" s="152">
        <v>0.7</v>
      </c>
      <c r="E87" s="130">
        <f t="shared" si="60"/>
        <v>0.16800000000000004</v>
      </c>
      <c r="F87" s="130">
        <f t="shared" si="61"/>
        <v>0.13200000000000003</v>
      </c>
      <c r="G87" s="153"/>
      <c r="H87" s="58">
        <f t="shared" si="59"/>
        <v>0</v>
      </c>
      <c r="I87" s="55">
        <v>82</v>
      </c>
      <c r="J87" s="33">
        <f t="shared" si="53"/>
        <v>0</v>
      </c>
      <c r="K87" s="33">
        <f t="shared" si="54"/>
        <v>0</v>
      </c>
      <c r="L87" s="33">
        <f t="shared" si="55"/>
        <v>0</v>
      </c>
      <c r="M87" s="33">
        <f t="shared" si="56"/>
        <v>0</v>
      </c>
      <c r="N87" s="33">
        <f t="shared" si="42"/>
        <v>0</v>
      </c>
      <c r="O87" s="34">
        <f t="shared" si="43"/>
        <v>0</v>
      </c>
      <c r="P87" s="55">
        <v>82</v>
      </c>
      <c r="Q87" s="33">
        <f t="shared" si="51"/>
        <v>0</v>
      </c>
      <c r="R87" s="33">
        <f t="shared" si="57"/>
        <v>0</v>
      </c>
      <c r="S87" s="33">
        <f t="shared" si="58"/>
        <v>0</v>
      </c>
      <c r="T87" s="33">
        <f t="shared" si="44"/>
        <v>0</v>
      </c>
      <c r="U87" s="33">
        <f t="shared" si="52"/>
        <v>0</v>
      </c>
      <c r="V87" s="33">
        <f t="shared" si="45"/>
        <v>0</v>
      </c>
      <c r="W87" s="33">
        <v>0</v>
      </c>
      <c r="X87" s="33">
        <f t="shared" si="46"/>
        <v>0</v>
      </c>
      <c r="Y87" s="38">
        <f t="shared" si="47"/>
        <v>0</v>
      </c>
      <c r="AA87" s="71">
        <v>82</v>
      </c>
      <c r="AB87" s="33">
        <f t="shared" si="48"/>
        <v>0</v>
      </c>
      <c r="AC87" s="308">
        <f t="shared" si="40"/>
        <v>0</v>
      </c>
      <c r="AD87" s="101">
        <f t="shared" si="49"/>
        <v>0</v>
      </c>
      <c r="AE87" s="101">
        <f t="shared" si="50"/>
        <v>0</v>
      </c>
      <c r="AF87" s="197">
        <f t="shared" si="35"/>
        <v>0</v>
      </c>
      <c r="AG87" s="197">
        <f t="shared" si="36"/>
        <v>0</v>
      </c>
      <c r="AH87" s="197">
        <f t="shared" si="37"/>
        <v>0</v>
      </c>
      <c r="AI87" s="202">
        <f t="shared" si="38"/>
        <v>0</v>
      </c>
      <c r="AK87" s="71">
        <v>82</v>
      </c>
      <c r="AL87" s="33"/>
      <c r="AM87" s="33"/>
      <c r="AN87" s="33"/>
      <c r="AO87" s="33"/>
      <c r="AP87" s="33"/>
      <c r="AQ87" s="197"/>
      <c r="AR87" s="197"/>
      <c r="AS87" s="197"/>
      <c r="AT87" s="197"/>
      <c r="AU87" s="33"/>
      <c r="AV87" s="33"/>
      <c r="AW87" s="33"/>
      <c r="AX87" s="33"/>
      <c r="AY87" s="76"/>
    </row>
    <row r="88" spans="2:51">
      <c r="B88" s="175">
        <f>IF(C37&lt;=$F$18,C37+1,"-")</f>
        <v>46</v>
      </c>
      <c r="C88" s="151">
        <f>D37-D38</f>
        <v>49</v>
      </c>
      <c r="D88" s="152">
        <v>0.7</v>
      </c>
      <c r="E88" s="130">
        <f t="shared" si="60"/>
        <v>0.16800000000000004</v>
      </c>
      <c r="F88" s="130">
        <f t="shared" si="61"/>
        <v>0.13200000000000003</v>
      </c>
      <c r="G88" s="153"/>
      <c r="H88" s="58">
        <f t="shared" si="59"/>
        <v>0</v>
      </c>
      <c r="I88" s="55">
        <v>83</v>
      </c>
      <c r="J88" s="33">
        <f t="shared" si="53"/>
        <v>0</v>
      </c>
      <c r="K88" s="33">
        <f t="shared" si="54"/>
        <v>0</v>
      </c>
      <c r="L88" s="33">
        <f t="shared" si="55"/>
        <v>0</v>
      </c>
      <c r="M88" s="33">
        <f t="shared" si="56"/>
        <v>0</v>
      </c>
      <c r="N88" s="33">
        <f t="shared" si="42"/>
        <v>0</v>
      </c>
      <c r="O88" s="34">
        <f t="shared" si="43"/>
        <v>0</v>
      </c>
      <c r="P88" s="55">
        <v>83</v>
      </c>
      <c r="Q88" s="33">
        <f t="shared" si="51"/>
        <v>0</v>
      </c>
      <c r="R88" s="33">
        <f t="shared" si="57"/>
        <v>0</v>
      </c>
      <c r="S88" s="33">
        <f t="shared" si="58"/>
        <v>0</v>
      </c>
      <c r="T88" s="33">
        <f t="shared" si="44"/>
        <v>0</v>
      </c>
      <c r="U88" s="33">
        <f t="shared" si="52"/>
        <v>0</v>
      </c>
      <c r="V88" s="33">
        <f t="shared" si="45"/>
        <v>0</v>
      </c>
      <c r="W88" s="33">
        <v>0</v>
      </c>
      <c r="X88" s="33">
        <f t="shared" si="46"/>
        <v>0</v>
      </c>
      <c r="Y88" s="38">
        <f t="shared" si="47"/>
        <v>0</v>
      </c>
      <c r="AA88" s="71">
        <v>83</v>
      </c>
      <c r="AB88" s="33">
        <f t="shared" si="48"/>
        <v>0</v>
      </c>
      <c r="AC88" s="308">
        <f t="shared" si="40"/>
        <v>0</v>
      </c>
      <c r="AD88" s="101">
        <f t="shared" si="49"/>
        <v>0</v>
      </c>
      <c r="AE88" s="101">
        <f t="shared" si="50"/>
        <v>0</v>
      </c>
      <c r="AF88" s="197">
        <f t="shared" si="35"/>
        <v>0</v>
      </c>
      <c r="AG88" s="197">
        <f t="shared" si="36"/>
        <v>0</v>
      </c>
      <c r="AH88" s="197">
        <f t="shared" si="37"/>
        <v>0</v>
      </c>
      <c r="AI88" s="202">
        <f t="shared" si="38"/>
        <v>0</v>
      </c>
      <c r="AK88" s="71">
        <v>83</v>
      </c>
      <c r="AL88" s="33"/>
      <c r="AM88" s="33"/>
      <c r="AN88" s="33"/>
      <c r="AO88" s="33"/>
      <c r="AP88" s="33"/>
      <c r="AQ88" s="197"/>
      <c r="AR88" s="197"/>
      <c r="AS88" s="197"/>
      <c r="AT88" s="197"/>
      <c r="AU88" s="33"/>
      <c r="AV88" s="33"/>
      <c r="AW88" s="33"/>
      <c r="AX88" s="33"/>
      <c r="AY88" s="76"/>
    </row>
    <row r="89" spans="2:51">
      <c r="B89" s="175">
        <f>IF(C39&lt;=$F$18,C39+1,"-")</f>
        <v>51</v>
      </c>
      <c r="C89" s="151">
        <f>D39-D40</f>
        <v>47</v>
      </c>
      <c r="D89" s="152">
        <v>0.7</v>
      </c>
      <c r="E89" s="130">
        <f t="shared" si="60"/>
        <v>0.16800000000000004</v>
      </c>
      <c r="F89" s="130">
        <f t="shared" si="61"/>
        <v>0.13200000000000003</v>
      </c>
      <c r="G89" s="153"/>
      <c r="H89" s="58">
        <f t="shared" si="59"/>
        <v>0</v>
      </c>
      <c r="I89" s="55">
        <v>84</v>
      </c>
      <c r="J89" s="33">
        <f t="shared" si="53"/>
        <v>0</v>
      </c>
      <c r="K89" s="33">
        <f t="shared" si="54"/>
        <v>0</v>
      </c>
      <c r="L89" s="33">
        <f t="shared" si="55"/>
        <v>0</v>
      </c>
      <c r="M89" s="33">
        <f t="shared" si="56"/>
        <v>0</v>
      </c>
      <c r="N89" s="33">
        <f t="shared" si="42"/>
        <v>0</v>
      </c>
      <c r="O89" s="34">
        <f t="shared" si="43"/>
        <v>0</v>
      </c>
      <c r="P89" s="55">
        <v>84</v>
      </c>
      <c r="Q89" s="33">
        <f t="shared" si="51"/>
        <v>0</v>
      </c>
      <c r="R89" s="33">
        <f t="shared" si="57"/>
        <v>0</v>
      </c>
      <c r="S89" s="33">
        <f t="shared" si="58"/>
        <v>0</v>
      </c>
      <c r="T89" s="33">
        <f t="shared" si="44"/>
        <v>0</v>
      </c>
      <c r="U89" s="33">
        <f t="shared" si="52"/>
        <v>0</v>
      </c>
      <c r="V89" s="33">
        <f t="shared" si="45"/>
        <v>0</v>
      </c>
      <c r="W89" s="33">
        <v>0</v>
      </c>
      <c r="X89" s="33">
        <f t="shared" si="46"/>
        <v>0</v>
      </c>
      <c r="Y89" s="38">
        <f t="shared" si="47"/>
        <v>0</v>
      </c>
      <c r="AA89" s="71">
        <v>84</v>
      </c>
      <c r="AB89" s="33">
        <f t="shared" si="48"/>
        <v>0</v>
      </c>
      <c r="AC89" s="308">
        <f t="shared" si="40"/>
        <v>0</v>
      </c>
      <c r="AD89" s="101">
        <f t="shared" si="49"/>
        <v>0</v>
      </c>
      <c r="AE89" s="101">
        <f t="shared" si="50"/>
        <v>0</v>
      </c>
      <c r="AF89" s="197">
        <f t="shared" si="35"/>
        <v>0</v>
      </c>
      <c r="AG89" s="197">
        <f t="shared" si="36"/>
        <v>0</v>
      </c>
      <c r="AH89" s="197">
        <f t="shared" si="37"/>
        <v>0</v>
      </c>
      <c r="AI89" s="202">
        <f t="shared" si="38"/>
        <v>0</v>
      </c>
      <c r="AK89" s="71">
        <v>84</v>
      </c>
      <c r="AL89" s="33"/>
      <c r="AM89" s="33"/>
      <c r="AN89" s="33"/>
      <c r="AO89" s="33"/>
      <c r="AP89" s="33"/>
      <c r="AQ89" s="197"/>
      <c r="AR89" s="197"/>
      <c r="AS89" s="197"/>
      <c r="AT89" s="197"/>
      <c r="AU89" s="33"/>
      <c r="AV89" s="33"/>
      <c r="AW89" s="33"/>
      <c r="AX89" s="33"/>
      <c r="AY89" s="76"/>
    </row>
    <row r="90" spans="2:51">
      <c r="B90" s="175" t="str">
        <f>IF(C41&lt;=$F$18,C41+1,"-")</f>
        <v>-</v>
      </c>
      <c r="C90" s="151">
        <f>D41-D42</f>
        <v>42</v>
      </c>
      <c r="D90" s="152">
        <v>0.7</v>
      </c>
      <c r="E90" s="130">
        <f t="shared" si="60"/>
        <v>0.16800000000000004</v>
      </c>
      <c r="F90" s="130">
        <f t="shared" si="61"/>
        <v>0.13200000000000003</v>
      </c>
      <c r="G90" s="153"/>
      <c r="H90" s="58">
        <f t="shared" si="59"/>
        <v>0</v>
      </c>
      <c r="I90" s="55">
        <v>85</v>
      </c>
      <c r="J90" s="33">
        <f t="shared" si="53"/>
        <v>0</v>
      </c>
      <c r="K90" s="33">
        <f t="shared" si="54"/>
        <v>0</v>
      </c>
      <c r="L90" s="33">
        <f t="shared" si="55"/>
        <v>0</v>
      </c>
      <c r="M90" s="33">
        <f t="shared" si="56"/>
        <v>0</v>
      </c>
      <c r="N90" s="33">
        <f t="shared" si="42"/>
        <v>0</v>
      </c>
      <c r="O90" s="34">
        <f t="shared" si="43"/>
        <v>0</v>
      </c>
      <c r="P90" s="55">
        <v>85</v>
      </c>
      <c r="Q90" s="33">
        <f t="shared" si="51"/>
        <v>0</v>
      </c>
      <c r="R90" s="33">
        <f t="shared" si="57"/>
        <v>0</v>
      </c>
      <c r="S90" s="33">
        <f t="shared" si="58"/>
        <v>0</v>
      </c>
      <c r="T90" s="33">
        <f t="shared" si="44"/>
        <v>0</v>
      </c>
      <c r="U90" s="33">
        <f t="shared" si="52"/>
        <v>0</v>
      </c>
      <c r="V90" s="33">
        <f t="shared" si="45"/>
        <v>0</v>
      </c>
      <c r="W90" s="33">
        <v>0</v>
      </c>
      <c r="X90" s="33">
        <f t="shared" si="46"/>
        <v>0</v>
      </c>
      <c r="Y90" s="38">
        <f t="shared" si="47"/>
        <v>0</v>
      </c>
      <c r="AA90" s="71">
        <v>85</v>
      </c>
      <c r="AB90" s="33">
        <f t="shared" si="48"/>
        <v>0</v>
      </c>
      <c r="AC90" s="308">
        <f t="shared" si="40"/>
        <v>0</v>
      </c>
      <c r="AD90" s="101">
        <f t="shared" si="49"/>
        <v>0</v>
      </c>
      <c r="AE90" s="101">
        <f t="shared" si="50"/>
        <v>0</v>
      </c>
      <c r="AF90" s="197">
        <f t="shared" si="35"/>
        <v>0</v>
      </c>
      <c r="AG90" s="197">
        <f t="shared" si="36"/>
        <v>0</v>
      </c>
      <c r="AH90" s="197">
        <f t="shared" si="37"/>
        <v>0</v>
      </c>
      <c r="AI90" s="202">
        <f t="shared" si="38"/>
        <v>0</v>
      </c>
      <c r="AK90" s="71">
        <v>85</v>
      </c>
      <c r="AL90" s="33"/>
      <c r="AM90" s="33"/>
      <c r="AN90" s="33"/>
      <c r="AO90" s="33"/>
      <c r="AP90" s="33"/>
      <c r="AQ90" s="197"/>
      <c r="AR90" s="197"/>
      <c r="AS90" s="197"/>
      <c r="AT90" s="197"/>
      <c r="AU90" s="33"/>
      <c r="AV90" s="33"/>
      <c r="AW90" s="33"/>
      <c r="AX90" s="33"/>
      <c r="AY90" s="76"/>
    </row>
    <row r="91" spans="2:51">
      <c r="B91" s="175" t="str">
        <f>IF(C43&lt;=$F$18,C43+1,"-")</f>
        <v>-</v>
      </c>
      <c r="C91" s="151">
        <f>D43-D44</f>
        <v>39</v>
      </c>
      <c r="D91" s="152">
        <v>0.7</v>
      </c>
      <c r="E91" s="130">
        <f t="shared" si="60"/>
        <v>0.16800000000000004</v>
      </c>
      <c r="F91" s="130">
        <f t="shared" si="61"/>
        <v>0.13200000000000003</v>
      </c>
      <c r="G91" s="153"/>
      <c r="H91" s="58">
        <f t="shared" si="59"/>
        <v>0</v>
      </c>
      <c r="I91" s="55">
        <v>86</v>
      </c>
      <c r="J91" s="33">
        <f t="shared" si="53"/>
        <v>0</v>
      </c>
      <c r="K91" s="33">
        <f t="shared" si="54"/>
        <v>0</v>
      </c>
      <c r="L91" s="33">
        <f t="shared" si="55"/>
        <v>0</v>
      </c>
      <c r="M91" s="33">
        <f t="shared" si="56"/>
        <v>0</v>
      </c>
      <c r="N91" s="33">
        <f t="shared" si="42"/>
        <v>0</v>
      </c>
      <c r="O91" s="34">
        <f t="shared" si="43"/>
        <v>0</v>
      </c>
      <c r="P91" s="55">
        <v>86</v>
      </c>
      <c r="Q91" s="33">
        <f t="shared" si="51"/>
        <v>0</v>
      </c>
      <c r="R91" s="33">
        <f t="shared" si="57"/>
        <v>0</v>
      </c>
      <c r="S91" s="33">
        <f t="shared" si="58"/>
        <v>0</v>
      </c>
      <c r="T91" s="33">
        <f t="shared" si="44"/>
        <v>0</v>
      </c>
      <c r="U91" s="33">
        <f t="shared" si="52"/>
        <v>0</v>
      </c>
      <c r="V91" s="33">
        <f t="shared" si="45"/>
        <v>0</v>
      </c>
      <c r="W91" s="33">
        <v>0</v>
      </c>
      <c r="X91" s="33">
        <f t="shared" si="46"/>
        <v>0</v>
      </c>
      <c r="Y91" s="38">
        <f t="shared" si="47"/>
        <v>0</v>
      </c>
      <c r="AA91" s="71">
        <v>86</v>
      </c>
      <c r="AB91" s="33">
        <f t="shared" si="48"/>
        <v>0</v>
      </c>
      <c r="AC91" s="308">
        <f t="shared" si="40"/>
        <v>0</v>
      </c>
      <c r="AD91" s="101">
        <f t="shared" si="49"/>
        <v>0</v>
      </c>
      <c r="AE91" s="101">
        <f t="shared" si="50"/>
        <v>0</v>
      </c>
      <c r="AF91" s="197">
        <f t="shared" ref="AF91:AF154" si="62">IF(OR(AA91&lt;=$F$18,AA91&lt;=30),EXP(-LN(2)/$D$104)*AF90+((1-EXP(-LN(2)/$D$104))/(LN(2)/$D$104))*$AB91*AC91*0.475*$F$19*44/12,)</f>
        <v>0</v>
      </c>
      <c r="AG91" s="197">
        <f t="shared" ref="AG91:AG154" si="63">IF(OR(AA91&lt;=$F$18,AA91&lt;=30),EXP(-LN(2)/$D$106)*AG90+((1-EXP(-LN(2)/$D$106))/(LN(2)/$D$106))*$AB91*AD91*0.475*$F$19*44/12,)</f>
        <v>0</v>
      </c>
      <c r="AH91" s="197">
        <f t="shared" ref="AH91:AH154" si="64">IF(OR(AA91&lt;=$F$18,AA91&lt;=30),EXP(-LN(2)/$D$105)*AH90+((1-EXP(-LN(2)/$D$105))/(LN(2)/$D$105))*$AB91*AE91*0.475*$F$19*44/12,)</f>
        <v>0</v>
      </c>
      <c r="AI91" s="202">
        <f t="shared" ref="AI91:AI154" si="65">IF(OR(AA91&lt;=$F$18,AA91&lt;=30),SUM(AF91:AH91),)</f>
        <v>0</v>
      </c>
      <c r="AK91" s="71">
        <v>86</v>
      </c>
      <c r="AL91" s="33"/>
      <c r="AM91" s="33"/>
      <c r="AN91" s="33"/>
      <c r="AO91" s="33"/>
      <c r="AP91" s="33"/>
      <c r="AQ91" s="197"/>
      <c r="AR91" s="197"/>
      <c r="AS91" s="197"/>
      <c r="AT91" s="197"/>
      <c r="AU91" s="33"/>
      <c r="AV91" s="33"/>
      <c r="AW91" s="33"/>
      <c r="AX91" s="33"/>
      <c r="AY91" s="76"/>
    </row>
    <row r="92" spans="2:51">
      <c r="B92" s="175" t="str">
        <f>IF(C45&lt;=$F$18,C45+1,"-")</f>
        <v>-</v>
      </c>
      <c r="C92" s="151">
        <f>D45-D46</f>
        <v>36</v>
      </c>
      <c r="D92" s="152">
        <v>0.7</v>
      </c>
      <c r="E92" s="130">
        <f t="shared" si="60"/>
        <v>0.16800000000000004</v>
      </c>
      <c r="F92" s="130">
        <f t="shared" si="61"/>
        <v>0.13200000000000003</v>
      </c>
      <c r="G92" s="153"/>
      <c r="H92" s="58">
        <f t="shared" si="59"/>
        <v>0</v>
      </c>
      <c r="I92" s="55">
        <v>87</v>
      </c>
      <c r="J92" s="33">
        <f t="shared" si="53"/>
        <v>0</v>
      </c>
      <c r="K92" s="33">
        <f t="shared" si="54"/>
        <v>0</v>
      </c>
      <c r="L92" s="33">
        <f t="shared" si="55"/>
        <v>0</v>
      </c>
      <c r="M92" s="33">
        <f t="shared" si="56"/>
        <v>0</v>
      </c>
      <c r="N92" s="33">
        <f t="shared" si="42"/>
        <v>0</v>
      </c>
      <c r="O92" s="34">
        <f t="shared" si="43"/>
        <v>0</v>
      </c>
      <c r="P92" s="55">
        <v>87</v>
      </c>
      <c r="Q92" s="33">
        <f t="shared" si="51"/>
        <v>0</v>
      </c>
      <c r="R92" s="33">
        <f t="shared" si="57"/>
        <v>0</v>
      </c>
      <c r="S92" s="33">
        <f t="shared" si="58"/>
        <v>0</v>
      </c>
      <c r="T92" s="33">
        <f t="shared" si="44"/>
        <v>0</v>
      </c>
      <c r="U92" s="33">
        <f t="shared" si="52"/>
        <v>0</v>
      </c>
      <c r="V92" s="33">
        <f t="shared" si="45"/>
        <v>0</v>
      </c>
      <c r="W92" s="33">
        <v>0</v>
      </c>
      <c r="X92" s="33">
        <f t="shared" si="46"/>
        <v>0</v>
      </c>
      <c r="Y92" s="38">
        <f t="shared" si="47"/>
        <v>0</v>
      </c>
      <c r="AA92" s="71">
        <v>87</v>
      </c>
      <c r="AB92" s="33">
        <f t="shared" si="48"/>
        <v>0</v>
      </c>
      <c r="AC92" s="308">
        <f t="shared" si="40"/>
        <v>0</v>
      </c>
      <c r="AD92" s="101">
        <f t="shared" si="49"/>
        <v>0</v>
      </c>
      <c r="AE92" s="101">
        <f t="shared" si="50"/>
        <v>0</v>
      </c>
      <c r="AF92" s="197">
        <f t="shared" si="62"/>
        <v>0</v>
      </c>
      <c r="AG92" s="197">
        <f t="shared" si="63"/>
        <v>0</v>
      </c>
      <c r="AH92" s="197">
        <f t="shared" si="64"/>
        <v>0</v>
      </c>
      <c r="AI92" s="202">
        <f t="shared" si="65"/>
        <v>0</v>
      </c>
      <c r="AK92" s="71">
        <v>87</v>
      </c>
      <c r="AL92" s="33"/>
      <c r="AM92" s="33"/>
      <c r="AN92" s="33"/>
      <c r="AO92" s="33"/>
      <c r="AP92" s="33"/>
      <c r="AQ92" s="197"/>
      <c r="AR92" s="197"/>
      <c r="AS92" s="197"/>
      <c r="AT92" s="197"/>
      <c r="AU92" s="33"/>
      <c r="AV92" s="33"/>
      <c r="AW92" s="33"/>
      <c r="AX92" s="33"/>
      <c r="AY92" s="76"/>
    </row>
    <row r="93" spans="2:51">
      <c r="B93" s="175" t="str">
        <f>IF(C47&lt;=$F$18,C47+1,"-")</f>
        <v>-</v>
      </c>
      <c r="C93" s="151">
        <f>D47-D48</f>
        <v>34</v>
      </c>
      <c r="D93" s="152">
        <v>0.7</v>
      </c>
      <c r="E93" s="130">
        <f t="shared" si="60"/>
        <v>0.16800000000000004</v>
      </c>
      <c r="F93" s="130">
        <f t="shared" si="61"/>
        <v>0.13200000000000003</v>
      </c>
      <c r="G93" s="153"/>
      <c r="H93" s="58">
        <f t="shared" si="59"/>
        <v>0</v>
      </c>
      <c r="I93" s="55">
        <v>88</v>
      </c>
      <c r="J93" s="33">
        <f t="shared" si="53"/>
        <v>0</v>
      </c>
      <c r="K93" s="33">
        <f t="shared" si="54"/>
        <v>0</v>
      </c>
      <c r="L93" s="33">
        <f t="shared" si="55"/>
        <v>0</v>
      </c>
      <c r="M93" s="33">
        <f t="shared" si="56"/>
        <v>0</v>
      </c>
      <c r="N93" s="33">
        <f t="shared" si="42"/>
        <v>0</v>
      </c>
      <c r="O93" s="34">
        <f t="shared" si="43"/>
        <v>0</v>
      </c>
      <c r="P93" s="55">
        <v>88</v>
      </c>
      <c r="Q93" s="33">
        <f t="shared" si="51"/>
        <v>0</v>
      </c>
      <c r="R93" s="33">
        <f t="shared" si="57"/>
        <v>0</v>
      </c>
      <c r="S93" s="33">
        <f t="shared" si="58"/>
        <v>0</v>
      </c>
      <c r="T93" s="33">
        <f t="shared" si="44"/>
        <v>0</v>
      </c>
      <c r="U93" s="33">
        <f t="shared" si="52"/>
        <v>0</v>
      </c>
      <c r="V93" s="33">
        <f t="shared" si="45"/>
        <v>0</v>
      </c>
      <c r="W93" s="33">
        <v>0</v>
      </c>
      <c r="X93" s="33">
        <f t="shared" si="46"/>
        <v>0</v>
      </c>
      <c r="Y93" s="38">
        <f t="shared" si="47"/>
        <v>0</v>
      </c>
      <c r="AA93" s="71">
        <v>88</v>
      </c>
      <c r="AB93" s="33">
        <f t="shared" si="48"/>
        <v>0</v>
      </c>
      <c r="AC93" s="308">
        <f t="shared" si="40"/>
        <v>0</v>
      </c>
      <c r="AD93" s="101">
        <f t="shared" si="49"/>
        <v>0</v>
      </c>
      <c r="AE93" s="101">
        <f t="shared" si="50"/>
        <v>0</v>
      </c>
      <c r="AF93" s="197">
        <f t="shared" si="62"/>
        <v>0</v>
      </c>
      <c r="AG93" s="197">
        <f t="shared" si="63"/>
        <v>0</v>
      </c>
      <c r="AH93" s="197">
        <f t="shared" si="64"/>
        <v>0</v>
      </c>
      <c r="AI93" s="202">
        <f t="shared" si="65"/>
        <v>0</v>
      </c>
      <c r="AK93" s="71">
        <v>88</v>
      </c>
      <c r="AL93" s="33"/>
      <c r="AM93" s="33"/>
      <c r="AN93" s="33"/>
      <c r="AO93" s="33"/>
      <c r="AP93" s="33"/>
      <c r="AQ93" s="197"/>
      <c r="AR93" s="197"/>
      <c r="AS93" s="197"/>
      <c r="AT93" s="197"/>
      <c r="AU93" s="33"/>
      <c r="AV93" s="33"/>
      <c r="AW93" s="33"/>
      <c r="AX93" s="33"/>
      <c r="AY93" s="76"/>
    </row>
    <row r="94" spans="2:51">
      <c r="B94" s="187">
        <f>F18</f>
        <v>50</v>
      </c>
      <c r="C94" s="184">
        <f>IFERROR(VLOOKUP(B94,C25:D78,2),)</f>
        <v>392</v>
      </c>
      <c r="D94" s="339">
        <v>0.95</v>
      </c>
      <c r="E94" s="341">
        <f t="shared" si="60"/>
        <v>2.8000000000000028E-2</v>
      </c>
      <c r="F94" s="341">
        <f t="shared" si="61"/>
        <v>2.200000000000002E-2</v>
      </c>
      <c r="G94" s="154"/>
      <c r="H94" s="58">
        <f t="shared" si="59"/>
        <v>0</v>
      </c>
      <c r="I94" s="55">
        <v>89</v>
      </c>
      <c r="J94" s="33">
        <f t="shared" si="53"/>
        <v>0</v>
      </c>
      <c r="K94" s="33">
        <f t="shared" si="54"/>
        <v>0</v>
      </c>
      <c r="L94" s="33">
        <f t="shared" si="55"/>
        <v>0</v>
      </c>
      <c r="M94" s="33">
        <f t="shared" si="56"/>
        <v>0</v>
      </c>
      <c r="N94" s="33">
        <f t="shared" si="42"/>
        <v>0</v>
      </c>
      <c r="O94" s="34">
        <f t="shared" si="43"/>
        <v>0</v>
      </c>
      <c r="P94" s="55">
        <v>89</v>
      </c>
      <c r="Q94" s="33">
        <f t="shared" si="51"/>
        <v>0</v>
      </c>
      <c r="R94" s="33">
        <f t="shared" si="57"/>
        <v>0</v>
      </c>
      <c r="S94" s="33">
        <f t="shared" si="58"/>
        <v>0</v>
      </c>
      <c r="T94" s="33">
        <f t="shared" si="44"/>
        <v>0</v>
      </c>
      <c r="U94" s="33">
        <f t="shared" si="52"/>
        <v>0</v>
      </c>
      <c r="V94" s="33">
        <f t="shared" si="45"/>
        <v>0</v>
      </c>
      <c r="W94" s="33">
        <v>0</v>
      </c>
      <c r="X94" s="33">
        <f t="shared" si="46"/>
        <v>0</v>
      </c>
      <c r="Y94" s="38">
        <f t="shared" si="47"/>
        <v>0</v>
      </c>
      <c r="AA94" s="71">
        <v>89</v>
      </c>
      <c r="AB94" s="33">
        <f t="shared" si="48"/>
        <v>0</v>
      </c>
      <c r="AC94" s="308">
        <f t="shared" si="40"/>
        <v>0</v>
      </c>
      <c r="AD94" s="101">
        <f t="shared" si="49"/>
        <v>0</v>
      </c>
      <c r="AE94" s="101">
        <f t="shared" si="50"/>
        <v>0</v>
      </c>
      <c r="AF94" s="197">
        <f t="shared" si="62"/>
        <v>0</v>
      </c>
      <c r="AG94" s="197">
        <f t="shared" si="63"/>
        <v>0</v>
      </c>
      <c r="AH94" s="197">
        <f t="shared" si="64"/>
        <v>0</v>
      </c>
      <c r="AI94" s="202">
        <f t="shared" si="65"/>
        <v>0</v>
      </c>
      <c r="AK94" s="71">
        <v>89</v>
      </c>
      <c r="AL94" s="33"/>
      <c r="AM94" s="33"/>
      <c r="AN94" s="33"/>
      <c r="AO94" s="33"/>
      <c r="AP94" s="33"/>
      <c r="AQ94" s="197"/>
      <c r="AR94" s="197"/>
      <c r="AS94" s="197"/>
      <c r="AT94" s="197"/>
      <c r="AU94" s="33"/>
      <c r="AV94" s="33"/>
      <c r="AW94" s="33"/>
      <c r="AX94" s="33"/>
      <c r="AY94" s="76"/>
    </row>
    <row r="95" spans="2:51">
      <c r="I95" s="55">
        <v>90</v>
      </c>
      <c r="J95" s="33">
        <f t="shared" si="53"/>
        <v>0</v>
      </c>
      <c r="K95" s="33">
        <f t="shared" si="54"/>
        <v>0</v>
      </c>
      <c r="L95" s="33">
        <f t="shared" si="55"/>
        <v>0</v>
      </c>
      <c r="M95" s="33">
        <f t="shared" si="56"/>
        <v>0</v>
      </c>
      <c r="N95" s="33">
        <f t="shared" si="42"/>
        <v>0</v>
      </c>
      <c r="O95" s="34">
        <f t="shared" si="43"/>
        <v>0</v>
      </c>
      <c r="P95" s="55">
        <v>90</v>
      </c>
      <c r="Q95" s="33">
        <f t="shared" si="51"/>
        <v>0</v>
      </c>
      <c r="R95" s="33">
        <f t="shared" si="57"/>
        <v>0</v>
      </c>
      <c r="S95" s="33">
        <f t="shared" si="58"/>
        <v>0</v>
      </c>
      <c r="T95" s="33">
        <f t="shared" si="44"/>
        <v>0</v>
      </c>
      <c r="U95" s="33">
        <f t="shared" si="52"/>
        <v>0</v>
      </c>
      <c r="V95" s="33">
        <f t="shared" si="45"/>
        <v>0</v>
      </c>
      <c r="W95" s="33">
        <v>0</v>
      </c>
      <c r="X95" s="33">
        <f t="shared" si="46"/>
        <v>0</v>
      </c>
      <c r="Y95" s="38">
        <f t="shared" si="47"/>
        <v>0</v>
      </c>
      <c r="AA95" s="71">
        <v>90</v>
      </c>
      <c r="AB95" s="33">
        <f t="shared" si="48"/>
        <v>0</v>
      </c>
      <c r="AC95" s="308">
        <f t="shared" ref="AC95:AC158" si="66">IF(AA95&lt;=$F$18,IFERROR(VLOOKUP($AA95,$B$82:$G$94,3,FALSE),0),)*50%</f>
        <v>0</v>
      </c>
      <c r="AD95" s="101">
        <f t="shared" si="49"/>
        <v>0</v>
      </c>
      <c r="AE95" s="101">
        <f t="shared" si="50"/>
        <v>0</v>
      </c>
      <c r="AF95" s="197">
        <f t="shared" si="62"/>
        <v>0</v>
      </c>
      <c r="AG95" s="197">
        <f t="shared" si="63"/>
        <v>0</v>
      </c>
      <c r="AH95" s="197">
        <f t="shared" si="64"/>
        <v>0</v>
      </c>
      <c r="AI95" s="202">
        <f t="shared" si="65"/>
        <v>0</v>
      </c>
      <c r="AK95" s="71">
        <v>90</v>
      </c>
      <c r="AL95" s="33"/>
      <c r="AM95" s="33"/>
      <c r="AN95" s="33"/>
      <c r="AO95" s="33"/>
      <c r="AP95" s="33"/>
      <c r="AQ95" s="197"/>
      <c r="AR95" s="197"/>
      <c r="AS95" s="197"/>
      <c r="AT95" s="197"/>
      <c r="AU95" s="33"/>
      <c r="AV95" s="33"/>
      <c r="AW95" s="33"/>
      <c r="AX95" s="33"/>
      <c r="AY95" s="76"/>
    </row>
    <row r="96" spans="2:51">
      <c r="C96" s="67" t="s">
        <v>154</v>
      </c>
      <c r="D96" t="s">
        <v>137</v>
      </c>
      <c r="E96" s="6"/>
      <c r="I96" s="55">
        <v>91</v>
      </c>
      <c r="J96" s="33">
        <f t="shared" si="53"/>
        <v>0</v>
      </c>
      <c r="K96" s="33">
        <f t="shared" si="54"/>
        <v>0</v>
      </c>
      <c r="L96" s="33">
        <f t="shared" si="55"/>
        <v>0</v>
      </c>
      <c r="M96" s="33">
        <f t="shared" si="56"/>
        <v>0</v>
      </c>
      <c r="N96" s="33">
        <f t="shared" si="42"/>
        <v>0</v>
      </c>
      <c r="O96" s="34">
        <f t="shared" si="43"/>
        <v>0</v>
      </c>
      <c r="P96" s="55">
        <v>91</v>
      </c>
      <c r="Q96" s="33">
        <f t="shared" si="51"/>
        <v>0</v>
      </c>
      <c r="R96" s="33">
        <f t="shared" si="57"/>
        <v>0</v>
      </c>
      <c r="S96" s="33">
        <f t="shared" si="58"/>
        <v>0</v>
      </c>
      <c r="T96" s="33">
        <f t="shared" si="44"/>
        <v>0</v>
      </c>
      <c r="U96" s="33">
        <f t="shared" si="52"/>
        <v>0</v>
      </c>
      <c r="V96" s="33">
        <f t="shared" si="45"/>
        <v>0</v>
      </c>
      <c r="W96" s="33">
        <v>0</v>
      </c>
      <c r="X96" s="33">
        <f t="shared" si="46"/>
        <v>0</v>
      </c>
      <c r="Y96" s="38">
        <f t="shared" si="47"/>
        <v>0</v>
      </c>
      <c r="AA96" s="71">
        <v>91</v>
      </c>
      <c r="AB96" s="33">
        <f t="shared" si="48"/>
        <v>0</v>
      </c>
      <c r="AC96" s="308">
        <f t="shared" si="66"/>
        <v>0</v>
      </c>
      <c r="AD96" s="101">
        <f t="shared" si="49"/>
        <v>0</v>
      </c>
      <c r="AE96" s="101">
        <f t="shared" si="50"/>
        <v>0</v>
      </c>
      <c r="AF96" s="197">
        <f t="shared" si="62"/>
        <v>0</v>
      </c>
      <c r="AG96" s="197">
        <f t="shared" si="63"/>
        <v>0</v>
      </c>
      <c r="AH96" s="197">
        <f t="shared" si="64"/>
        <v>0</v>
      </c>
      <c r="AI96" s="202">
        <f t="shared" si="65"/>
        <v>0</v>
      </c>
      <c r="AK96" s="71">
        <v>91</v>
      </c>
      <c r="AL96" s="33"/>
      <c r="AM96" s="33"/>
      <c r="AN96" s="33"/>
      <c r="AO96" s="33"/>
      <c r="AP96" s="33"/>
      <c r="AQ96" s="197"/>
      <c r="AR96" s="197"/>
      <c r="AS96" s="197"/>
      <c r="AT96" s="197"/>
      <c r="AU96" s="33"/>
      <c r="AV96" s="33"/>
      <c r="AW96" s="33"/>
      <c r="AX96" s="33"/>
      <c r="AY96" s="76"/>
    </row>
    <row r="97" spans="2:51">
      <c r="B97" s="2" t="s">
        <v>0</v>
      </c>
      <c r="C97">
        <v>32</v>
      </c>
      <c r="D97">
        <v>0</v>
      </c>
      <c r="E97" s="6"/>
      <c r="I97" s="55">
        <v>92</v>
      </c>
      <c r="J97" s="33">
        <f t="shared" si="53"/>
        <v>0</v>
      </c>
      <c r="K97" s="33">
        <f t="shared" si="54"/>
        <v>0</v>
      </c>
      <c r="L97" s="33">
        <f t="shared" si="55"/>
        <v>0</v>
      </c>
      <c r="M97" s="33">
        <f t="shared" si="56"/>
        <v>0</v>
      </c>
      <c r="N97" s="33">
        <f t="shared" si="42"/>
        <v>0</v>
      </c>
      <c r="O97" s="34">
        <f t="shared" si="43"/>
        <v>0</v>
      </c>
      <c r="P97" s="55">
        <v>92</v>
      </c>
      <c r="Q97" s="33">
        <f t="shared" si="51"/>
        <v>0</v>
      </c>
      <c r="R97" s="33">
        <f t="shared" si="57"/>
        <v>0</v>
      </c>
      <c r="S97" s="33">
        <f t="shared" si="58"/>
        <v>0</v>
      </c>
      <c r="T97" s="33">
        <f t="shared" si="44"/>
        <v>0</v>
      </c>
      <c r="U97" s="33">
        <f t="shared" si="52"/>
        <v>0</v>
      </c>
      <c r="V97" s="33">
        <f t="shared" si="45"/>
        <v>0</v>
      </c>
      <c r="W97" s="33">
        <v>0</v>
      </c>
      <c r="X97" s="33">
        <f t="shared" si="46"/>
        <v>0</v>
      </c>
      <c r="Y97" s="38">
        <f t="shared" si="47"/>
        <v>0</v>
      </c>
      <c r="AA97" s="71">
        <v>92</v>
      </c>
      <c r="AB97" s="33">
        <f t="shared" si="48"/>
        <v>0</v>
      </c>
      <c r="AC97" s="308">
        <f t="shared" si="66"/>
        <v>0</v>
      </c>
      <c r="AD97" s="101">
        <f t="shared" si="49"/>
        <v>0</v>
      </c>
      <c r="AE97" s="101">
        <f t="shared" si="50"/>
        <v>0</v>
      </c>
      <c r="AF97" s="197">
        <f t="shared" si="62"/>
        <v>0</v>
      </c>
      <c r="AG97" s="197">
        <f t="shared" si="63"/>
        <v>0</v>
      </c>
      <c r="AH97" s="197">
        <f t="shared" si="64"/>
        <v>0</v>
      </c>
      <c r="AI97" s="202">
        <f t="shared" si="65"/>
        <v>0</v>
      </c>
      <c r="AK97" s="71">
        <v>92</v>
      </c>
      <c r="AL97" s="33"/>
      <c r="AM97" s="33"/>
      <c r="AN97" s="33"/>
      <c r="AO97" s="33"/>
      <c r="AP97" s="33"/>
      <c r="AQ97" s="197"/>
      <c r="AR97" s="197"/>
      <c r="AS97" s="197"/>
      <c r="AT97" s="197"/>
      <c r="AU97" s="33"/>
      <c r="AV97" s="33"/>
      <c r="AW97" s="33"/>
      <c r="AX97" s="33"/>
      <c r="AY97" s="76"/>
    </row>
    <row r="98" spans="2:51">
      <c r="B98" s="2" t="s">
        <v>1</v>
      </c>
      <c r="C98">
        <v>45</v>
      </c>
      <c r="D98">
        <v>0</v>
      </c>
      <c r="E98" s="6"/>
      <c r="I98" s="55">
        <v>93</v>
      </c>
      <c r="J98" s="33">
        <f t="shared" si="53"/>
        <v>0</v>
      </c>
      <c r="K98" s="33">
        <f t="shared" si="54"/>
        <v>0</v>
      </c>
      <c r="L98" s="33">
        <f t="shared" si="55"/>
        <v>0</v>
      </c>
      <c r="M98" s="33">
        <f t="shared" si="56"/>
        <v>0</v>
      </c>
      <c r="N98" s="33">
        <f t="shared" si="42"/>
        <v>0</v>
      </c>
      <c r="O98" s="34">
        <f t="shared" si="43"/>
        <v>0</v>
      </c>
      <c r="P98" s="55">
        <v>93</v>
      </c>
      <c r="Q98" s="33">
        <f t="shared" si="51"/>
        <v>0</v>
      </c>
      <c r="R98" s="33">
        <f t="shared" si="57"/>
        <v>0</v>
      </c>
      <c r="S98" s="33">
        <f t="shared" si="58"/>
        <v>0</v>
      </c>
      <c r="T98" s="33">
        <f t="shared" si="44"/>
        <v>0</v>
      </c>
      <c r="U98" s="33">
        <f t="shared" si="52"/>
        <v>0</v>
      </c>
      <c r="V98" s="33">
        <f t="shared" si="45"/>
        <v>0</v>
      </c>
      <c r="W98" s="33">
        <v>0</v>
      </c>
      <c r="X98" s="33">
        <f t="shared" si="46"/>
        <v>0</v>
      </c>
      <c r="Y98" s="38">
        <f t="shared" si="47"/>
        <v>0</v>
      </c>
      <c r="AA98" s="71">
        <v>93</v>
      </c>
      <c r="AB98" s="33">
        <f t="shared" si="48"/>
        <v>0</v>
      </c>
      <c r="AC98" s="308">
        <f t="shared" si="66"/>
        <v>0</v>
      </c>
      <c r="AD98" s="101">
        <f t="shared" si="49"/>
        <v>0</v>
      </c>
      <c r="AE98" s="101">
        <f t="shared" si="50"/>
        <v>0</v>
      </c>
      <c r="AF98" s="197">
        <f t="shared" si="62"/>
        <v>0</v>
      </c>
      <c r="AG98" s="197">
        <f t="shared" si="63"/>
        <v>0</v>
      </c>
      <c r="AH98" s="197">
        <f t="shared" si="64"/>
        <v>0</v>
      </c>
      <c r="AI98" s="202">
        <f t="shared" si="65"/>
        <v>0</v>
      </c>
      <c r="AK98" s="71">
        <v>93</v>
      </c>
      <c r="AL98" s="33"/>
      <c r="AM98" s="33"/>
      <c r="AN98" s="33"/>
      <c r="AO98" s="33"/>
      <c r="AP98" s="33"/>
      <c r="AQ98" s="197"/>
      <c r="AR98" s="197"/>
      <c r="AS98" s="197"/>
      <c r="AT98" s="197"/>
      <c r="AU98" s="33"/>
      <c r="AV98" s="33"/>
      <c r="AW98" s="33"/>
      <c r="AX98" s="33"/>
      <c r="AY98" s="76"/>
    </row>
    <row r="99" spans="2:51">
      <c r="B99" s="2" t="s">
        <v>2</v>
      </c>
      <c r="C99">
        <v>70</v>
      </c>
      <c r="D99">
        <v>0</v>
      </c>
      <c r="E99" s="6"/>
      <c r="I99" s="55">
        <v>94</v>
      </c>
      <c r="J99" s="33">
        <f t="shared" si="53"/>
        <v>0</v>
      </c>
      <c r="K99" s="33">
        <f t="shared" si="54"/>
        <v>0</v>
      </c>
      <c r="L99" s="33">
        <f t="shared" si="55"/>
        <v>0</v>
      </c>
      <c r="M99" s="33">
        <f t="shared" si="56"/>
        <v>0</v>
      </c>
      <c r="N99" s="33">
        <f t="shared" si="42"/>
        <v>0</v>
      </c>
      <c r="O99" s="34">
        <f t="shared" si="43"/>
        <v>0</v>
      </c>
      <c r="P99" s="55">
        <v>94</v>
      </c>
      <c r="Q99" s="33">
        <f t="shared" si="51"/>
        <v>0</v>
      </c>
      <c r="R99" s="33">
        <f t="shared" si="57"/>
        <v>0</v>
      </c>
      <c r="S99" s="33">
        <f t="shared" si="58"/>
        <v>0</v>
      </c>
      <c r="T99" s="33">
        <f t="shared" si="44"/>
        <v>0</v>
      </c>
      <c r="U99" s="33">
        <f t="shared" si="52"/>
        <v>0</v>
      </c>
      <c r="V99" s="33">
        <f t="shared" si="45"/>
        <v>0</v>
      </c>
      <c r="W99" s="33">
        <v>0</v>
      </c>
      <c r="X99" s="33">
        <f t="shared" si="46"/>
        <v>0</v>
      </c>
      <c r="Y99" s="38">
        <f t="shared" si="47"/>
        <v>0</v>
      </c>
      <c r="AA99" s="71">
        <v>94</v>
      </c>
      <c r="AB99" s="33">
        <f t="shared" si="48"/>
        <v>0</v>
      </c>
      <c r="AC99" s="308">
        <f t="shared" si="66"/>
        <v>0</v>
      </c>
      <c r="AD99" s="101">
        <f t="shared" si="49"/>
        <v>0</v>
      </c>
      <c r="AE99" s="101">
        <f t="shared" si="50"/>
        <v>0</v>
      </c>
      <c r="AF99" s="197">
        <f t="shared" si="62"/>
        <v>0</v>
      </c>
      <c r="AG99" s="197">
        <f t="shared" si="63"/>
        <v>0</v>
      </c>
      <c r="AH99" s="197">
        <f t="shared" si="64"/>
        <v>0</v>
      </c>
      <c r="AI99" s="202">
        <f t="shared" si="65"/>
        <v>0</v>
      </c>
      <c r="AK99" s="71">
        <v>94</v>
      </c>
      <c r="AL99" s="33"/>
      <c r="AM99" s="33"/>
      <c r="AN99" s="33"/>
      <c r="AO99" s="33"/>
      <c r="AP99" s="33"/>
      <c r="AQ99" s="197"/>
      <c r="AR99" s="197"/>
      <c r="AS99" s="197"/>
      <c r="AT99" s="197"/>
      <c r="AU99" s="33"/>
      <c r="AV99" s="33"/>
      <c r="AW99" s="33"/>
      <c r="AX99" s="33"/>
      <c r="AY99" s="76"/>
    </row>
    <row r="100" spans="2:51">
      <c r="B100" s="2" t="s">
        <v>135</v>
      </c>
      <c r="C100">
        <v>70</v>
      </c>
      <c r="D100">
        <v>0</v>
      </c>
      <c r="E100" s="6"/>
      <c r="I100" s="55">
        <v>95</v>
      </c>
      <c r="J100" s="33">
        <f t="shared" si="53"/>
        <v>0</v>
      </c>
      <c r="K100" s="33">
        <f t="shared" si="54"/>
        <v>0</v>
      </c>
      <c r="L100" s="33">
        <f t="shared" si="55"/>
        <v>0</v>
      </c>
      <c r="M100" s="33">
        <f t="shared" si="56"/>
        <v>0</v>
      </c>
      <c r="N100" s="33">
        <f t="shared" si="42"/>
        <v>0</v>
      </c>
      <c r="O100" s="34">
        <f t="shared" si="43"/>
        <v>0</v>
      </c>
      <c r="P100" s="55">
        <v>95</v>
      </c>
      <c r="Q100" s="33">
        <f t="shared" si="51"/>
        <v>0</v>
      </c>
      <c r="R100" s="33">
        <f t="shared" si="57"/>
        <v>0</v>
      </c>
      <c r="S100" s="33">
        <f t="shared" si="58"/>
        <v>0</v>
      </c>
      <c r="T100" s="33">
        <f t="shared" si="44"/>
        <v>0</v>
      </c>
      <c r="U100" s="33">
        <f t="shared" si="52"/>
        <v>0</v>
      </c>
      <c r="V100" s="33">
        <f t="shared" si="45"/>
        <v>0</v>
      </c>
      <c r="W100" s="33">
        <v>0</v>
      </c>
      <c r="X100" s="33">
        <f t="shared" si="46"/>
        <v>0</v>
      </c>
      <c r="Y100" s="38">
        <f t="shared" si="47"/>
        <v>0</v>
      </c>
      <c r="AA100" s="71">
        <v>95</v>
      </c>
      <c r="AB100" s="33">
        <f t="shared" si="48"/>
        <v>0</v>
      </c>
      <c r="AC100" s="308">
        <f t="shared" si="66"/>
        <v>0</v>
      </c>
      <c r="AD100" s="101">
        <f t="shared" si="49"/>
        <v>0</v>
      </c>
      <c r="AE100" s="101">
        <f t="shared" si="50"/>
        <v>0</v>
      </c>
      <c r="AF100" s="197">
        <f t="shared" si="62"/>
        <v>0</v>
      </c>
      <c r="AG100" s="197">
        <f t="shared" si="63"/>
        <v>0</v>
      </c>
      <c r="AH100" s="197">
        <f t="shared" si="64"/>
        <v>0</v>
      </c>
      <c r="AI100" s="202">
        <f t="shared" si="65"/>
        <v>0</v>
      </c>
      <c r="AK100" s="71">
        <v>95</v>
      </c>
      <c r="AL100" s="33"/>
      <c r="AM100" s="33"/>
      <c r="AN100" s="33"/>
      <c r="AO100" s="33"/>
      <c r="AP100" s="33"/>
      <c r="AQ100" s="197"/>
      <c r="AR100" s="197"/>
      <c r="AS100" s="197"/>
      <c r="AT100" s="197"/>
      <c r="AU100" s="33"/>
      <c r="AV100" s="33"/>
      <c r="AW100" s="33"/>
      <c r="AX100" s="33"/>
      <c r="AY100" s="76"/>
    </row>
    <row r="101" spans="2:51">
      <c r="C101" s="27"/>
      <c r="E101" s="6"/>
      <c r="I101" s="55">
        <v>96</v>
      </c>
      <c r="J101" s="33">
        <f t="shared" si="53"/>
        <v>0</v>
      </c>
      <c r="K101" s="33">
        <f t="shared" si="54"/>
        <v>0</v>
      </c>
      <c r="L101" s="33">
        <f t="shared" si="55"/>
        <v>0</v>
      </c>
      <c r="M101" s="33">
        <f t="shared" si="56"/>
        <v>0</v>
      </c>
      <c r="N101" s="33">
        <f t="shared" si="42"/>
        <v>0</v>
      </c>
      <c r="O101" s="34">
        <f t="shared" si="43"/>
        <v>0</v>
      </c>
      <c r="P101" s="55">
        <v>96</v>
      </c>
      <c r="Q101" s="33">
        <f t="shared" si="51"/>
        <v>0</v>
      </c>
      <c r="R101" s="33">
        <f t="shared" si="57"/>
        <v>0</v>
      </c>
      <c r="S101" s="33">
        <f t="shared" si="58"/>
        <v>0</v>
      </c>
      <c r="T101" s="33">
        <f t="shared" si="44"/>
        <v>0</v>
      </c>
      <c r="U101" s="33">
        <f t="shared" si="52"/>
        <v>0</v>
      </c>
      <c r="V101" s="33">
        <f t="shared" si="45"/>
        <v>0</v>
      </c>
      <c r="W101" s="33">
        <v>0</v>
      </c>
      <c r="X101" s="33">
        <f t="shared" si="46"/>
        <v>0</v>
      </c>
      <c r="Y101" s="38">
        <f t="shared" si="47"/>
        <v>0</v>
      </c>
      <c r="AA101" s="71">
        <v>96</v>
      </c>
      <c r="AB101" s="33">
        <f t="shared" si="48"/>
        <v>0</v>
      </c>
      <c r="AC101" s="308">
        <f t="shared" si="66"/>
        <v>0</v>
      </c>
      <c r="AD101" s="101">
        <f t="shared" si="49"/>
        <v>0</v>
      </c>
      <c r="AE101" s="101">
        <f t="shared" si="50"/>
        <v>0</v>
      </c>
      <c r="AF101" s="197">
        <f t="shared" si="62"/>
        <v>0</v>
      </c>
      <c r="AG101" s="197">
        <f t="shared" si="63"/>
        <v>0</v>
      </c>
      <c r="AH101" s="197">
        <f t="shared" si="64"/>
        <v>0</v>
      </c>
      <c r="AI101" s="202">
        <f t="shared" si="65"/>
        <v>0</v>
      </c>
      <c r="AK101" s="71">
        <v>96</v>
      </c>
      <c r="AL101" s="33"/>
      <c r="AM101" s="33"/>
      <c r="AN101" s="33"/>
      <c r="AO101" s="33"/>
      <c r="AP101" s="33"/>
      <c r="AQ101" s="197"/>
      <c r="AR101" s="197"/>
      <c r="AS101" s="197"/>
      <c r="AT101" s="197"/>
      <c r="AU101" s="33"/>
      <c r="AV101" s="33"/>
      <c r="AW101" s="33"/>
      <c r="AX101" s="33"/>
      <c r="AY101" s="76"/>
    </row>
    <row r="102" spans="2:51">
      <c r="C102" s="27"/>
      <c r="E102" s="6"/>
      <c r="I102" s="55">
        <v>97</v>
      </c>
      <c r="J102" s="33">
        <f t="shared" si="53"/>
        <v>0</v>
      </c>
      <c r="K102" s="33">
        <f t="shared" si="54"/>
        <v>0</v>
      </c>
      <c r="L102" s="33">
        <f t="shared" si="55"/>
        <v>0</v>
      </c>
      <c r="M102" s="33">
        <f t="shared" si="56"/>
        <v>0</v>
      </c>
      <c r="N102" s="33">
        <f t="shared" si="42"/>
        <v>0</v>
      </c>
      <c r="O102" s="34">
        <f t="shared" si="43"/>
        <v>0</v>
      </c>
      <c r="P102" s="55">
        <v>97</v>
      </c>
      <c r="Q102" s="33">
        <f t="shared" ref="Q102:Q133" si="67">IF(P102&lt;=$F$18,LOOKUP(P102-1,$B$25:$B$78,$G$25:$G$78),)</f>
        <v>0</v>
      </c>
      <c r="R102" s="33">
        <f t="shared" si="57"/>
        <v>0</v>
      </c>
      <c r="S102" s="33">
        <f t="shared" si="58"/>
        <v>0</v>
      </c>
      <c r="T102" s="33">
        <f t="shared" si="44"/>
        <v>0</v>
      </c>
      <c r="U102" s="33">
        <f t="shared" si="52"/>
        <v>0</v>
      </c>
      <c r="V102" s="33">
        <f t="shared" si="45"/>
        <v>0</v>
      </c>
      <c r="W102" s="33">
        <v>0</v>
      </c>
      <c r="X102" s="33">
        <f t="shared" si="46"/>
        <v>0</v>
      </c>
      <c r="Y102" s="38">
        <f t="shared" si="47"/>
        <v>0</v>
      </c>
      <c r="AA102" s="71">
        <v>97</v>
      </c>
      <c r="AB102" s="33">
        <f t="shared" si="48"/>
        <v>0</v>
      </c>
      <c r="AC102" s="308">
        <f t="shared" si="66"/>
        <v>0</v>
      </c>
      <c r="AD102" s="101">
        <f t="shared" si="49"/>
        <v>0</v>
      </c>
      <c r="AE102" s="101">
        <f t="shared" si="50"/>
        <v>0</v>
      </c>
      <c r="AF102" s="197">
        <f t="shared" si="62"/>
        <v>0</v>
      </c>
      <c r="AG102" s="197">
        <f t="shared" si="63"/>
        <v>0</v>
      </c>
      <c r="AH102" s="197">
        <f t="shared" si="64"/>
        <v>0</v>
      </c>
      <c r="AI102" s="202">
        <f t="shared" si="65"/>
        <v>0</v>
      </c>
      <c r="AK102" s="71">
        <v>97</v>
      </c>
      <c r="AL102" s="33"/>
      <c r="AM102" s="33"/>
      <c r="AN102" s="33"/>
      <c r="AO102" s="33"/>
      <c r="AP102" s="33"/>
      <c r="AQ102" s="197"/>
      <c r="AR102" s="197"/>
      <c r="AS102" s="197"/>
      <c r="AT102" s="197"/>
      <c r="AU102" s="33"/>
      <c r="AV102" s="33"/>
      <c r="AW102" s="33"/>
      <c r="AX102" s="33"/>
      <c r="AY102" s="76"/>
    </row>
    <row r="103" spans="2:51" ht="16">
      <c r="C103" s="25" t="s">
        <v>157</v>
      </c>
      <c r="D103" s="137" t="s">
        <v>158</v>
      </c>
      <c r="F103" s="193" t="s">
        <v>232</v>
      </c>
      <c r="I103" s="55">
        <v>98</v>
      </c>
      <c r="J103" s="33">
        <f t="shared" si="53"/>
        <v>0</v>
      </c>
      <c r="K103" s="33">
        <f t="shared" si="54"/>
        <v>0</v>
      </c>
      <c r="L103" s="33">
        <f t="shared" si="55"/>
        <v>0</v>
      </c>
      <c r="M103" s="33">
        <f t="shared" si="56"/>
        <v>0</v>
      </c>
      <c r="N103" s="33">
        <f t="shared" si="42"/>
        <v>0</v>
      </c>
      <c r="O103" s="34">
        <f t="shared" si="43"/>
        <v>0</v>
      </c>
      <c r="P103" s="55">
        <v>98</v>
      </c>
      <c r="Q103" s="33">
        <f t="shared" si="67"/>
        <v>0</v>
      </c>
      <c r="R103" s="33">
        <f t="shared" si="57"/>
        <v>0</v>
      </c>
      <c r="S103" s="33">
        <f t="shared" si="58"/>
        <v>0</v>
      </c>
      <c r="T103" s="33">
        <f t="shared" si="44"/>
        <v>0</v>
      </c>
      <c r="U103" s="33">
        <f t="shared" si="52"/>
        <v>0</v>
      </c>
      <c r="V103" s="33">
        <f t="shared" si="45"/>
        <v>0</v>
      </c>
      <c r="W103" s="33">
        <v>0</v>
      </c>
      <c r="X103" s="33">
        <f t="shared" si="46"/>
        <v>0</v>
      </c>
      <c r="Y103" s="38">
        <f t="shared" si="47"/>
        <v>0</v>
      </c>
      <c r="AA103" s="71">
        <v>98</v>
      </c>
      <c r="AB103" s="33">
        <f t="shared" si="48"/>
        <v>0</v>
      </c>
      <c r="AC103" s="308">
        <f t="shared" si="66"/>
        <v>0</v>
      </c>
      <c r="AD103" s="101">
        <f t="shared" si="49"/>
        <v>0</v>
      </c>
      <c r="AE103" s="101">
        <f t="shared" si="50"/>
        <v>0</v>
      </c>
      <c r="AF103" s="197">
        <f t="shared" si="62"/>
        <v>0</v>
      </c>
      <c r="AG103" s="197">
        <f t="shared" si="63"/>
        <v>0</v>
      </c>
      <c r="AH103" s="197">
        <f t="shared" si="64"/>
        <v>0</v>
      </c>
      <c r="AI103" s="202">
        <f t="shared" si="65"/>
        <v>0</v>
      </c>
      <c r="AK103" s="71">
        <v>98</v>
      </c>
      <c r="AL103" s="33"/>
      <c r="AM103" s="33"/>
      <c r="AN103" s="33"/>
      <c r="AO103" s="33"/>
      <c r="AP103" s="33"/>
      <c r="AQ103" s="197"/>
      <c r="AR103" s="197"/>
      <c r="AS103" s="197"/>
      <c r="AT103" s="197"/>
      <c r="AU103" s="33"/>
      <c r="AV103" s="33"/>
      <c r="AW103" s="33"/>
      <c r="AX103" s="33"/>
      <c r="AY103" s="76"/>
    </row>
    <row r="104" spans="2:51">
      <c r="B104" t="s">
        <v>78</v>
      </c>
      <c r="C104">
        <v>1.52</v>
      </c>
      <c r="D104">
        <v>35</v>
      </c>
      <c r="F104" s="192" t="s">
        <v>228</v>
      </c>
      <c r="G104" s="24">
        <v>0.25</v>
      </c>
      <c r="I104" s="55">
        <v>99</v>
      </c>
      <c r="J104" s="33">
        <f t="shared" si="53"/>
        <v>0</v>
      </c>
      <c r="K104" s="33">
        <f t="shared" si="54"/>
        <v>0</v>
      </c>
      <c r="L104" s="33">
        <f t="shared" si="55"/>
        <v>0</v>
      </c>
      <c r="M104" s="33">
        <f t="shared" si="56"/>
        <v>0</v>
      </c>
      <c r="N104" s="33">
        <f t="shared" si="42"/>
        <v>0</v>
      </c>
      <c r="O104" s="34">
        <f t="shared" si="43"/>
        <v>0</v>
      </c>
      <c r="P104" s="55">
        <v>99</v>
      </c>
      <c r="Q104" s="33">
        <f t="shared" si="67"/>
        <v>0</v>
      </c>
      <c r="R104" s="33">
        <f t="shared" si="57"/>
        <v>0</v>
      </c>
      <c r="S104" s="33">
        <f t="shared" si="58"/>
        <v>0</v>
      </c>
      <c r="T104" s="33">
        <f t="shared" si="44"/>
        <v>0</v>
      </c>
      <c r="U104" s="33">
        <f t="shared" si="52"/>
        <v>0</v>
      </c>
      <c r="V104" s="33">
        <f t="shared" si="45"/>
        <v>0</v>
      </c>
      <c r="W104" s="33">
        <v>0</v>
      </c>
      <c r="X104" s="33">
        <f t="shared" si="46"/>
        <v>0</v>
      </c>
      <c r="Y104" s="38">
        <f t="shared" si="47"/>
        <v>0</v>
      </c>
      <c r="AA104" s="71">
        <v>99</v>
      </c>
      <c r="AB104" s="33">
        <f t="shared" si="48"/>
        <v>0</v>
      </c>
      <c r="AC104" s="308">
        <f t="shared" si="66"/>
        <v>0</v>
      </c>
      <c r="AD104" s="101">
        <f t="shared" si="49"/>
        <v>0</v>
      </c>
      <c r="AE104" s="101">
        <f t="shared" si="50"/>
        <v>0</v>
      </c>
      <c r="AF104" s="197">
        <f t="shared" si="62"/>
        <v>0</v>
      </c>
      <c r="AG104" s="197">
        <f t="shared" si="63"/>
        <v>0</v>
      </c>
      <c r="AH104" s="197">
        <f t="shared" si="64"/>
        <v>0</v>
      </c>
      <c r="AI104" s="202">
        <f t="shared" si="65"/>
        <v>0</v>
      </c>
      <c r="AK104" s="71">
        <v>99</v>
      </c>
      <c r="AL104" s="33"/>
      <c r="AM104" s="33"/>
      <c r="AN104" s="33"/>
      <c r="AO104" s="33"/>
      <c r="AP104" s="33"/>
      <c r="AQ104" s="197"/>
      <c r="AR104" s="197"/>
      <c r="AS104" s="197"/>
      <c r="AT104" s="197"/>
      <c r="AU104" s="33"/>
      <c r="AV104" s="33"/>
      <c r="AW104" s="33"/>
      <c r="AX104" s="33"/>
      <c r="AY104" s="76"/>
    </row>
    <row r="105" spans="2:51">
      <c r="B105" t="s">
        <v>80</v>
      </c>
      <c r="C105">
        <v>0</v>
      </c>
      <c r="D105">
        <v>2</v>
      </c>
      <c r="F105" s="192" t="s">
        <v>230</v>
      </c>
      <c r="G105" s="24">
        <v>1.03</v>
      </c>
      <c r="I105" s="55">
        <v>100</v>
      </c>
      <c r="J105" s="33">
        <f t="shared" si="53"/>
        <v>0</v>
      </c>
      <c r="K105" s="33">
        <f t="shared" si="54"/>
        <v>0</v>
      </c>
      <c r="L105" s="33">
        <f t="shared" si="55"/>
        <v>0</v>
      </c>
      <c r="M105" s="33">
        <f t="shared" si="56"/>
        <v>0</v>
      </c>
      <c r="N105" s="33">
        <f t="shared" si="42"/>
        <v>0</v>
      </c>
      <c r="O105" s="34">
        <f t="shared" si="43"/>
        <v>0</v>
      </c>
      <c r="P105" s="55">
        <v>100</v>
      </c>
      <c r="Q105" s="33">
        <f t="shared" si="67"/>
        <v>0</v>
      </c>
      <c r="R105" s="33">
        <f t="shared" si="57"/>
        <v>0</v>
      </c>
      <c r="S105" s="33">
        <f t="shared" si="58"/>
        <v>0</v>
      </c>
      <c r="T105" s="33">
        <f t="shared" si="44"/>
        <v>0</v>
      </c>
      <c r="U105" s="33">
        <f t="shared" si="52"/>
        <v>0</v>
      </c>
      <c r="V105" s="33">
        <f t="shared" si="45"/>
        <v>0</v>
      </c>
      <c r="W105" s="33">
        <v>0</v>
      </c>
      <c r="X105" s="33">
        <f t="shared" si="46"/>
        <v>0</v>
      </c>
      <c r="Y105" s="38">
        <f t="shared" si="47"/>
        <v>0</v>
      </c>
      <c r="AA105" s="71">
        <v>100</v>
      </c>
      <c r="AB105" s="33">
        <f t="shared" si="48"/>
        <v>0</v>
      </c>
      <c r="AC105" s="308">
        <f t="shared" si="66"/>
        <v>0</v>
      </c>
      <c r="AD105" s="101">
        <f t="shared" si="49"/>
        <v>0</v>
      </c>
      <c r="AE105" s="101">
        <f t="shared" si="50"/>
        <v>0</v>
      </c>
      <c r="AF105" s="197">
        <f t="shared" si="62"/>
        <v>0</v>
      </c>
      <c r="AG105" s="197">
        <f t="shared" si="63"/>
        <v>0</v>
      </c>
      <c r="AH105" s="197">
        <f t="shared" si="64"/>
        <v>0</v>
      </c>
      <c r="AI105" s="202">
        <f t="shared" si="65"/>
        <v>0</v>
      </c>
      <c r="AK105" s="71">
        <v>100</v>
      </c>
      <c r="AL105" s="33"/>
      <c r="AM105" s="33"/>
      <c r="AN105" s="33"/>
      <c r="AO105" s="33"/>
      <c r="AP105" s="33"/>
      <c r="AQ105" s="197"/>
      <c r="AR105" s="197"/>
      <c r="AS105" s="197"/>
      <c r="AT105" s="197"/>
      <c r="AU105" s="33"/>
      <c r="AV105" s="33"/>
      <c r="AW105" s="33"/>
      <c r="AX105" s="33"/>
      <c r="AY105" s="76"/>
    </row>
    <row r="106" spans="2:51" ht="30">
      <c r="B106" t="s">
        <v>81</v>
      </c>
      <c r="C106">
        <v>0.77</v>
      </c>
      <c r="D106">
        <v>25</v>
      </c>
      <c r="F106" s="192" t="s">
        <v>231</v>
      </c>
      <c r="G106" s="24">
        <v>0.59</v>
      </c>
      <c r="I106" s="55">
        <v>101</v>
      </c>
      <c r="J106" s="33">
        <f t="shared" si="53"/>
        <v>0</v>
      </c>
      <c r="K106" s="33">
        <f t="shared" si="54"/>
        <v>0</v>
      </c>
      <c r="L106" s="33">
        <f t="shared" si="55"/>
        <v>0</v>
      </c>
      <c r="M106" s="33">
        <f t="shared" si="56"/>
        <v>0</v>
      </c>
      <c r="N106" s="33">
        <f t="shared" si="42"/>
        <v>0</v>
      </c>
      <c r="O106" s="34">
        <f t="shared" si="43"/>
        <v>0</v>
      </c>
      <c r="P106" s="55">
        <v>101</v>
      </c>
      <c r="Q106" s="33">
        <f t="shared" si="67"/>
        <v>0</v>
      </c>
      <c r="R106" s="33">
        <f t="shared" si="57"/>
        <v>0</v>
      </c>
      <c r="S106" s="33">
        <f t="shared" si="58"/>
        <v>0</v>
      </c>
      <c r="T106" s="33">
        <f t="shared" si="44"/>
        <v>0</v>
      </c>
      <c r="U106" s="33">
        <f t="shared" si="52"/>
        <v>0</v>
      </c>
      <c r="V106" s="33">
        <f t="shared" si="45"/>
        <v>0</v>
      </c>
      <c r="W106" s="33">
        <v>0</v>
      </c>
      <c r="X106" s="33">
        <f t="shared" si="46"/>
        <v>0</v>
      </c>
      <c r="Y106" s="38">
        <f t="shared" si="47"/>
        <v>0</v>
      </c>
      <c r="AA106" s="71">
        <v>101</v>
      </c>
      <c r="AB106" s="33">
        <f t="shared" si="48"/>
        <v>0</v>
      </c>
      <c r="AC106" s="308">
        <f t="shared" si="66"/>
        <v>0</v>
      </c>
      <c r="AD106" s="101">
        <f t="shared" si="49"/>
        <v>0</v>
      </c>
      <c r="AE106" s="101">
        <f t="shared" si="50"/>
        <v>0</v>
      </c>
      <c r="AF106" s="197">
        <f t="shared" si="62"/>
        <v>0</v>
      </c>
      <c r="AG106" s="197">
        <f t="shared" si="63"/>
        <v>0</v>
      </c>
      <c r="AH106" s="197">
        <f t="shared" si="64"/>
        <v>0</v>
      </c>
      <c r="AI106" s="202">
        <f t="shared" si="65"/>
        <v>0</v>
      </c>
      <c r="AK106" s="71">
        <v>101</v>
      </c>
      <c r="AL106" s="33"/>
      <c r="AM106" s="33"/>
      <c r="AN106" s="33"/>
      <c r="AO106" s="33"/>
      <c r="AP106" s="33"/>
      <c r="AQ106" s="197"/>
      <c r="AR106" s="197"/>
      <c r="AS106" s="197"/>
      <c r="AT106" s="197"/>
      <c r="AU106" s="33"/>
      <c r="AV106" s="33"/>
      <c r="AW106" s="33"/>
      <c r="AX106" s="33"/>
      <c r="AY106" s="76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192" t="s">
        <v>229</v>
      </c>
      <c r="G107" s="24">
        <v>0.43</v>
      </c>
      <c r="I107" s="55">
        <v>102</v>
      </c>
      <c r="J107" s="33">
        <f t="shared" si="53"/>
        <v>0</v>
      </c>
      <c r="K107" s="33">
        <f t="shared" si="54"/>
        <v>0</v>
      </c>
      <c r="L107" s="33">
        <f t="shared" si="55"/>
        <v>0</v>
      </c>
      <c r="M107" s="33">
        <f t="shared" si="56"/>
        <v>0</v>
      </c>
      <c r="N107" s="33">
        <f t="shared" si="42"/>
        <v>0</v>
      </c>
      <c r="O107" s="34">
        <f t="shared" si="43"/>
        <v>0</v>
      </c>
      <c r="P107" s="55">
        <v>102</v>
      </c>
      <c r="Q107" s="33">
        <f t="shared" si="67"/>
        <v>0</v>
      </c>
      <c r="R107" s="33">
        <f t="shared" si="57"/>
        <v>0</v>
      </c>
      <c r="S107" s="33">
        <f t="shared" si="58"/>
        <v>0</v>
      </c>
      <c r="T107" s="33">
        <f t="shared" si="44"/>
        <v>0</v>
      </c>
      <c r="U107" s="33">
        <f t="shared" si="52"/>
        <v>0</v>
      </c>
      <c r="V107" s="33">
        <f t="shared" si="45"/>
        <v>0</v>
      </c>
      <c r="W107" s="33">
        <v>0</v>
      </c>
      <c r="X107" s="33">
        <f t="shared" si="46"/>
        <v>0</v>
      </c>
      <c r="Y107" s="38">
        <f t="shared" si="47"/>
        <v>0</v>
      </c>
      <c r="AA107" s="71">
        <v>102</v>
      </c>
      <c r="AB107" s="33">
        <f t="shared" si="48"/>
        <v>0</v>
      </c>
      <c r="AC107" s="308">
        <f t="shared" si="66"/>
        <v>0</v>
      </c>
      <c r="AD107" s="101">
        <f t="shared" si="49"/>
        <v>0</v>
      </c>
      <c r="AE107" s="101">
        <f t="shared" si="50"/>
        <v>0</v>
      </c>
      <c r="AF107" s="197">
        <f t="shared" si="62"/>
        <v>0</v>
      </c>
      <c r="AG107" s="197">
        <f t="shared" si="63"/>
        <v>0</v>
      </c>
      <c r="AH107" s="197">
        <f t="shared" si="64"/>
        <v>0</v>
      </c>
      <c r="AI107" s="202">
        <f t="shared" si="65"/>
        <v>0</v>
      </c>
      <c r="AK107" s="71">
        <v>102</v>
      </c>
      <c r="AL107" s="33"/>
      <c r="AM107" s="33"/>
      <c r="AN107" s="33"/>
      <c r="AO107" s="33"/>
      <c r="AP107" s="33"/>
      <c r="AQ107" s="197"/>
      <c r="AR107" s="197"/>
      <c r="AS107" s="197"/>
      <c r="AT107" s="197"/>
      <c r="AU107" s="33"/>
      <c r="AV107" s="33"/>
      <c r="AW107" s="33"/>
      <c r="AX107" s="33"/>
      <c r="AY107" s="76"/>
    </row>
    <row r="108" spans="2:51">
      <c r="B108" t="s">
        <v>79</v>
      </c>
      <c r="C108">
        <v>0.25</v>
      </c>
      <c r="D108">
        <v>0</v>
      </c>
      <c r="F108" s="194" t="s">
        <v>233</v>
      </c>
      <c r="G108" s="195">
        <f>G107</f>
        <v>0.43</v>
      </c>
      <c r="I108" s="55">
        <v>103</v>
      </c>
      <c r="J108" s="33">
        <f t="shared" si="53"/>
        <v>0</v>
      </c>
      <c r="K108" s="33">
        <f t="shared" si="54"/>
        <v>0</v>
      </c>
      <c r="L108" s="33">
        <f t="shared" si="55"/>
        <v>0</v>
      </c>
      <c r="M108" s="33">
        <f t="shared" si="56"/>
        <v>0</v>
      </c>
      <c r="N108" s="33">
        <f t="shared" si="42"/>
        <v>0</v>
      </c>
      <c r="O108" s="34">
        <f t="shared" si="43"/>
        <v>0</v>
      </c>
      <c r="P108" s="55">
        <v>103</v>
      </c>
      <c r="Q108" s="33">
        <f t="shared" si="67"/>
        <v>0</v>
      </c>
      <c r="R108" s="33">
        <f t="shared" si="57"/>
        <v>0</v>
      </c>
      <c r="S108" s="33">
        <f t="shared" si="58"/>
        <v>0</v>
      </c>
      <c r="T108" s="33">
        <f t="shared" si="44"/>
        <v>0</v>
      </c>
      <c r="U108" s="33">
        <f t="shared" si="52"/>
        <v>0</v>
      </c>
      <c r="V108" s="33">
        <f t="shared" si="45"/>
        <v>0</v>
      </c>
      <c r="W108" s="33">
        <v>0</v>
      </c>
      <c r="X108" s="33">
        <f t="shared" si="46"/>
        <v>0</v>
      </c>
      <c r="Y108" s="38">
        <f t="shared" si="47"/>
        <v>0</v>
      </c>
      <c r="AA108" s="71">
        <v>103</v>
      </c>
      <c r="AB108" s="33">
        <f t="shared" si="48"/>
        <v>0</v>
      </c>
      <c r="AC108" s="308">
        <f t="shared" si="66"/>
        <v>0</v>
      </c>
      <c r="AD108" s="101">
        <f t="shared" si="49"/>
        <v>0</v>
      </c>
      <c r="AE108" s="101">
        <f t="shared" si="50"/>
        <v>0</v>
      </c>
      <c r="AF108" s="197">
        <f t="shared" si="62"/>
        <v>0</v>
      </c>
      <c r="AG108" s="197">
        <f t="shared" si="63"/>
        <v>0</v>
      </c>
      <c r="AH108" s="197">
        <f t="shared" si="64"/>
        <v>0</v>
      </c>
      <c r="AI108" s="202">
        <f t="shared" si="65"/>
        <v>0</v>
      </c>
      <c r="AK108" s="71">
        <v>103</v>
      </c>
      <c r="AL108" s="33"/>
      <c r="AM108" s="33"/>
      <c r="AN108" s="33"/>
      <c r="AO108" s="33"/>
      <c r="AP108" s="33"/>
      <c r="AQ108" s="197"/>
      <c r="AR108" s="197"/>
      <c r="AS108" s="197"/>
      <c r="AT108" s="197"/>
      <c r="AU108" s="33"/>
      <c r="AV108" s="33"/>
      <c r="AW108" s="33"/>
      <c r="AX108" s="33"/>
      <c r="AY108" s="76"/>
    </row>
    <row r="109" spans="2:51">
      <c r="I109" s="55">
        <v>104</v>
      </c>
      <c r="J109" s="33">
        <f t="shared" si="53"/>
        <v>0</v>
      </c>
      <c r="K109" s="33">
        <f t="shared" si="54"/>
        <v>0</v>
      </c>
      <c r="L109" s="33">
        <f t="shared" si="55"/>
        <v>0</v>
      </c>
      <c r="M109" s="33">
        <f t="shared" si="56"/>
        <v>0</v>
      </c>
      <c r="N109" s="33">
        <f t="shared" si="42"/>
        <v>0</v>
      </c>
      <c r="O109" s="34">
        <f t="shared" si="43"/>
        <v>0</v>
      </c>
      <c r="P109" s="55">
        <v>104</v>
      </c>
      <c r="Q109" s="33">
        <f t="shared" si="67"/>
        <v>0</v>
      </c>
      <c r="R109" s="33">
        <f t="shared" si="57"/>
        <v>0</v>
      </c>
      <c r="S109" s="33">
        <f t="shared" si="58"/>
        <v>0</v>
      </c>
      <c r="T109" s="33">
        <f t="shared" si="44"/>
        <v>0</v>
      </c>
      <c r="U109" s="33">
        <f t="shared" si="52"/>
        <v>0</v>
      </c>
      <c r="V109" s="33">
        <f t="shared" si="45"/>
        <v>0</v>
      </c>
      <c r="W109" s="33">
        <v>0</v>
      </c>
      <c r="X109" s="33">
        <f t="shared" si="46"/>
        <v>0</v>
      </c>
      <c r="Y109" s="38">
        <f t="shared" si="47"/>
        <v>0</v>
      </c>
      <c r="AA109" s="71">
        <v>104</v>
      </c>
      <c r="AB109" s="33">
        <f t="shared" si="48"/>
        <v>0</v>
      </c>
      <c r="AC109" s="308">
        <f t="shared" si="66"/>
        <v>0</v>
      </c>
      <c r="AD109" s="101">
        <f t="shared" si="49"/>
        <v>0</v>
      </c>
      <c r="AE109" s="101">
        <f t="shared" si="50"/>
        <v>0</v>
      </c>
      <c r="AF109" s="197">
        <f t="shared" si="62"/>
        <v>0</v>
      </c>
      <c r="AG109" s="197">
        <f t="shared" si="63"/>
        <v>0</v>
      </c>
      <c r="AH109" s="197">
        <f t="shared" si="64"/>
        <v>0</v>
      </c>
      <c r="AI109" s="202">
        <f t="shared" si="65"/>
        <v>0</v>
      </c>
      <c r="AK109" s="71">
        <v>104</v>
      </c>
      <c r="AL109" s="33"/>
      <c r="AM109" s="33"/>
      <c r="AN109" s="33"/>
      <c r="AO109" s="33"/>
      <c r="AP109" s="33"/>
      <c r="AQ109" s="197"/>
      <c r="AR109" s="197"/>
      <c r="AS109" s="197"/>
      <c r="AT109" s="197"/>
      <c r="AU109" s="33"/>
      <c r="AV109" s="33"/>
      <c r="AW109" s="33"/>
      <c r="AX109" s="33"/>
      <c r="AY109" s="76"/>
    </row>
    <row r="110" spans="2:51">
      <c r="I110" s="55">
        <v>105</v>
      </c>
      <c r="J110" s="33">
        <f t="shared" si="53"/>
        <v>0</v>
      </c>
      <c r="K110" s="33">
        <f t="shared" si="54"/>
        <v>0</v>
      </c>
      <c r="L110" s="33">
        <f t="shared" si="55"/>
        <v>0</v>
      </c>
      <c r="M110" s="33">
        <f t="shared" si="56"/>
        <v>0</v>
      </c>
      <c r="N110" s="33">
        <f t="shared" si="42"/>
        <v>0</v>
      </c>
      <c r="O110" s="34">
        <f t="shared" si="43"/>
        <v>0</v>
      </c>
      <c r="P110" s="55">
        <v>105</v>
      </c>
      <c r="Q110" s="33">
        <f t="shared" si="67"/>
        <v>0</v>
      </c>
      <c r="R110" s="33">
        <f t="shared" si="57"/>
        <v>0</v>
      </c>
      <c r="S110" s="33">
        <f t="shared" si="58"/>
        <v>0</v>
      </c>
      <c r="T110" s="33">
        <f t="shared" si="44"/>
        <v>0</v>
      </c>
      <c r="U110" s="33">
        <f t="shared" si="52"/>
        <v>0</v>
      </c>
      <c r="V110" s="33">
        <f t="shared" si="45"/>
        <v>0</v>
      </c>
      <c r="W110" s="33">
        <v>0</v>
      </c>
      <c r="X110" s="33">
        <f t="shared" si="46"/>
        <v>0</v>
      </c>
      <c r="Y110" s="38">
        <f t="shared" si="47"/>
        <v>0</v>
      </c>
      <c r="AA110" s="71">
        <v>105</v>
      </c>
      <c r="AB110" s="33">
        <f t="shared" si="48"/>
        <v>0</v>
      </c>
      <c r="AC110" s="308">
        <f t="shared" si="66"/>
        <v>0</v>
      </c>
      <c r="AD110" s="101">
        <f t="shared" si="49"/>
        <v>0</v>
      </c>
      <c r="AE110" s="101">
        <f t="shared" si="50"/>
        <v>0</v>
      </c>
      <c r="AF110" s="197">
        <f t="shared" si="62"/>
        <v>0</v>
      </c>
      <c r="AG110" s="197">
        <f t="shared" si="63"/>
        <v>0</v>
      </c>
      <c r="AH110" s="197">
        <f t="shared" si="64"/>
        <v>0</v>
      </c>
      <c r="AI110" s="202">
        <f t="shared" si="65"/>
        <v>0</v>
      </c>
      <c r="AK110" s="71">
        <v>105</v>
      </c>
      <c r="AL110" s="33"/>
      <c r="AM110" s="33"/>
      <c r="AN110" s="33"/>
      <c r="AO110" s="33"/>
      <c r="AP110" s="33"/>
      <c r="AQ110" s="197"/>
      <c r="AR110" s="197"/>
      <c r="AS110" s="197"/>
      <c r="AT110" s="197"/>
      <c r="AU110" s="33"/>
      <c r="AV110" s="33"/>
      <c r="AW110" s="33"/>
      <c r="AX110" s="33"/>
      <c r="AY110" s="76"/>
    </row>
    <row r="111" spans="2:51">
      <c r="C111" s="137" t="s">
        <v>169</v>
      </c>
      <c r="D111" s="137"/>
      <c r="E111" s="137"/>
      <c r="I111" s="55">
        <v>106</v>
      </c>
      <c r="J111" s="33">
        <f t="shared" si="53"/>
        <v>0</v>
      </c>
      <c r="K111" s="33">
        <f t="shared" si="54"/>
        <v>0</v>
      </c>
      <c r="L111" s="33">
        <f t="shared" si="55"/>
        <v>0</v>
      </c>
      <c r="M111" s="33">
        <f t="shared" si="56"/>
        <v>0</v>
      </c>
      <c r="N111" s="33">
        <f t="shared" si="42"/>
        <v>0</v>
      </c>
      <c r="O111" s="34">
        <f t="shared" si="43"/>
        <v>0</v>
      </c>
      <c r="P111" s="55">
        <v>106</v>
      </c>
      <c r="Q111" s="33">
        <f t="shared" si="67"/>
        <v>0</v>
      </c>
      <c r="R111" s="33">
        <f t="shared" si="57"/>
        <v>0</v>
      </c>
      <c r="S111" s="33">
        <f t="shared" si="58"/>
        <v>0</v>
      </c>
      <c r="T111" s="33">
        <f t="shared" si="44"/>
        <v>0</v>
      </c>
      <c r="U111" s="33">
        <f t="shared" si="52"/>
        <v>0</v>
      </c>
      <c r="V111" s="33">
        <f t="shared" si="45"/>
        <v>0</v>
      </c>
      <c r="W111" s="33">
        <v>0</v>
      </c>
      <c r="X111" s="33">
        <f t="shared" si="46"/>
        <v>0</v>
      </c>
      <c r="Y111" s="38">
        <f t="shared" si="47"/>
        <v>0</v>
      </c>
      <c r="AA111" s="71">
        <v>106</v>
      </c>
      <c r="AB111" s="33">
        <f t="shared" si="48"/>
        <v>0</v>
      </c>
      <c r="AC111" s="308">
        <f t="shared" si="66"/>
        <v>0</v>
      </c>
      <c r="AD111" s="101">
        <f t="shared" si="49"/>
        <v>0</v>
      </c>
      <c r="AE111" s="101">
        <f t="shared" si="50"/>
        <v>0</v>
      </c>
      <c r="AF111" s="197">
        <f t="shared" si="62"/>
        <v>0</v>
      </c>
      <c r="AG111" s="197">
        <f t="shared" si="63"/>
        <v>0</v>
      </c>
      <c r="AH111" s="197">
        <f t="shared" si="64"/>
        <v>0</v>
      </c>
      <c r="AI111" s="202">
        <f t="shared" si="65"/>
        <v>0</v>
      </c>
      <c r="AK111" s="71">
        <v>106</v>
      </c>
      <c r="AL111" s="33"/>
      <c r="AM111" s="33"/>
      <c r="AN111" s="33"/>
      <c r="AO111" s="33"/>
      <c r="AP111" s="33"/>
      <c r="AQ111" s="197"/>
      <c r="AR111" s="197"/>
      <c r="AS111" s="197"/>
      <c r="AT111" s="197"/>
      <c r="AU111" s="33"/>
      <c r="AV111" s="33"/>
      <c r="AW111" s="33"/>
      <c r="AX111" s="33"/>
      <c r="AY111" s="76"/>
    </row>
    <row r="112" spans="2:51">
      <c r="C112" s="74" t="s">
        <v>145</v>
      </c>
      <c r="D112" s="74" t="s">
        <v>72</v>
      </c>
      <c r="E112" s="74" t="s">
        <v>166</v>
      </c>
      <c r="I112" s="55">
        <v>107</v>
      </c>
      <c r="J112" s="33">
        <f t="shared" si="53"/>
        <v>0</v>
      </c>
      <c r="K112" s="33">
        <f t="shared" si="54"/>
        <v>0</v>
      </c>
      <c r="L112" s="33">
        <f t="shared" si="55"/>
        <v>0</v>
      </c>
      <c r="M112" s="33">
        <f t="shared" si="56"/>
        <v>0</v>
      </c>
      <c r="N112" s="33">
        <f t="shared" si="42"/>
        <v>0</v>
      </c>
      <c r="O112" s="34">
        <f t="shared" si="43"/>
        <v>0</v>
      </c>
      <c r="P112" s="55">
        <v>107</v>
      </c>
      <c r="Q112" s="33">
        <f t="shared" si="67"/>
        <v>0</v>
      </c>
      <c r="R112" s="33">
        <f t="shared" si="57"/>
        <v>0</v>
      </c>
      <c r="S112" s="33">
        <f t="shared" si="58"/>
        <v>0</v>
      </c>
      <c r="T112" s="33">
        <f t="shared" si="44"/>
        <v>0</v>
      </c>
      <c r="U112" s="33">
        <f t="shared" si="52"/>
        <v>0</v>
      </c>
      <c r="V112" s="33">
        <f t="shared" si="45"/>
        <v>0</v>
      </c>
      <c r="W112" s="33">
        <v>0</v>
      </c>
      <c r="X112" s="33">
        <f t="shared" si="46"/>
        <v>0</v>
      </c>
      <c r="Y112" s="38">
        <f t="shared" si="47"/>
        <v>0</v>
      </c>
      <c r="AA112" s="71">
        <v>107</v>
      </c>
      <c r="AB112" s="33">
        <f t="shared" si="48"/>
        <v>0</v>
      </c>
      <c r="AC112" s="308">
        <f t="shared" si="66"/>
        <v>0</v>
      </c>
      <c r="AD112" s="101">
        <f t="shared" si="49"/>
        <v>0</v>
      </c>
      <c r="AE112" s="101">
        <f t="shared" si="50"/>
        <v>0</v>
      </c>
      <c r="AF112" s="197">
        <f t="shared" si="62"/>
        <v>0</v>
      </c>
      <c r="AG112" s="197">
        <f t="shared" si="63"/>
        <v>0</v>
      </c>
      <c r="AH112" s="197">
        <f t="shared" si="64"/>
        <v>0</v>
      </c>
      <c r="AI112" s="202">
        <f t="shared" si="65"/>
        <v>0</v>
      </c>
      <c r="AK112" s="71">
        <v>107</v>
      </c>
      <c r="AL112" s="33"/>
      <c r="AM112" s="33"/>
      <c r="AN112" s="33"/>
      <c r="AO112" s="33"/>
      <c r="AP112" s="33"/>
      <c r="AQ112" s="197"/>
      <c r="AR112" s="197"/>
      <c r="AS112" s="197"/>
      <c r="AT112" s="197"/>
      <c r="AU112" s="33"/>
      <c r="AV112" s="33"/>
      <c r="AW112" s="33"/>
      <c r="AX112" s="33"/>
      <c r="AY112" s="76"/>
    </row>
    <row r="113" spans="2:51">
      <c r="B113" s="67" t="s">
        <v>167</v>
      </c>
      <c r="C113" s="79">
        <f>1/$F$18*SUM(X6:X205)</f>
        <v>463.36963334601688</v>
      </c>
      <c r="D113" s="79">
        <f>1/$F$10*SUM(O6:O205)</f>
        <v>177.03590180507831</v>
      </c>
      <c r="E113" s="78">
        <f>C113-D113</f>
        <v>286.33373154093857</v>
      </c>
      <c r="I113" s="55">
        <v>108</v>
      </c>
      <c r="J113" s="33">
        <f t="shared" si="53"/>
        <v>0</v>
      </c>
      <c r="K113" s="33">
        <f t="shared" si="54"/>
        <v>0</v>
      </c>
      <c r="L113" s="33">
        <f t="shared" si="55"/>
        <v>0</v>
      </c>
      <c r="M113" s="33">
        <f t="shared" si="56"/>
        <v>0</v>
      </c>
      <c r="N113" s="33">
        <f t="shared" si="42"/>
        <v>0</v>
      </c>
      <c r="O113" s="34">
        <f t="shared" si="43"/>
        <v>0</v>
      </c>
      <c r="P113" s="55">
        <v>108</v>
      </c>
      <c r="Q113" s="33">
        <f t="shared" si="67"/>
        <v>0</v>
      </c>
      <c r="R113" s="33">
        <f t="shared" si="57"/>
        <v>0</v>
      </c>
      <c r="S113" s="33">
        <f t="shared" si="58"/>
        <v>0</v>
      </c>
      <c r="T113" s="33">
        <f t="shared" si="44"/>
        <v>0</v>
      </c>
      <c r="U113" s="33">
        <f t="shared" si="52"/>
        <v>0</v>
      </c>
      <c r="V113" s="33">
        <f t="shared" si="45"/>
        <v>0</v>
      </c>
      <c r="W113" s="33">
        <v>0</v>
      </c>
      <c r="X113" s="33">
        <f t="shared" si="46"/>
        <v>0</v>
      </c>
      <c r="Y113" s="38">
        <f t="shared" si="47"/>
        <v>0</v>
      </c>
      <c r="AA113" s="71">
        <v>108</v>
      </c>
      <c r="AB113" s="33">
        <f t="shared" si="48"/>
        <v>0</v>
      </c>
      <c r="AC113" s="308">
        <f t="shared" si="66"/>
        <v>0</v>
      </c>
      <c r="AD113" s="101">
        <f t="shared" si="49"/>
        <v>0</v>
      </c>
      <c r="AE113" s="101">
        <f t="shared" si="50"/>
        <v>0</v>
      </c>
      <c r="AF113" s="197">
        <f t="shared" si="62"/>
        <v>0</v>
      </c>
      <c r="AG113" s="197">
        <f t="shared" si="63"/>
        <v>0</v>
      </c>
      <c r="AH113" s="197">
        <f t="shared" si="64"/>
        <v>0</v>
      </c>
      <c r="AI113" s="202">
        <f t="shared" si="65"/>
        <v>0</v>
      </c>
      <c r="AK113" s="71">
        <v>108</v>
      </c>
      <c r="AL113" s="33"/>
      <c r="AM113" s="33"/>
      <c r="AN113" s="33"/>
      <c r="AO113" s="33"/>
      <c r="AP113" s="33"/>
      <c r="AQ113" s="197"/>
      <c r="AR113" s="197"/>
      <c r="AS113" s="197"/>
      <c r="AT113" s="197"/>
      <c r="AU113" s="33"/>
      <c r="AV113" s="33"/>
      <c r="AW113" s="33"/>
      <c r="AX113" s="33"/>
      <c r="AY113" s="76"/>
    </row>
    <row r="114" spans="2:51">
      <c r="B114" s="67" t="s">
        <v>168</v>
      </c>
      <c r="C114" s="79">
        <f>X35</f>
        <v>577.9799572189678</v>
      </c>
      <c r="D114" s="79">
        <f>O35</f>
        <v>177.03590180507811</v>
      </c>
      <c r="E114" s="78">
        <f>VLOOKUP(30,I5:Y205,17,FALSE)</f>
        <v>400.94405541388971</v>
      </c>
      <c r="I114" s="55">
        <v>109</v>
      </c>
      <c r="J114" s="33">
        <f t="shared" si="53"/>
        <v>0</v>
      </c>
      <c r="K114" s="33">
        <f t="shared" si="54"/>
        <v>0</v>
      </c>
      <c r="L114" s="33">
        <f t="shared" si="55"/>
        <v>0</v>
      </c>
      <c r="M114" s="33">
        <f t="shared" si="56"/>
        <v>0</v>
      </c>
      <c r="N114" s="33">
        <f t="shared" si="42"/>
        <v>0</v>
      </c>
      <c r="O114" s="34">
        <f t="shared" si="43"/>
        <v>0</v>
      </c>
      <c r="P114" s="55">
        <v>109</v>
      </c>
      <c r="Q114" s="33">
        <f t="shared" si="67"/>
        <v>0</v>
      </c>
      <c r="R114" s="33">
        <f t="shared" si="57"/>
        <v>0</v>
      </c>
      <c r="S114" s="33">
        <f t="shared" si="58"/>
        <v>0</v>
      </c>
      <c r="T114" s="33">
        <f t="shared" si="44"/>
        <v>0</v>
      </c>
      <c r="U114" s="33">
        <f t="shared" si="52"/>
        <v>0</v>
      </c>
      <c r="V114" s="33">
        <f t="shared" si="45"/>
        <v>0</v>
      </c>
      <c r="W114" s="33">
        <v>0</v>
      </c>
      <c r="X114" s="33">
        <f t="shared" si="46"/>
        <v>0</v>
      </c>
      <c r="Y114" s="38">
        <f t="shared" si="47"/>
        <v>0</v>
      </c>
      <c r="AA114" s="71">
        <v>109</v>
      </c>
      <c r="AB114" s="33">
        <f t="shared" si="48"/>
        <v>0</v>
      </c>
      <c r="AC114" s="308">
        <f t="shared" si="66"/>
        <v>0</v>
      </c>
      <c r="AD114" s="101">
        <f t="shared" si="49"/>
        <v>0</v>
      </c>
      <c r="AE114" s="101">
        <f t="shared" si="50"/>
        <v>0</v>
      </c>
      <c r="AF114" s="197">
        <f t="shared" si="62"/>
        <v>0</v>
      </c>
      <c r="AG114" s="197">
        <f t="shared" si="63"/>
        <v>0</v>
      </c>
      <c r="AH114" s="197">
        <f t="shared" si="64"/>
        <v>0</v>
      </c>
      <c r="AI114" s="202">
        <f t="shared" si="65"/>
        <v>0</v>
      </c>
      <c r="AK114" s="71">
        <v>109</v>
      </c>
      <c r="AL114" s="33"/>
      <c r="AM114" s="33"/>
      <c r="AN114" s="33"/>
      <c r="AO114" s="33"/>
      <c r="AP114" s="33"/>
      <c r="AQ114" s="197"/>
      <c r="AR114" s="197"/>
      <c r="AS114" s="197"/>
      <c r="AT114" s="197"/>
      <c r="AU114" s="33"/>
      <c r="AV114" s="33"/>
      <c r="AW114" s="33"/>
      <c r="AX114" s="33"/>
      <c r="AY114" s="76"/>
    </row>
    <row r="115" spans="2:51">
      <c r="C115" s="80"/>
      <c r="D115" s="80"/>
      <c r="E115" s="80"/>
      <c r="I115" s="55">
        <v>110</v>
      </c>
      <c r="J115" s="33">
        <f t="shared" si="53"/>
        <v>0</v>
      </c>
      <c r="K115" s="33">
        <f t="shared" si="54"/>
        <v>0</v>
      </c>
      <c r="L115" s="33">
        <f t="shared" si="55"/>
        <v>0</v>
      </c>
      <c r="M115" s="33">
        <f t="shared" si="56"/>
        <v>0</v>
      </c>
      <c r="N115" s="33">
        <f t="shared" si="42"/>
        <v>0</v>
      </c>
      <c r="O115" s="34">
        <f t="shared" si="43"/>
        <v>0</v>
      </c>
      <c r="P115" s="55">
        <v>110</v>
      </c>
      <c r="Q115" s="33">
        <f t="shared" si="67"/>
        <v>0</v>
      </c>
      <c r="R115" s="33">
        <f t="shared" si="57"/>
        <v>0</v>
      </c>
      <c r="S115" s="33">
        <f t="shared" si="58"/>
        <v>0</v>
      </c>
      <c r="T115" s="33">
        <f t="shared" si="44"/>
        <v>0</v>
      </c>
      <c r="U115" s="33">
        <f t="shared" si="52"/>
        <v>0</v>
      </c>
      <c r="V115" s="33">
        <f t="shared" si="45"/>
        <v>0</v>
      </c>
      <c r="W115" s="33">
        <v>0</v>
      </c>
      <c r="X115" s="33">
        <f t="shared" si="46"/>
        <v>0</v>
      </c>
      <c r="Y115" s="38">
        <f t="shared" si="47"/>
        <v>0</v>
      </c>
      <c r="AA115" s="71">
        <v>110</v>
      </c>
      <c r="AB115" s="33">
        <f t="shared" si="48"/>
        <v>0</v>
      </c>
      <c r="AC115" s="308">
        <f t="shared" si="66"/>
        <v>0</v>
      </c>
      <c r="AD115" s="101">
        <f t="shared" si="49"/>
        <v>0</v>
      </c>
      <c r="AE115" s="101">
        <f t="shared" si="50"/>
        <v>0</v>
      </c>
      <c r="AF115" s="197">
        <f t="shared" si="62"/>
        <v>0</v>
      </c>
      <c r="AG115" s="197">
        <f t="shared" si="63"/>
        <v>0</v>
      </c>
      <c r="AH115" s="197">
        <f t="shared" si="64"/>
        <v>0</v>
      </c>
      <c r="AI115" s="202">
        <f t="shared" si="65"/>
        <v>0</v>
      </c>
      <c r="AK115" s="71">
        <v>110</v>
      </c>
      <c r="AL115" s="33"/>
      <c r="AM115" s="33"/>
      <c r="AN115" s="33"/>
      <c r="AO115" s="33"/>
      <c r="AP115" s="33"/>
      <c r="AQ115" s="197"/>
      <c r="AR115" s="197"/>
      <c r="AS115" s="197"/>
      <c r="AT115" s="197"/>
      <c r="AU115" s="33"/>
      <c r="AV115" s="33"/>
      <c r="AW115" s="33"/>
      <c r="AX115" s="33"/>
      <c r="AY115" s="76"/>
    </row>
    <row r="116" spans="2:51">
      <c r="C116" s="136" t="s">
        <v>125</v>
      </c>
      <c r="D116" s="136"/>
      <c r="E116" s="136"/>
      <c r="I116" s="55">
        <v>111</v>
      </c>
      <c r="J116" s="33">
        <f t="shared" si="53"/>
        <v>0</v>
      </c>
      <c r="K116" s="33">
        <f t="shared" si="54"/>
        <v>0</v>
      </c>
      <c r="L116" s="33">
        <f t="shared" si="55"/>
        <v>0</v>
      </c>
      <c r="M116" s="33">
        <f t="shared" si="56"/>
        <v>0</v>
      </c>
      <c r="N116" s="33">
        <f t="shared" si="42"/>
        <v>0</v>
      </c>
      <c r="O116" s="34">
        <f t="shared" si="43"/>
        <v>0</v>
      </c>
      <c r="P116" s="55">
        <v>111</v>
      </c>
      <c r="Q116" s="33">
        <f t="shared" si="67"/>
        <v>0</v>
      </c>
      <c r="R116" s="33">
        <f t="shared" si="57"/>
        <v>0</v>
      </c>
      <c r="S116" s="33">
        <f t="shared" si="58"/>
        <v>0</v>
      </c>
      <c r="T116" s="33">
        <f t="shared" si="44"/>
        <v>0</v>
      </c>
      <c r="U116" s="33">
        <f t="shared" si="52"/>
        <v>0</v>
      </c>
      <c r="V116" s="33">
        <f t="shared" si="45"/>
        <v>0</v>
      </c>
      <c r="W116" s="33">
        <v>0</v>
      </c>
      <c r="X116" s="33">
        <f t="shared" si="46"/>
        <v>0</v>
      </c>
      <c r="Y116" s="38">
        <f t="shared" si="47"/>
        <v>0</v>
      </c>
      <c r="AA116" s="71">
        <v>111</v>
      </c>
      <c r="AB116" s="33">
        <f t="shared" si="48"/>
        <v>0</v>
      </c>
      <c r="AC116" s="308">
        <f t="shared" si="66"/>
        <v>0</v>
      </c>
      <c r="AD116" s="101">
        <f t="shared" si="49"/>
        <v>0</v>
      </c>
      <c r="AE116" s="101">
        <f t="shared" si="50"/>
        <v>0</v>
      </c>
      <c r="AF116" s="197">
        <f t="shared" si="62"/>
        <v>0</v>
      </c>
      <c r="AG116" s="197">
        <f t="shared" si="63"/>
        <v>0</v>
      </c>
      <c r="AH116" s="197">
        <f t="shared" si="64"/>
        <v>0</v>
      </c>
      <c r="AI116" s="202">
        <f t="shared" si="65"/>
        <v>0</v>
      </c>
      <c r="AK116" s="71">
        <v>111</v>
      </c>
      <c r="AL116" s="33"/>
      <c r="AM116" s="33"/>
      <c r="AN116" s="33"/>
      <c r="AO116" s="33"/>
      <c r="AP116" s="33"/>
      <c r="AQ116" s="197"/>
      <c r="AR116" s="197"/>
      <c r="AS116" s="197"/>
      <c r="AT116" s="197"/>
      <c r="AU116" s="33"/>
      <c r="AV116" s="33"/>
      <c r="AW116" s="33"/>
      <c r="AX116" s="33"/>
      <c r="AY116" s="76"/>
    </row>
    <row r="117" spans="2:51">
      <c r="C117" s="136" t="s">
        <v>145</v>
      </c>
      <c r="D117" s="136" t="s">
        <v>72</v>
      </c>
      <c r="E117" s="81" t="s">
        <v>166</v>
      </c>
      <c r="I117" s="55">
        <v>112</v>
      </c>
      <c r="J117" s="33">
        <f t="shared" si="53"/>
        <v>0</v>
      </c>
      <c r="K117" s="33">
        <f t="shared" si="54"/>
        <v>0</v>
      </c>
      <c r="L117" s="33">
        <f t="shared" si="55"/>
        <v>0</v>
      </c>
      <c r="M117" s="33">
        <f t="shared" si="56"/>
        <v>0</v>
      </c>
      <c r="N117" s="33">
        <f t="shared" si="42"/>
        <v>0</v>
      </c>
      <c r="O117" s="34">
        <f t="shared" si="43"/>
        <v>0</v>
      </c>
      <c r="P117" s="55">
        <v>112</v>
      </c>
      <c r="Q117" s="33">
        <f t="shared" si="67"/>
        <v>0</v>
      </c>
      <c r="R117" s="33">
        <f t="shared" si="57"/>
        <v>0</v>
      </c>
      <c r="S117" s="33">
        <f t="shared" si="58"/>
        <v>0</v>
      </c>
      <c r="T117" s="33">
        <f t="shared" si="44"/>
        <v>0</v>
      </c>
      <c r="U117" s="33">
        <f t="shared" si="52"/>
        <v>0</v>
      </c>
      <c r="V117" s="33">
        <f t="shared" si="45"/>
        <v>0</v>
      </c>
      <c r="W117" s="33">
        <v>0</v>
      </c>
      <c r="X117" s="33">
        <f t="shared" si="46"/>
        <v>0</v>
      </c>
      <c r="Y117" s="38">
        <f t="shared" si="47"/>
        <v>0</v>
      </c>
      <c r="AA117" s="71">
        <v>112</v>
      </c>
      <c r="AB117" s="33">
        <f t="shared" si="48"/>
        <v>0</v>
      </c>
      <c r="AC117" s="308">
        <f t="shared" si="66"/>
        <v>0</v>
      </c>
      <c r="AD117" s="101">
        <f t="shared" si="49"/>
        <v>0</v>
      </c>
      <c r="AE117" s="101">
        <f t="shared" si="50"/>
        <v>0</v>
      </c>
      <c r="AF117" s="197">
        <f t="shared" si="62"/>
        <v>0</v>
      </c>
      <c r="AG117" s="197">
        <f t="shared" si="63"/>
        <v>0</v>
      </c>
      <c r="AH117" s="197">
        <f t="shared" si="64"/>
        <v>0</v>
      </c>
      <c r="AI117" s="202">
        <f t="shared" si="65"/>
        <v>0</v>
      </c>
      <c r="AK117" s="71">
        <v>112</v>
      </c>
      <c r="AL117" s="33"/>
      <c r="AM117" s="33"/>
      <c r="AN117" s="33"/>
      <c r="AO117" s="33"/>
      <c r="AP117" s="33"/>
      <c r="AQ117" s="197"/>
      <c r="AR117" s="197"/>
      <c r="AS117" s="197"/>
      <c r="AT117" s="197"/>
      <c r="AU117" s="33"/>
      <c r="AV117" s="33"/>
      <c r="AW117" s="33"/>
      <c r="AX117" s="33"/>
      <c r="AY117" s="76"/>
    </row>
    <row r="118" spans="2:51">
      <c r="B118" s="67" t="s">
        <v>261</v>
      </c>
      <c r="C118" s="306">
        <f>1/30*SUM(AI6:AI35)</f>
        <v>15.839681181373761</v>
      </c>
      <c r="D118" s="79">
        <v>0</v>
      </c>
      <c r="E118" s="78">
        <f>C118-D118</f>
        <v>15.839681181373761</v>
      </c>
      <c r="I118" s="55">
        <v>113</v>
      </c>
      <c r="J118" s="33">
        <f t="shared" si="53"/>
        <v>0</v>
      </c>
      <c r="K118" s="33">
        <f t="shared" si="54"/>
        <v>0</v>
      </c>
      <c r="L118" s="33">
        <f t="shared" si="55"/>
        <v>0</v>
      </c>
      <c r="M118" s="33">
        <f t="shared" si="56"/>
        <v>0</v>
      </c>
      <c r="N118" s="33">
        <f t="shared" si="42"/>
        <v>0</v>
      </c>
      <c r="O118" s="34">
        <f t="shared" si="43"/>
        <v>0</v>
      </c>
      <c r="P118" s="55">
        <v>113</v>
      </c>
      <c r="Q118" s="33">
        <f t="shared" si="67"/>
        <v>0</v>
      </c>
      <c r="R118" s="33">
        <f t="shared" si="57"/>
        <v>0</v>
      </c>
      <c r="S118" s="33">
        <f t="shared" si="58"/>
        <v>0</v>
      </c>
      <c r="T118" s="33">
        <f t="shared" si="44"/>
        <v>0</v>
      </c>
      <c r="U118" s="33">
        <f t="shared" si="52"/>
        <v>0</v>
      </c>
      <c r="V118" s="33">
        <f t="shared" si="45"/>
        <v>0</v>
      </c>
      <c r="W118" s="33">
        <v>0</v>
      </c>
      <c r="X118" s="33">
        <f t="shared" si="46"/>
        <v>0</v>
      </c>
      <c r="Y118" s="38">
        <f t="shared" si="47"/>
        <v>0</v>
      </c>
      <c r="AA118" s="71">
        <v>113</v>
      </c>
      <c r="AB118" s="33">
        <f t="shared" si="48"/>
        <v>0</v>
      </c>
      <c r="AC118" s="308">
        <f t="shared" si="66"/>
        <v>0</v>
      </c>
      <c r="AD118" s="101">
        <f t="shared" si="49"/>
        <v>0</v>
      </c>
      <c r="AE118" s="101">
        <f t="shared" si="50"/>
        <v>0</v>
      </c>
      <c r="AF118" s="197">
        <f t="shared" si="62"/>
        <v>0</v>
      </c>
      <c r="AG118" s="197">
        <f t="shared" si="63"/>
        <v>0</v>
      </c>
      <c r="AH118" s="197">
        <f t="shared" si="64"/>
        <v>0</v>
      </c>
      <c r="AI118" s="202">
        <f t="shared" si="65"/>
        <v>0</v>
      </c>
      <c r="AK118" s="71">
        <v>113</v>
      </c>
      <c r="AL118" s="33"/>
      <c r="AM118" s="33"/>
      <c r="AN118" s="33"/>
      <c r="AO118" s="33"/>
      <c r="AP118" s="33"/>
      <c r="AQ118" s="197"/>
      <c r="AR118" s="197"/>
      <c r="AS118" s="197"/>
      <c r="AT118" s="197"/>
      <c r="AU118" s="33"/>
      <c r="AV118" s="33"/>
      <c r="AW118" s="33"/>
      <c r="AX118" s="33"/>
      <c r="AY118" s="76"/>
    </row>
    <row r="119" spans="2:51">
      <c r="B119" s="67"/>
      <c r="C119" s="82"/>
      <c r="D119" s="79"/>
      <c r="E119" s="78"/>
      <c r="I119" s="55">
        <v>114</v>
      </c>
      <c r="J119" s="33">
        <f t="shared" si="53"/>
        <v>0</v>
      </c>
      <c r="K119" s="33">
        <f t="shared" si="54"/>
        <v>0</v>
      </c>
      <c r="L119" s="33">
        <f t="shared" si="55"/>
        <v>0</v>
      </c>
      <c r="M119" s="33">
        <f t="shared" si="56"/>
        <v>0</v>
      </c>
      <c r="N119" s="33">
        <f t="shared" si="42"/>
        <v>0</v>
      </c>
      <c r="O119" s="34">
        <f t="shared" si="43"/>
        <v>0</v>
      </c>
      <c r="P119" s="55">
        <v>114</v>
      </c>
      <c r="Q119" s="33">
        <f t="shared" si="67"/>
        <v>0</v>
      </c>
      <c r="R119" s="33">
        <f t="shared" si="57"/>
        <v>0</v>
      </c>
      <c r="S119" s="33">
        <f t="shared" si="58"/>
        <v>0</v>
      </c>
      <c r="T119" s="33">
        <f t="shared" si="44"/>
        <v>0</v>
      </c>
      <c r="U119" s="33">
        <f t="shared" si="52"/>
        <v>0</v>
      </c>
      <c r="V119" s="33">
        <f t="shared" si="45"/>
        <v>0</v>
      </c>
      <c r="W119" s="33">
        <v>0</v>
      </c>
      <c r="X119" s="33">
        <f t="shared" si="46"/>
        <v>0</v>
      </c>
      <c r="Y119" s="38">
        <f t="shared" si="47"/>
        <v>0</v>
      </c>
      <c r="AA119" s="71">
        <v>114</v>
      </c>
      <c r="AB119" s="33">
        <f t="shared" si="48"/>
        <v>0</v>
      </c>
      <c r="AC119" s="308">
        <f t="shared" si="66"/>
        <v>0</v>
      </c>
      <c r="AD119" s="101">
        <f t="shared" si="49"/>
        <v>0</v>
      </c>
      <c r="AE119" s="101">
        <f t="shared" si="50"/>
        <v>0</v>
      </c>
      <c r="AF119" s="197">
        <f t="shared" si="62"/>
        <v>0</v>
      </c>
      <c r="AG119" s="197">
        <f t="shared" si="63"/>
        <v>0</v>
      </c>
      <c r="AH119" s="197">
        <f t="shared" si="64"/>
        <v>0</v>
      </c>
      <c r="AI119" s="202">
        <f t="shared" si="65"/>
        <v>0</v>
      </c>
      <c r="AK119" s="71">
        <v>114</v>
      </c>
      <c r="AL119" s="33"/>
      <c r="AM119" s="33"/>
      <c r="AN119" s="33"/>
      <c r="AO119" s="33"/>
      <c r="AP119" s="33"/>
      <c r="AQ119" s="197"/>
      <c r="AR119" s="197"/>
      <c r="AS119" s="197"/>
      <c r="AT119" s="197"/>
      <c r="AU119" s="33"/>
      <c r="AV119" s="33"/>
      <c r="AW119" s="33"/>
      <c r="AX119" s="33"/>
      <c r="AY119" s="76"/>
    </row>
    <row r="120" spans="2:51">
      <c r="C120" s="80"/>
      <c r="D120" s="80"/>
      <c r="E120" s="83"/>
      <c r="I120" s="55">
        <v>115</v>
      </c>
      <c r="J120" s="33">
        <f t="shared" si="53"/>
        <v>0</v>
      </c>
      <c r="K120" s="33">
        <f t="shared" si="54"/>
        <v>0</v>
      </c>
      <c r="L120" s="33">
        <f t="shared" si="55"/>
        <v>0</v>
      </c>
      <c r="M120" s="33">
        <f t="shared" si="56"/>
        <v>0</v>
      </c>
      <c r="N120" s="33">
        <f t="shared" si="42"/>
        <v>0</v>
      </c>
      <c r="O120" s="34">
        <f t="shared" si="43"/>
        <v>0</v>
      </c>
      <c r="P120" s="55">
        <v>115</v>
      </c>
      <c r="Q120" s="33">
        <f t="shared" si="67"/>
        <v>0</v>
      </c>
      <c r="R120" s="33">
        <f t="shared" si="57"/>
        <v>0</v>
      </c>
      <c r="S120" s="33">
        <f t="shared" si="58"/>
        <v>0</v>
      </c>
      <c r="T120" s="33">
        <f t="shared" si="44"/>
        <v>0</v>
      </c>
      <c r="U120" s="33">
        <f t="shared" si="52"/>
        <v>0</v>
      </c>
      <c r="V120" s="33">
        <f t="shared" si="45"/>
        <v>0</v>
      </c>
      <c r="W120" s="33">
        <v>0</v>
      </c>
      <c r="X120" s="33">
        <f t="shared" si="46"/>
        <v>0</v>
      </c>
      <c r="Y120" s="38">
        <f t="shared" si="47"/>
        <v>0</v>
      </c>
      <c r="AA120" s="71">
        <v>115</v>
      </c>
      <c r="AB120" s="33">
        <f t="shared" si="48"/>
        <v>0</v>
      </c>
      <c r="AC120" s="308">
        <f t="shared" si="66"/>
        <v>0</v>
      </c>
      <c r="AD120" s="101">
        <f t="shared" si="49"/>
        <v>0</v>
      </c>
      <c r="AE120" s="101">
        <f t="shared" si="50"/>
        <v>0</v>
      </c>
      <c r="AF120" s="197">
        <f t="shared" si="62"/>
        <v>0</v>
      </c>
      <c r="AG120" s="197">
        <f t="shared" si="63"/>
        <v>0</v>
      </c>
      <c r="AH120" s="197">
        <f t="shared" si="64"/>
        <v>0</v>
      </c>
      <c r="AI120" s="202">
        <f t="shared" si="65"/>
        <v>0</v>
      </c>
      <c r="AK120" s="71">
        <v>115</v>
      </c>
      <c r="AL120" s="33"/>
      <c r="AM120" s="33"/>
      <c r="AN120" s="33"/>
      <c r="AO120" s="33"/>
      <c r="AP120" s="33"/>
      <c r="AQ120" s="197"/>
      <c r="AR120" s="197"/>
      <c r="AS120" s="197"/>
      <c r="AT120" s="197"/>
      <c r="AU120" s="33"/>
      <c r="AV120" s="33"/>
      <c r="AW120" s="33"/>
      <c r="AX120" s="33"/>
      <c r="AY120" s="76"/>
    </row>
    <row r="121" spans="2:51">
      <c r="C121" s="136" t="s">
        <v>160</v>
      </c>
      <c r="D121" s="136"/>
      <c r="E121" s="136"/>
      <c r="I121" s="55">
        <v>116</v>
      </c>
      <c r="J121" s="33">
        <f t="shared" si="53"/>
        <v>0</v>
      </c>
      <c r="K121" s="33">
        <f t="shared" si="54"/>
        <v>0</v>
      </c>
      <c r="L121" s="33">
        <f t="shared" si="55"/>
        <v>0</v>
      </c>
      <c r="M121" s="33">
        <f t="shared" si="56"/>
        <v>0</v>
      </c>
      <c r="N121" s="33">
        <f t="shared" si="42"/>
        <v>0</v>
      </c>
      <c r="O121" s="34">
        <f t="shared" si="43"/>
        <v>0</v>
      </c>
      <c r="P121" s="55">
        <v>116</v>
      </c>
      <c r="Q121" s="33">
        <f t="shared" si="67"/>
        <v>0</v>
      </c>
      <c r="R121" s="33">
        <f t="shared" si="57"/>
        <v>0</v>
      </c>
      <c r="S121" s="33">
        <f t="shared" si="58"/>
        <v>0</v>
      </c>
      <c r="T121" s="33">
        <f t="shared" si="44"/>
        <v>0</v>
      </c>
      <c r="U121" s="33">
        <f t="shared" si="52"/>
        <v>0</v>
      </c>
      <c r="V121" s="33">
        <f t="shared" si="45"/>
        <v>0</v>
      </c>
      <c r="W121" s="33">
        <v>0</v>
      </c>
      <c r="X121" s="33">
        <f t="shared" si="46"/>
        <v>0</v>
      </c>
      <c r="Y121" s="38">
        <f t="shared" si="47"/>
        <v>0</v>
      </c>
      <c r="AA121" s="71">
        <v>116</v>
      </c>
      <c r="AB121" s="33">
        <f t="shared" si="48"/>
        <v>0</v>
      </c>
      <c r="AC121" s="308">
        <f t="shared" si="66"/>
        <v>0</v>
      </c>
      <c r="AD121" s="101">
        <f t="shared" si="49"/>
        <v>0</v>
      </c>
      <c r="AE121" s="101">
        <f t="shared" si="50"/>
        <v>0</v>
      </c>
      <c r="AF121" s="197">
        <f t="shared" si="62"/>
        <v>0</v>
      </c>
      <c r="AG121" s="197">
        <f t="shared" si="63"/>
        <v>0</v>
      </c>
      <c r="AH121" s="197">
        <f t="shared" si="64"/>
        <v>0</v>
      </c>
      <c r="AI121" s="202">
        <f t="shared" si="65"/>
        <v>0</v>
      </c>
      <c r="AK121" s="71">
        <v>116</v>
      </c>
      <c r="AL121" s="33"/>
      <c r="AM121" s="33"/>
      <c r="AN121" s="33"/>
      <c r="AO121" s="33"/>
      <c r="AP121" s="33"/>
      <c r="AQ121" s="197"/>
      <c r="AR121" s="197"/>
      <c r="AS121" s="197"/>
      <c r="AT121" s="197"/>
      <c r="AU121" s="33"/>
      <c r="AV121" s="33"/>
      <c r="AW121" s="33"/>
      <c r="AX121" s="33"/>
      <c r="AY121" s="76"/>
    </row>
    <row r="122" spans="2:51">
      <c r="C122" s="136" t="s">
        <v>145</v>
      </c>
      <c r="D122" s="136" t="s">
        <v>72</v>
      </c>
      <c r="E122" s="81" t="s">
        <v>166</v>
      </c>
      <c r="I122" s="55">
        <v>117</v>
      </c>
      <c r="J122" s="33">
        <f t="shared" si="53"/>
        <v>0</v>
      </c>
      <c r="K122" s="33">
        <f t="shared" si="54"/>
        <v>0</v>
      </c>
      <c r="L122" s="33">
        <f t="shared" si="55"/>
        <v>0</v>
      </c>
      <c r="M122" s="33">
        <f t="shared" si="56"/>
        <v>0</v>
      </c>
      <c r="N122" s="33">
        <f t="shared" si="42"/>
        <v>0</v>
      </c>
      <c r="O122" s="34">
        <f t="shared" si="43"/>
        <v>0</v>
      </c>
      <c r="P122" s="55">
        <v>117</v>
      </c>
      <c r="Q122" s="33">
        <f t="shared" si="67"/>
        <v>0</v>
      </c>
      <c r="R122" s="33">
        <f t="shared" si="57"/>
        <v>0</v>
      </c>
      <c r="S122" s="33">
        <f t="shared" si="58"/>
        <v>0</v>
      </c>
      <c r="T122" s="33">
        <f t="shared" si="44"/>
        <v>0</v>
      </c>
      <c r="U122" s="33">
        <f t="shared" si="52"/>
        <v>0</v>
      </c>
      <c r="V122" s="33">
        <f t="shared" si="45"/>
        <v>0</v>
      </c>
      <c r="W122" s="33">
        <v>0</v>
      </c>
      <c r="X122" s="33">
        <f t="shared" si="46"/>
        <v>0</v>
      </c>
      <c r="Y122" s="38">
        <f t="shared" si="47"/>
        <v>0</v>
      </c>
      <c r="AA122" s="71">
        <v>117</v>
      </c>
      <c r="AB122" s="33">
        <f t="shared" si="48"/>
        <v>0</v>
      </c>
      <c r="AC122" s="308">
        <f t="shared" si="66"/>
        <v>0</v>
      </c>
      <c r="AD122" s="101">
        <f t="shared" si="49"/>
        <v>0</v>
      </c>
      <c r="AE122" s="101">
        <f t="shared" si="50"/>
        <v>0</v>
      </c>
      <c r="AF122" s="197">
        <f t="shared" si="62"/>
        <v>0</v>
      </c>
      <c r="AG122" s="197">
        <f t="shared" si="63"/>
        <v>0</v>
      </c>
      <c r="AH122" s="197">
        <f t="shared" si="64"/>
        <v>0</v>
      </c>
      <c r="AI122" s="202">
        <f t="shared" si="65"/>
        <v>0</v>
      </c>
      <c r="AK122" s="71">
        <v>117</v>
      </c>
      <c r="AL122" s="33"/>
      <c r="AM122" s="33"/>
      <c r="AN122" s="33"/>
      <c r="AO122" s="33"/>
      <c r="AP122" s="33"/>
      <c r="AQ122" s="197"/>
      <c r="AR122" s="197"/>
      <c r="AS122" s="197"/>
      <c r="AT122" s="197"/>
      <c r="AU122" s="33"/>
      <c r="AV122" s="33"/>
      <c r="AW122" s="33"/>
      <c r="AX122" s="33"/>
      <c r="AY122" s="76"/>
    </row>
    <row r="123" spans="2:51">
      <c r="B123" s="67" t="s">
        <v>168</v>
      </c>
      <c r="C123" s="82">
        <f>AY35</f>
        <v>48.16</v>
      </c>
      <c r="D123" s="307">
        <f>IF(AND(D8=B100,F12=C194),J34*50%*G107,0)</f>
        <v>0</v>
      </c>
      <c r="E123" s="78">
        <f>C123-D123</f>
        <v>48.16</v>
      </c>
      <c r="I123" s="55">
        <v>118</v>
      </c>
      <c r="J123" s="33">
        <f t="shared" si="53"/>
        <v>0</v>
      </c>
      <c r="K123" s="33">
        <f t="shared" si="54"/>
        <v>0</v>
      </c>
      <c r="L123" s="33">
        <f t="shared" si="55"/>
        <v>0</v>
      </c>
      <c r="M123" s="33">
        <f t="shared" si="56"/>
        <v>0</v>
      </c>
      <c r="N123" s="33">
        <f t="shared" si="42"/>
        <v>0</v>
      </c>
      <c r="O123" s="34">
        <f t="shared" si="43"/>
        <v>0</v>
      </c>
      <c r="P123" s="55">
        <v>118</v>
      </c>
      <c r="Q123" s="33">
        <f t="shared" si="67"/>
        <v>0</v>
      </c>
      <c r="R123" s="33">
        <f t="shared" si="57"/>
        <v>0</v>
      </c>
      <c r="S123" s="33">
        <f t="shared" si="58"/>
        <v>0</v>
      </c>
      <c r="T123" s="33">
        <f t="shared" si="44"/>
        <v>0</v>
      </c>
      <c r="U123" s="33">
        <f t="shared" si="52"/>
        <v>0</v>
      </c>
      <c r="V123" s="33">
        <f t="shared" si="45"/>
        <v>0</v>
      </c>
      <c r="W123" s="33">
        <v>0</v>
      </c>
      <c r="X123" s="33">
        <f t="shared" si="46"/>
        <v>0</v>
      </c>
      <c r="Y123" s="38">
        <f t="shared" si="47"/>
        <v>0</v>
      </c>
      <c r="AA123" s="71">
        <v>118</v>
      </c>
      <c r="AB123" s="33">
        <f t="shared" si="48"/>
        <v>0</v>
      </c>
      <c r="AC123" s="308">
        <f t="shared" si="66"/>
        <v>0</v>
      </c>
      <c r="AD123" s="101">
        <f t="shared" si="49"/>
        <v>0</v>
      </c>
      <c r="AE123" s="101">
        <f t="shared" si="50"/>
        <v>0</v>
      </c>
      <c r="AF123" s="197">
        <f t="shared" si="62"/>
        <v>0</v>
      </c>
      <c r="AG123" s="197">
        <f t="shared" si="63"/>
        <v>0</v>
      </c>
      <c r="AH123" s="197">
        <f t="shared" si="64"/>
        <v>0</v>
      </c>
      <c r="AI123" s="202">
        <f t="shared" si="65"/>
        <v>0</v>
      </c>
      <c r="AK123" s="71">
        <v>118</v>
      </c>
      <c r="AL123" s="33"/>
      <c r="AM123" s="33"/>
      <c r="AN123" s="33"/>
      <c r="AO123" s="33"/>
      <c r="AP123" s="33"/>
      <c r="AQ123" s="197"/>
      <c r="AR123" s="197"/>
      <c r="AS123" s="197"/>
      <c r="AT123" s="197"/>
      <c r="AU123" s="33"/>
      <c r="AV123" s="33"/>
      <c r="AW123" s="33"/>
      <c r="AX123" s="33"/>
      <c r="AY123" s="76"/>
    </row>
    <row r="124" spans="2:51">
      <c r="I124" s="55">
        <v>119</v>
      </c>
      <c r="J124" s="33">
        <f t="shared" si="53"/>
        <v>0</v>
      </c>
      <c r="K124" s="33">
        <f t="shared" si="54"/>
        <v>0</v>
      </c>
      <c r="L124" s="33">
        <f t="shared" si="55"/>
        <v>0</v>
      </c>
      <c r="M124" s="33">
        <f t="shared" si="56"/>
        <v>0</v>
      </c>
      <c r="N124" s="33">
        <f t="shared" si="42"/>
        <v>0</v>
      </c>
      <c r="O124" s="34">
        <f t="shared" si="43"/>
        <v>0</v>
      </c>
      <c r="P124" s="55">
        <v>119</v>
      </c>
      <c r="Q124" s="33">
        <f t="shared" si="67"/>
        <v>0</v>
      </c>
      <c r="R124" s="33">
        <f t="shared" si="57"/>
        <v>0</v>
      </c>
      <c r="S124" s="33">
        <f t="shared" si="58"/>
        <v>0</v>
      </c>
      <c r="T124" s="33">
        <f t="shared" si="44"/>
        <v>0</v>
      </c>
      <c r="U124" s="33">
        <f t="shared" si="52"/>
        <v>0</v>
      </c>
      <c r="V124" s="33">
        <f t="shared" si="45"/>
        <v>0</v>
      </c>
      <c r="W124" s="33">
        <v>0</v>
      </c>
      <c r="X124" s="33">
        <f t="shared" si="46"/>
        <v>0</v>
      </c>
      <c r="Y124" s="38">
        <f t="shared" si="47"/>
        <v>0</v>
      </c>
      <c r="AA124" s="71">
        <v>119</v>
      </c>
      <c r="AB124" s="33">
        <f t="shared" si="48"/>
        <v>0</v>
      </c>
      <c r="AC124" s="308">
        <f t="shared" si="66"/>
        <v>0</v>
      </c>
      <c r="AD124" s="101">
        <f t="shared" si="49"/>
        <v>0</v>
      </c>
      <c r="AE124" s="101">
        <f t="shared" si="50"/>
        <v>0</v>
      </c>
      <c r="AF124" s="197">
        <f t="shared" si="62"/>
        <v>0</v>
      </c>
      <c r="AG124" s="197">
        <f t="shared" si="63"/>
        <v>0</v>
      </c>
      <c r="AH124" s="197">
        <f t="shared" si="64"/>
        <v>0</v>
      </c>
      <c r="AI124" s="202">
        <f t="shared" si="65"/>
        <v>0</v>
      </c>
      <c r="AK124" s="71">
        <v>119</v>
      </c>
      <c r="AL124" s="33"/>
      <c r="AM124" s="33"/>
      <c r="AN124" s="33"/>
      <c r="AO124" s="33"/>
      <c r="AP124" s="33"/>
      <c r="AQ124" s="197"/>
      <c r="AR124" s="197"/>
      <c r="AS124" s="197"/>
      <c r="AT124" s="197"/>
      <c r="AU124" s="33"/>
      <c r="AV124" s="33"/>
      <c r="AW124" s="33"/>
      <c r="AX124" s="33"/>
      <c r="AY124" s="76"/>
    </row>
    <row r="125" spans="2:51">
      <c r="C125" s="80"/>
      <c r="D125" s="80"/>
      <c r="E125" s="83"/>
      <c r="I125" s="55">
        <v>120</v>
      </c>
      <c r="J125" s="33">
        <f t="shared" si="53"/>
        <v>0</v>
      </c>
      <c r="K125" s="33">
        <f t="shared" si="54"/>
        <v>0</v>
      </c>
      <c r="L125" s="33">
        <f t="shared" si="55"/>
        <v>0</v>
      </c>
      <c r="M125" s="33">
        <f t="shared" si="56"/>
        <v>0</v>
      </c>
      <c r="N125" s="33">
        <f t="shared" si="42"/>
        <v>0</v>
      </c>
      <c r="O125" s="34">
        <f t="shared" si="43"/>
        <v>0</v>
      </c>
      <c r="P125" s="55">
        <v>120</v>
      </c>
      <c r="Q125" s="33">
        <f t="shared" si="67"/>
        <v>0</v>
      </c>
      <c r="R125" s="33">
        <f t="shared" si="57"/>
        <v>0</v>
      </c>
      <c r="S125" s="33">
        <f t="shared" si="58"/>
        <v>0</v>
      </c>
      <c r="T125" s="33">
        <f t="shared" si="44"/>
        <v>0</v>
      </c>
      <c r="U125" s="33">
        <f t="shared" si="52"/>
        <v>0</v>
      </c>
      <c r="V125" s="33">
        <f t="shared" si="45"/>
        <v>0</v>
      </c>
      <c r="W125" s="33">
        <v>0</v>
      </c>
      <c r="X125" s="33">
        <f t="shared" si="46"/>
        <v>0</v>
      </c>
      <c r="Y125" s="38">
        <f t="shared" si="47"/>
        <v>0</v>
      </c>
      <c r="AA125" s="71">
        <v>120</v>
      </c>
      <c r="AB125" s="33">
        <f t="shared" si="48"/>
        <v>0</v>
      </c>
      <c r="AC125" s="308">
        <f t="shared" si="66"/>
        <v>0</v>
      </c>
      <c r="AD125" s="101">
        <f t="shared" si="49"/>
        <v>0</v>
      </c>
      <c r="AE125" s="101">
        <f t="shared" si="50"/>
        <v>0</v>
      </c>
      <c r="AF125" s="197">
        <f t="shared" si="62"/>
        <v>0</v>
      </c>
      <c r="AG125" s="197">
        <f t="shared" si="63"/>
        <v>0</v>
      </c>
      <c r="AH125" s="197">
        <f t="shared" si="64"/>
        <v>0</v>
      </c>
      <c r="AI125" s="202">
        <f t="shared" si="65"/>
        <v>0</v>
      </c>
      <c r="AK125" s="71">
        <v>120</v>
      </c>
      <c r="AL125" s="33"/>
      <c r="AM125" s="33"/>
      <c r="AN125" s="33"/>
      <c r="AO125" s="33"/>
      <c r="AP125" s="33"/>
      <c r="AQ125" s="197"/>
      <c r="AR125" s="197"/>
      <c r="AS125" s="197"/>
      <c r="AT125" s="197"/>
      <c r="AU125" s="33"/>
      <c r="AV125" s="33"/>
      <c r="AW125" s="33"/>
      <c r="AX125" s="33"/>
      <c r="AY125" s="76"/>
    </row>
    <row r="126" spans="2:51">
      <c r="C126" s="84" t="s">
        <v>129</v>
      </c>
      <c r="D126" s="84" t="s">
        <v>130</v>
      </c>
      <c r="E126" s="84" t="s">
        <v>160</v>
      </c>
      <c r="F126" s="137" t="s">
        <v>170</v>
      </c>
      <c r="I126" s="55">
        <v>121</v>
      </c>
      <c r="J126" s="33">
        <f t="shared" si="53"/>
        <v>0</v>
      </c>
      <c r="K126" s="33">
        <f t="shared" si="54"/>
        <v>0</v>
      </c>
      <c r="L126" s="33">
        <f t="shared" si="55"/>
        <v>0</v>
      </c>
      <c r="M126" s="33">
        <f t="shared" si="56"/>
        <v>0</v>
      </c>
      <c r="N126" s="33">
        <f t="shared" si="42"/>
        <v>0</v>
      </c>
      <c r="O126" s="34">
        <f t="shared" si="43"/>
        <v>0</v>
      </c>
      <c r="P126" s="55">
        <v>121</v>
      </c>
      <c r="Q126" s="33">
        <f t="shared" si="67"/>
        <v>0</v>
      </c>
      <c r="R126" s="33">
        <f t="shared" si="57"/>
        <v>0</v>
      </c>
      <c r="S126" s="33">
        <f t="shared" si="58"/>
        <v>0</v>
      </c>
      <c r="T126" s="33">
        <f t="shared" si="44"/>
        <v>0</v>
      </c>
      <c r="U126" s="33">
        <f t="shared" si="52"/>
        <v>0</v>
      </c>
      <c r="V126" s="33">
        <f t="shared" si="45"/>
        <v>0</v>
      </c>
      <c r="W126" s="33">
        <v>0</v>
      </c>
      <c r="X126" s="33">
        <f t="shared" si="46"/>
        <v>0</v>
      </c>
      <c r="Y126" s="38">
        <f t="shared" si="47"/>
        <v>0</v>
      </c>
      <c r="AA126" s="71">
        <v>121</v>
      </c>
      <c r="AB126" s="33">
        <f t="shared" si="48"/>
        <v>0</v>
      </c>
      <c r="AC126" s="308">
        <f t="shared" si="66"/>
        <v>0</v>
      </c>
      <c r="AD126" s="101">
        <f t="shared" si="49"/>
        <v>0</v>
      </c>
      <c r="AE126" s="101">
        <f t="shared" si="50"/>
        <v>0</v>
      </c>
      <c r="AF126" s="197">
        <f t="shared" si="62"/>
        <v>0</v>
      </c>
      <c r="AG126" s="197">
        <f t="shared" si="63"/>
        <v>0</v>
      </c>
      <c r="AH126" s="197">
        <f t="shared" si="64"/>
        <v>0</v>
      </c>
      <c r="AI126" s="202">
        <f t="shared" si="65"/>
        <v>0</v>
      </c>
      <c r="AK126" s="71">
        <v>121</v>
      </c>
      <c r="AL126" s="33"/>
      <c r="AM126" s="33"/>
      <c r="AN126" s="33"/>
      <c r="AO126" s="33"/>
      <c r="AP126" s="33"/>
      <c r="AQ126" s="197"/>
      <c r="AR126" s="197"/>
      <c r="AS126" s="197"/>
      <c r="AT126" s="197"/>
      <c r="AU126" s="33"/>
      <c r="AV126" s="33"/>
      <c r="AW126" s="33"/>
      <c r="AX126" s="33"/>
      <c r="AY126" s="76"/>
    </row>
    <row r="127" spans="2:51">
      <c r="C127" s="82">
        <f>IF(F18&gt;30,MIN(E113:E114),E113)</f>
        <v>286.33373154093857</v>
      </c>
      <c r="D127" s="82">
        <f>MIN(E118:E119)</f>
        <v>15.839681181373761</v>
      </c>
      <c r="E127" s="85">
        <f>E123</f>
        <v>48.16</v>
      </c>
      <c r="F127" s="86">
        <f>SUM(C127:E127)</f>
        <v>350.33341272231235</v>
      </c>
      <c r="I127" s="55">
        <v>122</v>
      </c>
      <c r="J127" s="33">
        <f t="shared" si="53"/>
        <v>0</v>
      </c>
      <c r="K127" s="33">
        <f t="shared" si="54"/>
        <v>0</v>
      </c>
      <c r="L127" s="33">
        <f t="shared" si="55"/>
        <v>0</v>
      </c>
      <c r="M127" s="33">
        <f t="shared" si="56"/>
        <v>0</v>
      </c>
      <c r="N127" s="33">
        <f t="shared" si="42"/>
        <v>0</v>
      </c>
      <c r="O127" s="34">
        <f t="shared" si="43"/>
        <v>0</v>
      </c>
      <c r="P127" s="55">
        <v>122</v>
      </c>
      <c r="Q127" s="33">
        <f t="shared" si="67"/>
        <v>0</v>
      </c>
      <c r="R127" s="33">
        <f t="shared" si="57"/>
        <v>0</v>
      </c>
      <c r="S127" s="33">
        <f t="shared" si="58"/>
        <v>0</v>
      </c>
      <c r="T127" s="33">
        <f t="shared" si="44"/>
        <v>0</v>
      </c>
      <c r="U127" s="33">
        <f t="shared" si="52"/>
        <v>0</v>
      </c>
      <c r="V127" s="33">
        <f t="shared" si="45"/>
        <v>0</v>
      </c>
      <c r="W127" s="33">
        <v>0</v>
      </c>
      <c r="X127" s="33">
        <f t="shared" si="46"/>
        <v>0</v>
      </c>
      <c r="Y127" s="38">
        <f t="shared" si="47"/>
        <v>0</v>
      </c>
      <c r="AA127" s="71">
        <v>122</v>
      </c>
      <c r="AB127" s="33">
        <f t="shared" si="48"/>
        <v>0</v>
      </c>
      <c r="AC127" s="308">
        <f t="shared" si="66"/>
        <v>0</v>
      </c>
      <c r="AD127" s="101">
        <f t="shared" si="49"/>
        <v>0</v>
      </c>
      <c r="AE127" s="101">
        <f t="shared" si="50"/>
        <v>0</v>
      </c>
      <c r="AF127" s="197">
        <f t="shared" si="62"/>
        <v>0</v>
      </c>
      <c r="AG127" s="197">
        <f t="shared" si="63"/>
        <v>0</v>
      </c>
      <c r="AH127" s="197">
        <f t="shared" si="64"/>
        <v>0</v>
      </c>
      <c r="AI127" s="202">
        <f t="shared" si="65"/>
        <v>0</v>
      </c>
      <c r="AK127" s="71">
        <v>122</v>
      </c>
      <c r="AL127" s="33"/>
      <c r="AM127" s="33"/>
      <c r="AN127" s="33"/>
      <c r="AO127" s="33"/>
      <c r="AP127" s="33"/>
      <c r="AQ127" s="197"/>
      <c r="AR127" s="197"/>
      <c r="AS127" s="197"/>
      <c r="AT127" s="197"/>
      <c r="AU127" s="33"/>
      <c r="AV127" s="33"/>
      <c r="AW127" s="33"/>
      <c r="AX127" s="33"/>
      <c r="AY127" s="76"/>
    </row>
    <row r="128" spans="2:51">
      <c r="E128" s="24"/>
      <c r="I128" s="55">
        <v>123</v>
      </c>
      <c r="J128" s="33">
        <f t="shared" si="53"/>
        <v>0</v>
      </c>
      <c r="K128" s="33">
        <f t="shared" si="54"/>
        <v>0</v>
      </c>
      <c r="L128" s="33">
        <f t="shared" si="55"/>
        <v>0</v>
      </c>
      <c r="M128" s="33">
        <f t="shared" si="56"/>
        <v>0</v>
      </c>
      <c r="N128" s="33">
        <f t="shared" si="42"/>
        <v>0</v>
      </c>
      <c r="O128" s="34">
        <f t="shared" si="43"/>
        <v>0</v>
      </c>
      <c r="P128" s="55">
        <v>123</v>
      </c>
      <c r="Q128" s="33">
        <f t="shared" si="67"/>
        <v>0</v>
      </c>
      <c r="R128" s="33">
        <f t="shared" si="57"/>
        <v>0</v>
      </c>
      <c r="S128" s="33">
        <f t="shared" si="58"/>
        <v>0</v>
      </c>
      <c r="T128" s="33">
        <f t="shared" si="44"/>
        <v>0</v>
      </c>
      <c r="U128" s="33">
        <f t="shared" si="52"/>
        <v>0</v>
      </c>
      <c r="V128" s="33">
        <f t="shared" si="45"/>
        <v>0</v>
      </c>
      <c r="W128" s="33">
        <v>0</v>
      </c>
      <c r="X128" s="33">
        <f t="shared" si="46"/>
        <v>0</v>
      </c>
      <c r="Y128" s="38">
        <f t="shared" si="47"/>
        <v>0</v>
      </c>
      <c r="AA128" s="71">
        <v>123</v>
      </c>
      <c r="AB128" s="33">
        <f t="shared" si="48"/>
        <v>0</v>
      </c>
      <c r="AC128" s="308">
        <f t="shared" si="66"/>
        <v>0</v>
      </c>
      <c r="AD128" s="101">
        <f t="shared" si="49"/>
        <v>0</v>
      </c>
      <c r="AE128" s="101">
        <f t="shared" si="50"/>
        <v>0</v>
      </c>
      <c r="AF128" s="197">
        <f t="shared" si="62"/>
        <v>0</v>
      </c>
      <c r="AG128" s="197">
        <f t="shared" si="63"/>
        <v>0</v>
      </c>
      <c r="AH128" s="197">
        <f t="shared" si="64"/>
        <v>0</v>
      </c>
      <c r="AI128" s="202">
        <f t="shared" si="65"/>
        <v>0</v>
      </c>
      <c r="AK128" s="71">
        <v>123</v>
      </c>
      <c r="AL128" s="33"/>
      <c r="AM128" s="33"/>
      <c r="AN128" s="33"/>
      <c r="AO128" s="33"/>
      <c r="AP128" s="33"/>
      <c r="AQ128" s="197"/>
      <c r="AR128" s="197"/>
      <c r="AS128" s="197"/>
      <c r="AT128" s="197"/>
      <c r="AU128" s="33"/>
      <c r="AV128" s="33"/>
      <c r="AW128" s="33"/>
      <c r="AX128" s="33"/>
      <c r="AY128" s="76"/>
    </row>
    <row r="129" spans="3:51">
      <c r="E129" s="24"/>
      <c r="I129" s="55">
        <v>124</v>
      </c>
      <c r="J129" s="33">
        <f t="shared" si="53"/>
        <v>0</v>
      </c>
      <c r="K129" s="33">
        <f t="shared" si="54"/>
        <v>0</v>
      </c>
      <c r="L129" s="33">
        <f t="shared" si="55"/>
        <v>0</v>
      </c>
      <c r="M129" s="33">
        <f t="shared" si="56"/>
        <v>0</v>
      </c>
      <c r="N129" s="33">
        <f t="shared" si="42"/>
        <v>0</v>
      </c>
      <c r="O129" s="34">
        <f t="shared" si="43"/>
        <v>0</v>
      </c>
      <c r="P129" s="55">
        <v>124</v>
      </c>
      <c r="Q129" s="33">
        <f t="shared" si="67"/>
        <v>0</v>
      </c>
      <c r="R129" s="33">
        <f t="shared" si="57"/>
        <v>0</v>
      </c>
      <c r="S129" s="33">
        <f t="shared" si="58"/>
        <v>0</v>
      </c>
      <c r="T129" s="33">
        <f t="shared" si="44"/>
        <v>0</v>
      </c>
      <c r="U129" s="33">
        <f t="shared" si="52"/>
        <v>0</v>
      </c>
      <c r="V129" s="33">
        <f t="shared" si="45"/>
        <v>0</v>
      </c>
      <c r="W129" s="33">
        <v>0</v>
      </c>
      <c r="X129" s="33">
        <f t="shared" si="46"/>
        <v>0</v>
      </c>
      <c r="Y129" s="38">
        <f t="shared" si="47"/>
        <v>0</v>
      </c>
      <c r="AA129" s="71">
        <v>124</v>
      </c>
      <c r="AB129" s="33">
        <f t="shared" si="48"/>
        <v>0</v>
      </c>
      <c r="AC129" s="308">
        <f t="shared" si="66"/>
        <v>0</v>
      </c>
      <c r="AD129" s="101">
        <f t="shared" si="49"/>
        <v>0</v>
      </c>
      <c r="AE129" s="101">
        <f t="shared" si="50"/>
        <v>0</v>
      </c>
      <c r="AF129" s="197">
        <f t="shared" si="62"/>
        <v>0</v>
      </c>
      <c r="AG129" s="197">
        <f t="shared" si="63"/>
        <v>0</v>
      </c>
      <c r="AH129" s="197">
        <f t="shared" si="64"/>
        <v>0</v>
      </c>
      <c r="AI129" s="202">
        <f t="shared" si="65"/>
        <v>0</v>
      </c>
      <c r="AK129" s="71">
        <v>124</v>
      </c>
      <c r="AL129" s="33"/>
      <c r="AM129" s="33"/>
      <c r="AN129" s="33"/>
      <c r="AO129" s="33"/>
      <c r="AP129" s="33"/>
      <c r="AQ129" s="197"/>
      <c r="AR129" s="197"/>
      <c r="AS129" s="197"/>
      <c r="AT129" s="197"/>
      <c r="AU129" s="33"/>
      <c r="AV129" s="33"/>
      <c r="AW129" s="33"/>
      <c r="AX129" s="33"/>
      <c r="AY129" s="76"/>
    </row>
    <row r="130" spans="3:51" ht="30">
      <c r="C130" s="3" t="s">
        <v>5</v>
      </c>
      <c r="D130" s="3" t="s">
        <v>6</v>
      </c>
      <c r="E130" s="191" t="s">
        <v>227</v>
      </c>
      <c r="I130" s="55">
        <v>125</v>
      </c>
      <c r="J130" s="33">
        <f t="shared" si="53"/>
        <v>0</v>
      </c>
      <c r="K130" s="33">
        <f t="shared" si="54"/>
        <v>0</v>
      </c>
      <c r="L130" s="33">
        <f t="shared" si="55"/>
        <v>0</v>
      </c>
      <c r="M130" s="33">
        <f t="shared" si="56"/>
        <v>0</v>
      </c>
      <c r="N130" s="33">
        <f t="shared" si="42"/>
        <v>0</v>
      </c>
      <c r="O130" s="34">
        <f t="shared" si="43"/>
        <v>0</v>
      </c>
      <c r="P130" s="55">
        <v>125</v>
      </c>
      <c r="Q130" s="33">
        <f t="shared" si="67"/>
        <v>0</v>
      </c>
      <c r="R130" s="33">
        <f t="shared" si="57"/>
        <v>0</v>
      </c>
      <c r="S130" s="33">
        <f t="shared" si="58"/>
        <v>0</v>
      </c>
      <c r="T130" s="33">
        <f t="shared" si="44"/>
        <v>0</v>
      </c>
      <c r="U130" s="33">
        <f t="shared" si="52"/>
        <v>0</v>
      </c>
      <c r="V130" s="33">
        <f t="shared" si="45"/>
        <v>0</v>
      </c>
      <c r="W130" s="33">
        <v>0</v>
      </c>
      <c r="X130" s="33">
        <f t="shared" si="46"/>
        <v>0</v>
      </c>
      <c r="Y130" s="38">
        <f t="shared" si="47"/>
        <v>0</v>
      </c>
      <c r="AA130" s="71">
        <v>125</v>
      </c>
      <c r="AB130" s="33">
        <f t="shared" si="48"/>
        <v>0</v>
      </c>
      <c r="AC130" s="308">
        <f t="shared" si="66"/>
        <v>0</v>
      </c>
      <c r="AD130" s="101">
        <f t="shared" si="49"/>
        <v>0</v>
      </c>
      <c r="AE130" s="101">
        <f t="shared" si="50"/>
        <v>0</v>
      </c>
      <c r="AF130" s="197">
        <f t="shared" si="62"/>
        <v>0</v>
      </c>
      <c r="AG130" s="197">
        <f t="shared" si="63"/>
        <v>0</v>
      </c>
      <c r="AH130" s="197">
        <f t="shared" si="64"/>
        <v>0</v>
      </c>
      <c r="AI130" s="202">
        <f t="shared" si="65"/>
        <v>0</v>
      </c>
      <c r="AK130" s="71">
        <v>125</v>
      </c>
      <c r="AL130" s="33"/>
      <c r="AM130" s="33"/>
      <c r="AN130" s="33"/>
      <c r="AO130" s="33"/>
      <c r="AP130" s="33"/>
      <c r="AQ130" s="197"/>
      <c r="AR130" s="197"/>
      <c r="AS130" s="197"/>
      <c r="AT130" s="197"/>
      <c r="AU130" s="33"/>
      <c r="AV130" s="33"/>
      <c r="AW130" s="33"/>
      <c r="AX130" s="33"/>
      <c r="AY130" s="76"/>
    </row>
    <row r="131" spans="3:51">
      <c r="C131" s="169" t="s">
        <v>7</v>
      </c>
      <c r="D131" s="4">
        <v>0.62</v>
      </c>
      <c r="E131" s="191" t="s">
        <v>228</v>
      </c>
      <c r="I131" s="55">
        <v>126</v>
      </c>
      <c r="J131" s="33">
        <f t="shared" si="53"/>
        <v>0</v>
      </c>
      <c r="K131" s="33">
        <f t="shared" si="54"/>
        <v>0</v>
      </c>
      <c r="L131" s="33">
        <f t="shared" si="55"/>
        <v>0</v>
      </c>
      <c r="M131" s="33">
        <f t="shared" si="56"/>
        <v>0</v>
      </c>
      <c r="N131" s="33">
        <f t="shared" si="42"/>
        <v>0</v>
      </c>
      <c r="O131" s="34">
        <f t="shared" si="43"/>
        <v>0</v>
      </c>
      <c r="P131" s="55">
        <v>126</v>
      </c>
      <c r="Q131" s="33">
        <f t="shared" si="67"/>
        <v>0</v>
      </c>
      <c r="R131" s="33">
        <f t="shared" si="57"/>
        <v>0</v>
      </c>
      <c r="S131" s="33">
        <f t="shared" si="58"/>
        <v>0</v>
      </c>
      <c r="T131" s="33">
        <f t="shared" si="44"/>
        <v>0</v>
      </c>
      <c r="U131" s="33">
        <f t="shared" si="52"/>
        <v>0</v>
      </c>
      <c r="V131" s="33">
        <f t="shared" si="45"/>
        <v>0</v>
      </c>
      <c r="W131" s="33">
        <v>0</v>
      </c>
      <c r="X131" s="33">
        <f t="shared" si="46"/>
        <v>0</v>
      </c>
      <c r="Y131" s="38">
        <f t="shared" si="47"/>
        <v>0</v>
      </c>
      <c r="AA131" s="71">
        <v>126</v>
      </c>
      <c r="AB131" s="33">
        <f t="shared" si="48"/>
        <v>0</v>
      </c>
      <c r="AC131" s="308">
        <f t="shared" si="66"/>
        <v>0</v>
      </c>
      <c r="AD131" s="101">
        <f t="shared" si="49"/>
        <v>0</v>
      </c>
      <c r="AE131" s="101">
        <f t="shared" si="50"/>
        <v>0</v>
      </c>
      <c r="AF131" s="197">
        <f t="shared" si="62"/>
        <v>0</v>
      </c>
      <c r="AG131" s="197">
        <f t="shared" si="63"/>
        <v>0</v>
      </c>
      <c r="AH131" s="197">
        <f t="shared" si="64"/>
        <v>0</v>
      </c>
      <c r="AI131" s="202">
        <f t="shared" si="65"/>
        <v>0</v>
      </c>
      <c r="AK131" s="71">
        <v>126</v>
      </c>
      <c r="AL131" s="33"/>
      <c r="AM131" s="33"/>
      <c r="AN131" s="33"/>
      <c r="AO131" s="33"/>
      <c r="AP131" s="33"/>
      <c r="AQ131" s="197"/>
      <c r="AR131" s="197"/>
      <c r="AS131" s="197"/>
      <c r="AT131" s="197"/>
      <c r="AU131" s="33"/>
      <c r="AV131" s="33"/>
      <c r="AW131" s="33"/>
      <c r="AX131" s="33"/>
      <c r="AY131" s="76"/>
    </row>
    <row r="132" spans="3:51">
      <c r="C132" s="169" t="s">
        <v>4</v>
      </c>
      <c r="D132" s="4">
        <v>0.64</v>
      </c>
      <c r="E132" s="191" t="s">
        <v>228</v>
      </c>
      <c r="I132" s="55">
        <v>127</v>
      </c>
      <c r="J132" s="33">
        <f t="shared" si="53"/>
        <v>0</v>
      </c>
      <c r="K132" s="33">
        <f t="shared" si="54"/>
        <v>0</v>
      </c>
      <c r="L132" s="33">
        <f t="shared" si="55"/>
        <v>0</v>
      </c>
      <c r="M132" s="33">
        <f t="shared" si="56"/>
        <v>0</v>
      </c>
      <c r="N132" s="33">
        <f t="shared" si="42"/>
        <v>0</v>
      </c>
      <c r="O132" s="34">
        <f t="shared" si="43"/>
        <v>0</v>
      </c>
      <c r="P132" s="55">
        <v>127</v>
      </c>
      <c r="Q132" s="33">
        <f t="shared" si="67"/>
        <v>0</v>
      </c>
      <c r="R132" s="33">
        <f t="shared" si="57"/>
        <v>0</v>
      </c>
      <c r="S132" s="33">
        <f t="shared" si="58"/>
        <v>0</v>
      </c>
      <c r="T132" s="33">
        <f t="shared" si="44"/>
        <v>0</v>
      </c>
      <c r="U132" s="33">
        <f t="shared" si="52"/>
        <v>0</v>
      </c>
      <c r="V132" s="33">
        <f t="shared" si="45"/>
        <v>0</v>
      </c>
      <c r="W132" s="33">
        <v>0</v>
      </c>
      <c r="X132" s="33">
        <f t="shared" si="46"/>
        <v>0</v>
      </c>
      <c r="Y132" s="38">
        <f t="shared" si="47"/>
        <v>0</v>
      </c>
      <c r="AA132" s="71">
        <v>127</v>
      </c>
      <c r="AB132" s="33">
        <f t="shared" si="48"/>
        <v>0</v>
      </c>
      <c r="AC132" s="308">
        <f t="shared" si="66"/>
        <v>0</v>
      </c>
      <c r="AD132" s="101">
        <f t="shared" si="49"/>
        <v>0</v>
      </c>
      <c r="AE132" s="101">
        <f t="shared" si="50"/>
        <v>0</v>
      </c>
      <c r="AF132" s="197">
        <f t="shared" si="62"/>
        <v>0</v>
      </c>
      <c r="AG132" s="197">
        <f t="shared" si="63"/>
        <v>0</v>
      </c>
      <c r="AH132" s="197">
        <f t="shared" si="64"/>
        <v>0</v>
      </c>
      <c r="AI132" s="202">
        <f t="shared" si="65"/>
        <v>0</v>
      </c>
      <c r="AK132" s="71">
        <v>127</v>
      </c>
      <c r="AL132" s="33"/>
      <c r="AM132" s="33"/>
      <c r="AN132" s="33"/>
      <c r="AO132" s="33"/>
      <c r="AP132" s="33"/>
      <c r="AQ132" s="197"/>
      <c r="AR132" s="197"/>
      <c r="AS132" s="197"/>
      <c r="AT132" s="197"/>
      <c r="AU132" s="33"/>
      <c r="AV132" s="33"/>
      <c r="AW132" s="33"/>
      <c r="AX132" s="33"/>
      <c r="AY132" s="76"/>
    </row>
    <row r="133" spans="3:51">
      <c r="C133" s="169" t="s">
        <v>8</v>
      </c>
      <c r="D133" s="4">
        <v>0.42</v>
      </c>
      <c r="E133" s="191" t="s">
        <v>228</v>
      </c>
      <c r="I133" s="55">
        <v>128</v>
      </c>
      <c r="J133" s="33">
        <f t="shared" si="53"/>
        <v>0</v>
      </c>
      <c r="K133" s="33">
        <f t="shared" si="54"/>
        <v>0</v>
      </c>
      <c r="L133" s="33">
        <f t="shared" si="55"/>
        <v>0</v>
      </c>
      <c r="M133" s="33">
        <f t="shared" si="56"/>
        <v>0</v>
      </c>
      <c r="N133" s="33">
        <f t="shared" ref="N133:N196" si="68">IF(P134&lt;=$F$18,0,)</f>
        <v>0</v>
      </c>
      <c r="O133" s="34">
        <f t="shared" ref="O133:O196" si="69">((J133+K133)*0.475+L133+M133+N133)*44/12</f>
        <v>0</v>
      </c>
      <c r="P133" s="55">
        <v>128</v>
      </c>
      <c r="Q133" s="33">
        <f t="shared" si="67"/>
        <v>0</v>
      </c>
      <c r="R133" s="33">
        <f t="shared" si="57"/>
        <v>0</v>
      </c>
      <c r="S133" s="33">
        <f t="shared" si="58"/>
        <v>0</v>
      </c>
      <c r="T133" s="33">
        <f t="shared" ref="T133:T196" si="70">IF(S133=0,0,EXP(-1.0587+0.8836*LN(S133)+0.284))</f>
        <v>0</v>
      </c>
      <c r="U133" s="33">
        <f t="shared" si="52"/>
        <v>0</v>
      </c>
      <c r="V133" s="33">
        <f t="shared" ref="V133:V196" si="71">IF(P133&lt;=$F$18,IF(P133&lt;=30,P133*($F$16-$F$6)/30,$F$16-$F$6),)</f>
        <v>0</v>
      </c>
      <c r="W133" s="33">
        <v>0</v>
      </c>
      <c r="X133" s="33">
        <f t="shared" ref="X133:X196" si="72">((S133+T133)*0.475+U133+V133+W133)*44/12</f>
        <v>0</v>
      </c>
      <c r="Y133" s="38">
        <f t="shared" ref="Y133:Y196" si="73">IF(P133&lt;=$F$18,X133-O133,)</f>
        <v>0</v>
      </c>
      <c r="AA133" s="71">
        <v>128</v>
      </c>
      <c r="AB133" s="33">
        <f t="shared" ref="AB133:AB196" si="74">IF(AA133&lt;=$F$18,IFERROR(VLOOKUP($AA133,$B$82:$G$94,2,FALSE),0),)</f>
        <v>0</v>
      </c>
      <c r="AC133" s="308">
        <f t="shared" si="66"/>
        <v>0</v>
      </c>
      <c r="AD133" s="101">
        <f t="shared" ref="AD133:AD196" si="75">IF(AA133&lt;=$F$18,IFERROR(VLOOKUP($AA133,$B$82:$G$94,4,FALSE),0),)</f>
        <v>0</v>
      </c>
      <c r="AE133" s="101">
        <f t="shared" ref="AE133:AE196" si="76">IF(AA133&lt;=$F$18,IFERROR(VLOOKUP($AA133,$B$82:$G$94,5,FALSE),0),)</f>
        <v>0</v>
      </c>
      <c r="AF133" s="197">
        <f t="shared" si="62"/>
        <v>0</v>
      </c>
      <c r="AG133" s="197">
        <f t="shared" si="63"/>
        <v>0</v>
      </c>
      <c r="AH133" s="197">
        <f t="shared" si="64"/>
        <v>0</v>
      </c>
      <c r="AI133" s="202">
        <f t="shared" si="65"/>
        <v>0</v>
      </c>
      <c r="AK133" s="71">
        <v>128</v>
      </c>
      <c r="AL133" s="33"/>
      <c r="AM133" s="33"/>
      <c r="AN133" s="33"/>
      <c r="AO133" s="33"/>
      <c r="AP133" s="33"/>
      <c r="AQ133" s="197"/>
      <c r="AR133" s="197"/>
      <c r="AS133" s="197"/>
      <c r="AT133" s="197"/>
      <c r="AU133" s="33"/>
      <c r="AV133" s="33"/>
      <c r="AW133" s="33"/>
      <c r="AX133" s="33"/>
      <c r="AY133" s="76"/>
    </row>
    <row r="134" spans="3:51">
      <c r="C134" s="169" t="s">
        <v>9</v>
      </c>
      <c r="D134" s="4">
        <v>0.42</v>
      </c>
      <c r="E134" s="191" t="s">
        <v>228</v>
      </c>
      <c r="I134" s="55">
        <v>129</v>
      </c>
      <c r="J134" s="33">
        <f t="shared" si="53"/>
        <v>0</v>
      </c>
      <c r="K134" s="33">
        <f t="shared" si="54"/>
        <v>0</v>
      </c>
      <c r="L134" s="33">
        <f t="shared" si="55"/>
        <v>0</v>
      </c>
      <c r="M134" s="33">
        <f t="shared" si="56"/>
        <v>0</v>
      </c>
      <c r="N134" s="33">
        <f t="shared" si="68"/>
        <v>0</v>
      </c>
      <c r="O134" s="34">
        <f t="shared" si="69"/>
        <v>0</v>
      </c>
      <c r="P134" s="55">
        <v>129</v>
      </c>
      <c r="Q134" s="33">
        <f t="shared" ref="Q134:Q165" si="77">IF(P134&lt;=$F$18,LOOKUP(P134-1,$B$25:$B$78,$G$25:$G$78),)</f>
        <v>0</v>
      </c>
      <c r="R134" s="33">
        <f t="shared" si="57"/>
        <v>0</v>
      </c>
      <c r="S134" s="33">
        <f t="shared" si="58"/>
        <v>0</v>
      </c>
      <c r="T134" s="33">
        <f t="shared" si="70"/>
        <v>0</v>
      </c>
      <c r="U134" s="33">
        <f t="shared" ref="U134:U197" si="78">IF(P134&lt;=$F$18,$F$5+($F$15-$F$5)*(1-EXP(-0.0175*P134)),)</f>
        <v>0</v>
      </c>
      <c r="V134" s="33">
        <f t="shared" si="71"/>
        <v>0</v>
      </c>
      <c r="W134" s="33">
        <v>0</v>
      </c>
      <c r="X134" s="33">
        <f t="shared" si="72"/>
        <v>0</v>
      </c>
      <c r="Y134" s="38">
        <f t="shared" si="73"/>
        <v>0</v>
      </c>
      <c r="AA134" s="71">
        <v>129</v>
      </c>
      <c r="AB134" s="33">
        <f t="shared" si="74"/>
        <v>0</v>
      </c>
      <c r="AC134" s="308">
        <f t="shared" si="66"/>
        <v>0</v>
      </c>
      <c r="AD134" s="101">
        <f t="shared" si="75"/>
        <v>0</v>
      </c>
      <c r="AE134" s="101">
        <f t="shared" si="76"/>
        <v>0</v>
      </c>
      <c r="AF134" s="197">
        <f t="shared" si="62"/>
        <v>0</v>
      </c>
      <c r="AG134" s="197">
        <f t="shared" si="63"/>
        <v>0</v>
      </c>
      <c r="AH134" s="197">
        <f t="shared" si="64"/>
        <v>0</v>
      </c>
      <c r="AI134" s="202">
        <f t="shared" si="65"/>
        <v>0</v>
      </c>
      <c r="AK134" s="71">
        <v>129</v>
      </c>
      <c r="AL134" s="33"/>
      <c r="AM134" s="33"/>
      <c r="AN134" s="33"/>
      <c r="AO134" s="33"/>
      <c r="AP134" s="33"/>
      <c r="AQ134" s="197"/>
      <c r="AR134" s="197"/>
      <c r="AS134" s="197"/>
      <c r="AT134" s="197"/>
      <c r="AU134" s="33"/>
      <c r="AV134" s="33"/>
      <c r="AW134" s="33"/>
      <c r="AX134" s="33"/>
      <c r="AY134" s="76"/>
    </row>
    <row r="135" spans="3:51">
      <c r="C135" s="169" t="s">
        <v>10</v>
      </c>
      <c r="D135" s="4">
        <v>0.52</v>
      </c>
      <c r="E135" s="191" t="s">
        <v>228</v>
      </c>
      <c r="I135" s="55">
        <v>130</v>
      </c>
      <c r="J135" s="33">
        <f t="shared" ref="J135:J198" si="79">IF($I135&lt;=$F$10,$F$11*$F$13+J134,)</f>
        <v>0</v>
      </c>
      <c r="K135" s="33">
        <f t="shared" ref="K135:K198" si="80">IF(J135=0,0,EXP(-1.0587+0.8836*LN(J135)+0.284))</f>
        <v>0</v>
      </c>
      <c r="L135" s="33">
        <f t="shared" ref="L135:L198" si="81">IF(I135&lt;=$F$10,$F$5+($F$8-$F$5)*(1-EXP(-0.0175*I135)),)</f>
        <v>0</v>
      </c>
      <c r="M135" s="33">
        <f t="shared" ref="M135:M198" si="82">IF(I135&lt;=$F$10,IF(I135&lt;=30,I135*($F$9-$F$6)/30,$F$9-$F$6),)</f>
        <v>0</v>
      </c>
      <c r="N135" s="33">
        <f t="shared" si="68"/>
        <v>0</v>
      </c>
      <c r="O135" s="34">
        <f t="shared" si="69"/>
        <v>0</v>
      </c>
      <c r="P135" s="55">
        <v>130</v>
      </c>
      <c r="Q135" s="33">
        <f t="shared" si="77"/>
        <v>0</v>
      </c>
      <c r="R135" s="33">
        <f t="shared" ref="R135:R198" si="83">IF(P135&lt;=$F$18,Q135+R134,)</f>
        <v>0</v>
      </c>
      <c r="S135" s="33">
        <f t="shared" ref="S135:S198" si="84">$F$19*R135</f>
        <v>0</v>
      </c>
      <c r="T135" s="33">
        <f t="shared" si="70"/>
        <v>0</v>
      </c>
      <c r="U135" s="33">
        <f t="shared" si="78"/>
        <v>0</v>
      </c>
      <c r="V135" s="33">
        <f t="shared" si="71"/>
        <v>0</v>
      </c>
      <c r="W135" s="33">
        <v>0</v>
      </c>
      <c r="X135" s="33">
        <f t="shared" si="72"/>
        <v>0</v>
      </c>
      <c r="Y135" s="38">
        <f t="shared" si="73"/>
        <v>0</v>
      </c>
      <c r="AA135" s="71">
        <v>130</v>
      </c>
      <c r="AB135" s="33">
        <f t="shared" si="74"/>
        <v>0</v>
      </c>
      <c r="AC135" s="308">
        <f t="shared" si="66"/>
        <v>0</v>
      </c>
      <c r="AD135" s="101">
        <f t="shared" si="75"/>
        <v>0</v>
      </c>
      <c r="AE135" s="101">
        <f t="shared" si="76"/>
        <v>0</v>
      </c>
      <c r="AF135" s="197">
        <f t="shared" si="62"/>
        <v>0</v>
      </c>
      <c r="AG135" s="197">
        <f t="shared" si="63"/>
        <v>0</v>
      </c>
      <c r="AH135" s="197">
        <f t="shared" si="64"/>
        <v>0</v>
      </c>
      <c r="AI135" s="202">
        <f t="shared" si="65"/>
        <v>0</v>
      </c>
      <c r="AK135" s="71">
        <v>130</v>
      </c>
      <c r="AL135" s="33"/>
      <c r="AM135" s="33"/>
      <c r="AN135" s="33"/>
      <c r="AO135" s="33"/>
      <c r="AP135" s="33"/>
      <c r="AQ135" s="197"/>
      <c r="AR135" s="197"/>
      <c r="AS135" s="197"/>
      <c r="AT135" s="197"/>
      <c r="AU135" s="33"/>
      <c r="AV135" s="33"/>
      <c r="AW135" s="33"/>
      <c r="AX135" s="33"/>
      <c r="AY135" s="76"/>
    </row>
    <row r="136" spans="3:51">
      <c r="C136" s="169" t="s">
        <v>11</v>
      </c>
      <c r="D136" s="4">
        <v>0.36</v>
      </c>
      <c r="E136" s="191" t="s">
        <v>229</v>
      </c>
      <c r="I136" s="55">
        <v>131</v>
      </c>
      <c r="J136" s="33">
        <f t="shared" si="79"/>
        <v>0</v>
      </c>
      <c r="K136" s="33">
        <f t="shared" si="80"/>
        <v>0</v>
      </c>
      <c r="L136" s="33">
        <f t="shared" si="81"/>
        <v>0</v>
      </c>
      <c r="M136" s="33">
        <f t="shared" si="82"/>
        <v>0</v>
      </c>
      <c r="N136" s="33">
        <f t="shared" si="68"/>
        <v>0</v>
      </c>
      <c r="O136" s="34">
        <f t="shared" si="69"/>
        <v>0</v>
      </c>
      <c r="P136" s="55">
        <v>131</v>
      </c>
      <c r="Q136" s="33">
        <f t="shared" si="77"/>
        <v>0</v>
      </c>
      <c r="R136" s="33">
        <f t="shared" si="83"/>
        <v>0</v>
      </c>
      <c r="S136" s="33">
        <f t="shared" si="84"/>
        <v>0</v>
      </c>
      <c r="T136" s="33">
        <f t="shared" si="70"/>
        <v>0</v>
      </c>
      <c r="U136" s="33">
        <f t="shared" si="78"/>
        <v>0</v>
      </c>
      <c r="V136" s="33">
        <f t="shared" si="71"/>
        <v>0</v>
      </c>
      <c r="W136" s="33">
        <v>0</v>
      </c>
      <c r="X136" s="33">
        <f t="shared" si="72"/>
        <v>0</v>
      </c>
      <c r="Y136" s="38">
        <f t="shared" si="73"/>
        <v>0</v>
      </c>
      <c r="AA136" s="71">
        <v>131</v>
      </c>
      <c r="AB136" s="33">
        <f t="shared" si="74"/>
        <v>0</v>
      </c>
      <c r="AC136" s="308">
        <f t="shared" si="66"/>
        <v>0</v>
      </c>
      <c r="AD136" s="101">
        <f t="shared" si="75"/>
        <v>0</v>
      </c>
      <c r="AE136" s="101">
        <f t="shared" si="76"/>
        <v>0</v>
      </c>
      <c r="AF136" s="197">
        <f t="shared" si="62"/>
        <v>0</v>
      </c>
      <c r="AG136" s="197">
        <f t="shared" si="63"/>
        <v>0</v>
      </c>
      <c r="AH136" s="197">
        <f t="shared" si="64"/>
        <v>0</v>
      </c>
      <c r="AI136" s="202">
        <f t="shared" si="65"/>
        <v>0</v>
      </c>
      <c r="AK136" s="71">
        <v>131</v>
      </c>
      <c r="AL136" s="33"/>
      <c r="AM136" s="33"/>
      <c r="AN136" s="33"/>
      <c r="AO136" s="33"/>
      <c r="AP136" s="33"/>
      <c r="AQ136" s="197"/>
      <c r="AR136" s="197"/>
      <c r="AS136" s="197"/>
      <c r="AT136" s="197"/>
      <c r="AU136" s="33"/>
      <c r="AV136" s="33"/>
      <c r="AW136" s="33"/>
      <c r="AX136" s="33"/>
      <c r="AY136" s="76"/>
    </row>
    <row r="137" spans="3:51">
      <c r="C137" s="169" t="s">
        <v>12</v>
      </c>
      <c r="D137" s="4">
        <v>0.61</v>
      </c>
      <c r="E137" s="191" t="s">
        <v>228</v>
      </c>
      <c r="I137" s="55">
        <v>132</v>
      </c>
      <c r="J137" s="33">
        <f t="shared" si="79"/>
        <v>0</v>
      </c>
      <c r="K137" s="33">
        <f t="shared" si="80"/>
        <v>0</v>
      </c>
      <c r="L137" s="33">
        <f t="shared" si="81"/>
        <v>0</v>
      </c>
      <c r="M137" s="33">
        <f t="shared" si="82"/>
        <v>0</v>
      </c>
      <c r="N137" s="33">
        <f t="shared" si="68"/>
        <v>0</v>
      </c>
      <c r="O137" s="34">
        <f t="shared" si="69"/>
        <v>0</v>
      </c>
      <c r="P137" s="55">
        <v>132</v>
      </c>
      <c r="Q137" s="33">
        <f t="shared" si="77"/>
        <v>0</v>
      </c>
      <c r="R137" s="33">
        <f t="shared" si="83"/>
        <v>0</v>
      </c>
      <c r="S137" s="33">
        <f t="shared" si="84"/>
        <v>0</v>
      </c>
      <c r="T137" s="33">
        <f t="shared" si="70"/>
        <v>0</v>
      </c>
      <c r="U137" s="33">
        <f t="shared" si="78"/>
        <v>0</v>
      </c>
      <c r="V137" s="33">
        <f t="shared" si="71"/>
        <v>0</v>
      </c>
      <c r="W137" s="33">
        <v>0</v>
      </c>
      <c r="X137" s="33">
        <f t="shared" si="72"/>
        <v>0</v>
      </c>
      <c r="Y137" s="38">
        <f t="shared" si="73"/>
        <v>0</v>
      </c>
      <c r="AA137" s="71">
        <v>132</v>
      </c>
      <c r="AB137" s="33">
        <f t="shared" si="74"/>
        <v>0</v>
      </c>
      <c r="AC137" s="308">
        <f t="shared" si="66"/>
        <v>0</v>
      </c>
      <c r="AD137" s="101">
        <f t="shared" si="75"/>
        <v>0</v>
      </c>
      <c r="AE137" s="101">
        <f t="shared" si="76"/>
        <v>0</v>
      </c>
      <c r="AF137" s="197">
        <f t="shared" si="62"/>
        <v>0</v>
      </c>
      <c r="AG137" s="197">
        <f t="shared" si="63"/>
        <v>0</v>
      </c>
      <c r="AH137" s="197">
        <f t="shared" si="64"/>
        <v>0</v>
      </c>
      <c r="AI137" s="202">
        <f t="shared" si="65"/>
        <v>0</v>
      </c>
      <c r="AK137" s="71">
        <v>132</v>
      </c>
      <c r="AL137" s="33"/>
      <c r="AM137" s="33"/>
      <c r="AN137" s="33"/>
      <c r="AO137" s="33"/>
      <c r="AP137" s="33"/>
      <c r="AQ137" s="197"/>
      <c r="AR137" s="197"/>
      <c r="AS137" s="197"/>
      <c r="AT137" s="197"/>
      <c r="AU137" s="33"/>
      <c r="AV137" s="33"/>
      <c r="AW137" s="33"/>
      <c r="AX137" s="33"/>
      <c r="AY137" s="76"/>
    </row>
    <row r="138" spans="3:51">
      <c r="C138" s="169" t="s">
        <v>13</v>
      </c>
      <c r="D138" s="4">
        <v>0.66</v>
      </c>
      <c r="E138" s="191" t="s">
        <v>228</v>
      </c>
      <c r="I138" s="55">
        <v>133</v>
      </c>
      <c r="J138" s="33">
        <f t="shared" si="79"/>
        <v>0</v>
      </c>
      <c r="K138" s="33">
        <f t="shared" si="80"/>
        <v>0</v>
      </c>
      <c r="L138" s="33">
        <f t="shared" si="81"/>
        <v>0</v>
      </c>
      <c r="M138" s="33">
        <f t="shared" si="82"/>
        <v>0</v>
      </c>
      <c r="N138" s="33">
        <f t="shared" si="68"/>
        <v>0</v>
      </c>
      <c r="O138" s="34">
        <f t="shared" si="69"/>
        <v>0</v>
      </c>
      <c r="P138" s="55">
        <v>133</v>
      </c>
      <c r="Q138" s="33">
        <f t="shared" si="77"/>
        <v>0</v>
      </c>
      <c r="R138" s="33">
        <f t="shared" si="83"/>
        <v>0</v>
      </c>
      <c r="S138" s="33">
        <f t="shared" si="84"/>
        <v>0</v>
      </c>
      <c r="T138" s="33">
        <f t="shared" si="70"/>
        <v>0</v>
      </c>
      <c r="U138" s="33">
        <f t="shared" si="78"/>
        <v>0</v>
      </c>
      <c r="V138" s="33">
        <f t="shared" si="71"/>
        <v>0</v>
      </c>
      <c r="W138" s="33">
        <v>0</v>
      </c>
      <c r="X138" s="33">
        <f t="shared" si="72"/>
        <v>0</v>
      </c>
      <c r="Y138" s="38">
        <f t="shared" si="73"/>
        <v>0</v>
      </c>
      <c r="AA138" s="71">
        <v>133</v>
      </c>
      <c r="AB138" s="33">
        <f t="shared" si="74"/>
        <v>0</v>
      </c>
      <c r="AC138" s="308">
        <f t="shared" si="66"/>
        <v>0</v>
      </c>
      <c r="AD138" s="101">
        <f t="shared" si="75"/>
        <v>0</v>
      </c>
      <c r="AE138" s="101">
        <f t="shared" si="76"/>
        <v>0</v>
      </c>
      <c r="AF138" s="197">
        <f t="shared" si="62"/>
        <v>0</v>
      </c>
      <c r="AG138" s="197">
        <f t="shared" si="63"/>
        <v>0</v>
      </c>
      <c r="AH138" s="197">
        <f t="shared" si="64"/>
        <v>0</v>
      </c>
      <c r="AI138" s="202">
        <f t="shared" si="65"/>
        <v>0</v>
      </c>
      <c r="AK138" s="71">
        <v>133</v>
      </c>
      <c r="AL138" s="33"/>
      <c r="AM138" s="33"/>
      <c r="AN138" s="33"/>
      <c r="AO138" s="33"/>
      <c r="AP138" s="33"/>
      <c r="AQ138" s="197"/>
      <c r="AR138" s="197"/>
      <c r="AS138" s="197"/>
      <c r="AT138" s="197"/>
      <c r="AU138" s="33"/>
      <c r="AV138" s="33"/>
      <c r="AW138" s="33"/>
      <c r="AX138" s="33"/>
      <c r="AY138" s="76"/>
    </row>
    <row r="139" spans="3:51">
      <c r="C139" s="170" t="s">
        <v>14</v>
      </c>
      <c r="D139" s="135">
        <v>0.47</v>
      </c>
      <c r="E139" s="191" t="s">
        <v>228</v>
      </c>
      <c r="I139" s="55">
        <v>134</v>
      </c>
      <c r="J139" s="33">
        <f t="shared" si="79"/>
        <v>0</v>
      </c>
      <c r="K139" s="33">
        <f t="shared" si="80"/>
        <v>0</v>
      </c>
      <c r="L139" s="33">
        <f t="shared" si="81"/>
        <v>0</v>
      </c>
      <c r="M139" s="33">
        <f t="shared" si="82"/>
        <v>0</v>
      </c>
      <c r="N139" s="33">
        <f t="shared" si="68"/>
        <v>0</v>
      </c>
      <c r="O139" s="34">
        <f t="shared" si="69"/>
        <v>0</v>
      </c>
      <c r="P139" s="55">
        <v>134</v>
      </c>
      <c r="Q139" s="33">
        <f t="shared" si="77"/>
        <v>0</v>
      </c>
      <c r="R139" s="33">
        <f t="shared" si="83"/>
        <v>0</v>
      </c>
      <c r="S139" s="33">
        <f t="shared" si="84"/>
        <v>0</v>
      </c>
      <c r="T139" s="33">
        <f t="shared" si="70"/>
        <v>0</v>
      </c>
      <c r="U139" s="33">
        <f t="shared" si="78"/>
        <v>0</v>
      </c>
      <c r="V139" s="33">
        <f t="shared" si="71"/>
        <v>0</v>
      </c>
      <c r="W139" s="33">
        <v>0</v>
      </c>
      <c r="X139" s="33">
        <f t="shared" si="72"/>
        <v>0</v>
      </c>
      <c r="Y139" s="38">
        <f t="shared" si="73"/>
        <v>0</v>
      </c>
      <c r="AA139" s="71">
        <v>134</v>
      </c>
      <c r="AB139" s="33">
        <f t="shared" si="74"/>
        <v>0</v>
      </c>
      <c r="AC139" s="308">
        <f t="shared" si="66"/>
        <v>0</v>
      </c>
      <c r="AD139" s="101">
        <f t="shared" si="75"/>
        <v>0</v>
      </c>
      <c r="AE139" s="101">
        <f t="shared" si="76"/>
        <v>0</v>
      </c>
      <c r="AF139" s="197">
        <f t="shared" si="62"/>
        <v>0</v>
      </c>
      <c r="AG139" s="197">
        <f t="shared" si="63"/>
        <v>0</v>
      </c>
      <c r="AH139" s="197">
        <f t="shared" si="64"/>
        <v>0</v>
      </c>
      <c r="AI139" s="202">
        <f t="shared" si="65"/>
        <v>0</v>
      </c>
      <c r="AK139" s="71">
        <v>134</v>
      </c>
      <c r="AL139" s="33"/>
      <c r="AM139" s="33"/>
      <c r="AN139" s="33"/>
      <c r="AO139" s="33"/>
      <c r="AP139" s="33"/>
      <c r="AQ139" s="197"/>
      <c r="AR139" s="197"/>
      <c r="AS139" s="197"/>
      <c r="AT139" s="197"/>
      <c r="AU139" s="33"/>
      <c r="AV139" s="33"/>
      <c r="AW139" s="33"/>
      <c r="AX139" s="33"/>
      <c r="AY139" s="76"/>
    </row>
    <row r="140" spans="3:51">
      <c r="C140" s="169" t="s">
        <v>15</v>
      </c>
      <c r="D140" s="4">
        <v>0.67</v>
      </c>
      <c r="E140" s="191" t="s">
        <v>228</v>
      </c>
      <c r="I140" s="55">
        <v>135</v>
      </c>
      <c r="J140" s="33">
        <f t="shared" si="79"/>
        <v>0</v>
      </c>
      <c r="K140" s="33">
        <f t="shared" si="80"/>
        <v>0</v>
      </c>
      <c r="L140" s="33">
        <f t="shared" si="81"/>
        <v>0</v>
      </c>
      <c r="M140" s="33">
        <f t="shared" si="82"/>
        <v>0</v>
      </c>
      <c r="N140" s="33">
        <f t="shared" si="68"/>
        <v>0</v>
      </c>
      <c r="O140" s="34">
        <f t="shared" si="69"/>
        <v>0</v>
      </c>
      <c r="P140" s="55">
        <v>135</v>
      </c>
      <c r="Q140" s="33">
        <f t="shared" si="77"/>
        <v>0</v>
      </c>
      <c r="R140" s="33">
        <f t="shared" si="83"/>
        <v>0</v>
      </c>
      <c r="S140" s="33">
        <f t="shared" si="84"/>
        <v>0</v>
      </c>
      <c r="T140" s="33">
        <f t="shared" si="70"/>
        <v>0</v>
      </c>
      <c r="U140" s="33">
        <f t="shared" si="78"/>
        <v>0</v>
      </c>
      <c r="V140" s="33">
        <f t="shared" si="71"/>
        <v>0</v>
      </c>
      <c r="W140" s="33">
        <v>0</v>
      </c>
      <c r="X140" s="33">
        <f t="shared" si="72"/>
        <v>0</v>
      </c>
      <c r="Y140" s="38">
        <f t="shared" si="73"/>
        <v>0</v>
      </c>
      <c r="AA140" s="71">
        <v>135</v>
      </c>
      <c r="AB140" s="33">
        <f t="shared" si="74"/>
        <v>0</v>
      </c>
      <c r="AC140" s="308">
        <f t="shared" si="66"/>
        <v>0</v>
      </c>
      <c r="AD140" s="101">
        <f t="shared" si="75"/>
        <v>0</v>
      </c>
      <c r="AE140" s="101">
        <f t="shared" si="76"/>
        <v>0</v>
      </c>
      <c r="AF140" s="197">
        <f t="shared" si="62"/>
        <v>0</v>
      </c>
      <c r="AG140" s="197">
        <f t="shared" si="63"/>
        <v>0</v>
      </c>
      <c r="AH140" s="197">
        <f t="shared" si="64"/>
        <v>0</v>
      </c>
      <c r="AI140" s="202">
        <f t="shared" si="65"/>
        <v>0</v>
      </c>
      <c r="AK140" s="71">
        <v>135</v>
      </c>
      <c r="AL140" s="33"/>
      <c r="AM140" s="33"/>
      <c r="AN140" s="33"/>
      <c r="AO140" s="33"/>
      <c r="AP140" s="33"/>
      <c r="AQ140" s="197"/>
      <c r="AR140" s="197"/>
      <c r="AS140" s="197"/>
      <c r="AT140" s="197"/>
      <c r="AU140" s="33"/>
      <c r="AV140" s="33"/>
      <c r="AW140" s="33"/>
      <c r="AX140" s="33"/>
      <c r="AY140" s="76"/>
    </row>
    <row r="141" spans="3:51">
      <c r="C141" s="169" t="s">
        <v>16</v>
      </c>
      <c r="D141" s="4">
        <v>0.7</v>
      </c>
      <c r="E141" s="191" t="s">
        <v>228</v>
      </c>
      <c r="I141" s="55">
        <v>136</v>
      </c>
      <c r="J141" s="33">
        <f t="shared" si="79"/>
        <v>0</v>
      </c>
      <c r="K141" s="33">
        <f t="shared" si="80"/>
        <v>0</v>
      </c>
      <c r="L141" s="33">
        <f t="shared" si="81"/>
        <v>0</v>
      </c>
      <c r="M141" s="33">
        <f t="shared" si="82"/>
        <v>0</v>
      </c>
      <c r="N141" s="33">
        <f t="shared" si="68"/>
        <v>0</v>
      </c>
      <c r="O141" s="34">
        <f t="shared" si="69"/>
        <v>0</v>
      </c>
      <c r="P141" s="55">
        <v>136</v>
      </c>
      <c r="Q141" s="33">
        <f t="shared" si="77"/>
        <v>0</v>
      </c>
      <c r="R141" s="33">
        <f t="shared" si="83"/>
        <v>0</v>
      </c>
      <c r="S141" s="33">
        <f t="shared" si="84"/>
        <v>0</v>
      </c>
      <c r="T141" s="33">
        <f t="shared" si="70"/>
        <v>0</v>
      </c>
      <c r="U141" s="33">
        <f t="shared" si="78"/>
        <v>0</v>
      </c>
      <c r="V141" s="33">
        <f t="shared" si="71"/>
        <v>0</v>
      </c>
      <c r="W141" s="33">
        <v>0</v>
      </c>
      <c r="X141" s="33">
        <f t="shared" si="72"/>
        <v>0</v>
      </c>
      <c r="Y141" s="38">
        <f t="shared" si="73"/>
        <v>0</v>
      </c>
      <c r="AA141" s="71">
        <v>136</v>
      </c>
      <c r="AB141" s="33">
        <f t="shared" si="74"/>
        <v>0</v>
      </c>
      <c r="AC141" s="308">
        <f t="shared" si="66"/>
        <v>0</v>
      </c>
      <c r="AD141" s="101">
        <f t="shared" si="75"/>
        <v>0</v>
      </c>
      <c r="AE141" s="101">
        <f t="shared" si="76"/>
        <v>0</v>
      </c>
      <c r="AF141" s="197">
        <f t="shared" si="62"/>
        <v>0</v>
      </c>
      <c r="AG141" s="197">
        <f t="shared" si="63"/>
        <v>0</v>
      </c>
      <c r="AH141" s="197">
        <f t="shared" si="64"/>
        <v>0</v>
      </c>
      <c r="AI141" s="202">
        <f t="shared" si="65"/>
        <v>0</v>
      </c>
      <c r="AK141" s="71">
        <v>136</v>
      </c>
      <c r="AL141" s="33"/>
      <c r="AM141" s="33"/>
      <c r="AN141" s="33"/>
      <c r="AO141" s="33"/>
      <c r="AP141" s="33"/>
      <c r="AQ141" s="197"/>
      <c r="AR141" s="197"/>
      <c r="AS141" s="197"/>
      <c r="AT141" s="197"/>
      <c r="AU141" s="33"/>
      <c r="AV141" s="33"/>
      <c r="AW141" s="33"/>
      <c r="AX141" s="33"/>
      <c r="AY141" s="76"/>
    </row>
    <row r="142" spans="3:51">
      <c r="C142" s="169" t="s">
        <v>17</v>
      </c>
      <c r="D142" s="4">
        <v>0.54</v>
      </c>
      <c r="E142" s="191" t="s">
        <v>228</v>
      </c>
      <c r="I142" s="55">
        <v>137</v>
      </c>
      <c r="J142" s="33">
        <f t="shared" si="79"/>
        <v>0</v>
      </c>
      <c r="K142" s="33">
        <f t="shared" si="80"/>
        <v>0</v>
      </c>
      <c r="L142" s="33">
        <f t="shared" si="81"/>
        <v>0</v>
      </c>
      <c r="M142" s="33">
        <f t="shared" si="82"/>
        <v>0</v>
      </c>
      <c r="N142" s="33">
        <f t="shared" si="68"/>
        <v>0</v>
      </c>
      <c r="O142" s="34">
        <f t="shared" si="69"/>
        <v>0</v>
      </c>
      <c r="P142" s="55">
        <v>137</v>
      </c>
      <c r="Q142" s="33">
        <f t="shared" si="77"/>
        <v>0</v>
      </c>
      <c r="R142" s="33">
        <f t="shared" si="83"/>
        <v>0</v>
      </c>
      <c r="S142" s="33">
        <f t="shared" si="84"/>
        <v>0</v>
      </c>
      <c r="T142" s="33">
        <f t="shared" si="70"/>
        <v>0</v>
      </c>
      <c r="U142" s="33">
        <f t="shared" si="78"/>
        <v>0</v>
      </c>
      <c r="V142" s="33">
        <f t="shared" si="71"/>
        <v>0</v>
      </c>
      <c r="W142" s="33">
        <v>0</v>
      </c>
      <c r="X142" s="33">
        <f t="shared" si="72"/>
        <v>0</v>
      </c>
      <c r="Y142" s="38">
        <f t="shared" si="73"/>
        <v>0</v>
      </c>
      <c r="AA142" s="71">
        <v>137</v>
      </c>
      <c r="AB142" s="33">
        <f t="shared" si="74"/>
        <v>0</v>
      </c>
      <c r="AC142" s="308">
        <f t="shared" si="66"/>
        <v>0</v>
      </c>
      <c r="AD142" s="101">
        <f t="shared" si="75"/>
        <v>0</v>
      </c>
      <c r="AE142" s="101">
        <f t="shared" si="76"/>
        <v>0</v>
      </c>
      <c r="AF142" s="197">
        <f t="shared" si="62"/>
        <v>0</v>
      </c>
      <c r="AG142" s="197">
        <f t="shared" si="63"/>
        <v>0</v>
      </c>
      <c r="AH142" s="197">
        <f t="shared" si="64"/>
        <v>0</v>
      </c>
      <c r="AI142" s="202">
        <f t="shared" si="65"/>
        <v>0</v>
      </c>
      <c r="AK142" s="71">
        <v>137</v>
      </c>
      <c r="AL142" s="33"/>
      <c r="AM142" s="33"/>
      <c r="AN142" s="33"/>
      <c r="AO142" s="33"/>
      <c r="AP142" s="33"/>
      <c r="AQ142" s="197"/>
      <c r="AR142" s="197"/>
      <c r="AS142" s="197"/>
      <c r="AT142" s="197"/>
      <c r="AU142" s="33"/>
      <c r="AV142" s="33"/>
      <c r="AW142" s="33"/>
      <c r="AX142" s="33"/>
      <c r="AY142" s="76"/>
    </row>
    <row r="143" spans="3:51">
      <c r="C143" s="169" t="s">
        <v>18</v>
      </c>
      <c r="D143" s="4">
        <v>0.65</v>
      </c>
      <c r="E143" s="191" t="s">
        <v>228</v>
      </c>
      <c r="I143" s="55">
        <v>138</v>
      </c>
      <c r="J143" s="33">
        <f t="shared" si="79"/>
        <v>0</v>
      </c>
      <c r="K143" s="33">
        <f t="shared" si="80"/>
        <v>0</v>
      </c>
      <c r="L143" s="33">
        <f t="shared" si="81"/>
        <v>0</v>
      </c>
      <c r="M143" s="33">
        <f t="shared" si="82"/>
        <v>0</v>
      </c>
      <c r="N143" s="33">
        <f t="shared" si="68"/>
        <v>0</v>
      </c>
      <c r="O143" s="34">
        <f t="shared" si="69"/>
        <v>0</v>
      </c>
      <c r="P143" s="55">
        <v>138</v>
      </c>
      <c r="Q143" s="33">
        <f t="shared" si="77"/>
        <v>0</v>
      </c>
      <c r="R143" s="33">
        <f t="shared" si="83"/>
        <v>0</v>
      </c>
      <c r="S143" s="33">
        <f t="shared" si="84"/>
        <v>0</v>
      </c>
      <c r="T143" s="33">
        <f t="shared" si="70"/>
        <v>0</v>
      </c>
      <c r="U143" s="33">
        <f t="shared" si="78"/>
        <v>0</v>
      </c>
      <c r="V143" s="33">
        <f t="shared" si="71"/>
        <v>0</v>
      </c>
      <c r="W143" s="33">
        <v>0</v>
      </c>
      <c r="X143" s="33">
        <f t="shared" si="72"/>
        <v>0</v>
      </c>
      <c r="Y143" s="38">
        <f t="shared" si="73"/>
        <v>0</v>
      </c>
      <c r="AA143" s="71">
        <v>138</v>
      </c>
      <c r="AB143" s="33">
        <f t="shared" si="74"/>
        <v>0</v>
      </c>
      <c r="AC143" s="308">
        <f t="shared" si="66"/>
        <v>0</v>
      </c>
      <c r="AD143" s="101">
        <f t="shared" si="75"/>
        <v>0</v>
      </c>
      <c r="AE143" s="101">
        <f t="shared" si="76"/>
        <v>0</v>
      </c>
      <c r="AF143" s="197">
        <f t="shared" si="62"/>
        <v>0</v>
      </c>
      <c r="AG143" s="197">
        <f t="shared" si="63"/>
        <v>0</v>
      </c>
      <c r="AH143" s="197">
        <f t="shared" si="64"/>
        <v>0</v>
      </c>
      <c r="AI143" s="202">
        <f t="shared" si="65"/>
        <v>0</v>
      </c>
      <c r="AK143" s="71">
        <v>138</v>
      </c>
      <c r="AL143" s="33"/>
      <c r="AM143" s="33"/>
      <c r="AN143" s="33"/>
      <c r="AO143" s="33"/>
      <c r="AP143" s="33"/>
      <c r="AQ143" s="197"/>
      <c r="AR143" s="197"/>
      <c r="AS143" s="197"/>
      <c r="AT143" s="197"/>
      <c r="AU143" s="33"/>
      <c r="AV143" s="33"/>
      <c r="AW143" s="33"/>
      <c r="AX143" s="33"/>
      <c r="AY143" s="76"/>
    </row>
    <row r="144" spans="3:51">
      <c r="C144" s="169" t="s">
        <v>19</v>
      </c>
      <c r="D144" s="4">
        <v>0.56000000000000005</v>
      </c>
      <c r="E144" s="191" t="s">
        <v>228</v>
      </c>
      <c r="I144" s="55">
        <v>139</v>
      </c>
      <c r="J144" s="33">
        <f t="shared" si="79"/>
        <v>0</v>
      </c>
      <c r="K144" s="33">
        <f t="shared" si="80"/>
        <v>0</v>
      </c>
      <c r="L144" s="33">
        <f t="shared" si="81"/>
        <v>0</v>
      </c>
      <c r="M144" s="33">
        <f t="shared" si="82"/>
        <v>0</v>
      </c>
      <c r="N144" s="33">
        <f t="shared" si="68"/>
        <v>0</v>
      </c>
      <c r="O144" s="34">
        <f t="shared" si="69"/>
        <v>0</v>
      </c>
      <c r="P144" s="55">
        <v>139</v>
      </c>
      <c r="Q144" s="33">
        <f t="shared" si="77"/>
        <v>0</v>
      </c>
      <c r="R144" s="33">
        <f t="shared" si="83"/>
        <v>0</v>
      </c>
      <c r="S144" s="33">
        <f t="shared" si="84"/>
        <v>0</v>
      </c>
      <c r="T144" s="33">
        <f t="shared" si="70"/>
        <v>0</v>
      </c>
      <c r="U144" s="33">
        <f t="shared" si="78"/>
        <v>0</v>
      </c>
      <c r="V144" s="33">
        <f t="shared" si="71"/>
        <v>0</v>
      </c>
      <c r="W144" s="33">
        <v>0</v>
      </c>
      <c r="X144" s="33">
        <f t="shared" si="72"/>
        <v>0</v>
      </c>
      <c r="Y144" s="38">
        <f t="shared" si="73"/>
        <v>0</v>
      </c>
      <c r="AA144" s="71">
        <v>139</v>
      </c>
      <c r="AB144" s="33">
        <f t="shared" si="74"/>
        <v>0</v>
      </c>
      <c r="AC144" s="308">
        <f t="shared" si="66"/>
        <v>0</v>
      </c>
      <c r="AD144" s="101">
        <f t="shared" si="75"/>
        <v>0</v>
      </c>
      <c r="AE144" s="101">
        <f t="shared" si="76"/>
        <v>0</v>
      </c>
      <c r="AF144" s="197">
        <f t="shared" si="62"/>
        <v>0</v>
      </c>
      <c r="AG144" s="197">
        <f t="shared" si="63"/>
        <v>0</v>
      </c>
      <c r="AH144" s="197">
        <f t="shared" si="64"/>
        <v>0</v>
      </c>
      <c r="AI144" s="202">
        <f t="shared" si="65"/>
        <v>0</v>
      </c>
      <c r="AK144" s="71">
        <v>139</v>
      </c>
      <c r="AL144" s="33"/>
      <c r="AM144" s="33"/>
      <c r="AN144" s="33"/>
      <c r="AO144" s="33"/>
      <c r="AP144" s="33"/>
      <c r="AQ144" s="197"/>
      <c r="AR144" s="197"/>
      <c r="AS144" s="197"/>
      <c r="AT144" s="197"/>
      <c r="AU144" s="33"/>
      <c r="AV144" s="33"/>
      <c r="AW144" s="33"/>
      <c r="AX144" s="33"/>
      <c r="AY144" s="76"/>
    </row>
    <row r="145" spans="3:51">
      <c r="C145" s="169" t="s">
        <v>20</v>
      </c>
      <c r="D145" s="4">
        <v>0.57999999999999996</v>
      </c>
      <c r="E145" s="191" t="s">
        <v>228</v>
      </c>
      <c r="I145" s="55">
        <v>140</v>
      </c>
      <c r="J145" s="33">
        <f t="shared" si="79"/>
        <v>0</v>
      </c>
      <c r="K145" s="33">
        <f t="shared" si="80"/>
        <v>0</v>
      </c>
      <c r="L145" s="33">
        <f t="shared" si="81"/>
        <v>0</v>
      </c>
      <c r="M145" s="33">
        <f t="shared" si="82"/>
        <v>0</v>
      </c>
      <c r="N145" s="33">
        <f t="shared" si="68"/>
        <v>0</v>
      </c>
      <c r="O145" s="34">
        <f t="shared" si="69"/>
        <v>0</v>
      </c>
      <c r="P145" s="55">
        <v>140</v>
      </c>
      <c r="Q145" s="33">
        <f t="shared" si="77"/>
        <v>0</v>
      </c>
      <c r="R145" s="33">
        <f t="shared" si="83"/>
        <v>0</v>
      </c>
      <c r="S145" s="33">
        <f t="shared" si="84"/>
        <v>0</v>
      </c>
      <c r="T145" s="33">
        <f t="shared" si="70"/>
        <v>0</v>
      </c>
      <c r="U145" s="33">
        <f t="shared" si="78"/>
        <v>0</v>
      </c>
      <c r="V145" s="33">
        <f t="shared" si="71"/>
        <v>0</v>
      </c>
      <c r="W145" s="33">
        <v>0</v>
      </c>
      <c r="X145" s="33">
        <f t="shared" si="72"/>
        <v>0</v>
      </c>
      <c r="Y145" s="38">
        <f t="shared" si="73"/>
        <v>0</v>
      </c>
      <c r="AA145" s="71">
        <v>140</v>
      </c>
      <c r="AB145" s="33">
        <f t="shared" si="74"/>
        <v>0</v>
      </c>
      <c r="AC145" s="308">
        <f t="shared" si="66"/>
        <v>0</v>
      </c>
      <c r="AD145" s="101">
        <f t="shared" si="75"/>
        <v>0</v>
      </c>
      <c r="AE145" s="101">
        <f t="shared" si="76"/>
        <v>0</v>
      </c>
      <c r="AF145" s="197">
        <f t="shared" si="62"/>
        <v>0</v>
      </c>
      <c r="AG145" s="197">
        <f t="shared" si="63"/>
        <v>0</v>
      </c>
      <c r="AH145" s="197">
        <f t="shared" si="64"/>
        <v>0</v>
      </c>
      <c r="AI145" s="202">
        <f t="shared" si="65"/>
        <v>0</v>
      </c>
      <c r="AK145" s="71">
        <v>140</v>
      </c>
      <c r="AL145" s="33"/>
      <c r="AM145" s="33"/>
      <c r="AN145" s="33"/>
      <c r="AO145" s="33"/>
      <c r="AP145" s="33"/>
      <c r="AQ145" s="197"/>
      <c r="AR145" s="197"/>
      <c r="AS145" s="197"/>
      <c r="AT145" s="197"/>
      <c r="AU145" s="33"/>
      <c r="AV145" s="33"/>
      <c r="AW145" s="33"/>
      <c r="AX145" s="33"/>
      <c r="AY145" s="76"/>
    </row>
    <row r="146" spans="3:51">
      <c r="C146" s="169" t="s">
        <v>21</v>
      </c>
      <c r="D146" s="4">
        <v>0.64</v>
      </c>
      <c r="E146" s="191" t="s">
        <v>228</v>
      </c>
      <c r="I146" s="55">
        <v>141</v>
      </c>
      <c r="J146" s="33">
        <f t="shared" si="79"/>
        <v>0</v>
      </c>
      <c r="K146" s="33">
        <f t="shared" si="80"/>
        <v>0</v>
      </c>
      <c r="L146" s="33">
        <f t="shared" si="81"/>
        <v>0</v>
      </c>
      <c r="M146" s="33">
        <f t="shared" si="82"/>
        <v>0</v>
      </c>
      <c r="N146" s="33">
        <f t="shared" si="68"/>
        <v>0</v>
      </c>
      <c r="O146" s="34">
        <f t="shared" si="69"/>
        <v>0</v>
      </c>
      <c r="P146" s="55">
        <v>141</v>
      </c>
      <c r="Q146" s="33">
        <f t="shared" si="77"/>
        <v>0</v>
      </c>
      <c r="R146" s="33">
        <f t="shared" si="83"/>
        <v>0</v>
      </c>
      <c r="S146" s="33">
        <f t="shared" si="84"/>
        <v>0</v>
      </c>
      <c r="T146" s="33">
        <f t="shared" si="70"/>
        <v>0</v>
      </c>
      <c r="U146" s="33">
        <f t="shared" si="78"/>
        <v>0</v>
      </c>
      <c r="V146" s="33">
        <f t="shared" si="71"/>
        <v>0</v>
      </c>
      <c r="W146" s="33">
        <v>0</v>
      </c>
      <c r="X146" s="33">
        <f t="shared" si="72"/>
        <v>0</v>
      </c>
      <c r="Y146" s="38">
        <f t="shared" si="73"/>
        <v>0</v>
      </c>
      <c r="AA146" s="71">
        <v>141</v>
      </c>
      <c r="AB146" s="33">
        <f t="shared" si="74"/>
        <v>0</v>
      </c>
      <c r="AC146" s="308">
        <f t="shared" si="66"/>
        <v>0</v>
      </c>
      <c r="AD146" s="101">
        <f t="shared" si="75"/>
        <v>0</v>
      </c>
      <c r="AE146" s="101">
        <f t="shared" si="76"/>
        <v>0</v>
      </c>
      <c r="AF146" s="197">
        <f t="shared" si="62"/>
        <v>0</v>
      </c>
      <c r="AG146" s="197">
        <f t="shared" si="63"/>
        <v>0</v>
      </c>
      <c r="AH146" s="197">
        <f t="shared" si="64"/>
        <v>0</v>
      </c>
      <c r="AI146" s="202">
        <f t="shared" si="65"/>
        <v>0</v>
      </c>
      <c r="AK146" s="71">
        <v>141</v>
      </c>
      <c r="AL146" s="33"/>
      <c r="AM146" s="33"/>
      <c r="AN146" s="33"/>
      <c r="AO146" s="33"/>
      <c r="AP146" s="33"/>
      <c r="AQ146" s="197"/>
      <c r="AR146" s="197"/>
      <c r="AS146" s="197"/>
      <c r="AT146" s="197"/>
      <c r="AU146" s="33"/>
      <c r="AV146" s="33"/>
      <c r="AW146" s="33"/>
      <c r="AX146" s="33"/>
      <c r="AY146" s="76"/>
    </row>
    <row r="147" spans="3:51">
      <c r="C147" s="169" t="s">
        <v>22</v>
      </c>
      <c r="D147" s="4">
        <v>0.73</v>
      </c>
      <c r="E147" s="191" t="s">
        <v>228</v>
      </c>
      <c r="I147" s="55">
        <v>142</v>
      </c>
      <c r="J147" s="33">
        <f t="shared" si="79"/>
        <v>0</v>
      </c>
      <c r="K147" s="33">
        <f t="shared" si="80"/>
        <v>0</v>
      </c>
      <c r="L147" s="33">
        <f t="shared" si="81"/>
        <v>0</v>
      </c>
      <c r="M147" s="33">
        <f t="shared" si="82"/>
        <v>0</v>
      </c>
      <c r="N147" s="33">
        <f t="shared" si="68"/>
        <v>0</v>
      </c>
      <c r="O147" s="34">
        <f t="shared" si="69"/>
        <v>0</v>
      </c>
      <c r="P147" s="55">
        <v>142</v>
      </c>
      <c r="Q147" s="33">
        <f t="shared" si="77"/>
        <v>0</v>
      </c>
      <c r="R147" s="33">
        <f t="shared" si="83"/>
        <v>0</v>
      </c>
      <c r="S147" s="33">
        <f t="shared" si="84"/>
        <v>0</v>
      </c>
      <c r="T147" s="33">
        <f t="shared" si="70"/>
        <v>0</v>
      </c>
      <c r="U147" s="33">
        <f t="shared" si="78"/>
        <v>0</v>
      </c>
      <c r="V147" s="33">
        <f t="shared" si="71"/>
        <v>0</v>
      </c>
      <c r="W147" s="33">
        <v>0</v>
      </c>
      <c r="X147" s="33">
        <f t="shared" si="72"/>
        <v>0</v>
      </c>
      <c r="Y147" s="38">
        <f t="shared" si="73"/>
        <v>0</v>
      </c>
      <c r="AA147" s="71">
        <v>142</v>
      </c>
      <c r="AB147" s="33">
        <f t="shared" si="74"/>
        <v>0</v>
      </c>
      <c r="AC147" s="308">
        <f t="shared" si="66"/>
        <v>0</v>
      </c>
      <c r="AD147" s="101">
        <f t="shared" si="75"/>
        <v>0</v>
      </c>
      <c r="AE147" s="101">
        <f t="shared" si="76"/>
        <v>0</v>
      </c>
      <c r="AF147" s="197">
        <f t="shared" si="62"/>
        <v>0</v>
      </c>
      <c r="AG147" s="197">
        <f t="shared" si="63"/>
        <v>0</v>
      </c>
      <c r="AH147" s="197">
        <f t="shared" si="64"/>
        <v>0</v>
      </c>
      <c r="AI147" s="202">
        <f t="shared" si="65"/>
        <v>0</v>
      </c>
      <c r="AK147" s="71">
        <v>142</v>
      </c>
      <c r="AL147" s="33"/>
      <c r="AM147" s="33"/>
      <c r="AN147" s="33"/>
      <c r="AO147" s="33"/>
      <c r="AP147" s="33"/>
      <c r="AQ147" s="197"/>
      <c r="AR147" s="197"/>
      <c r="AS147" s="197"/>
      <c r="AT147" s="197"/>
      <c r="AU147" s="33"/>
      <c r="AV147" s="33"/>
      <c r="AW147" s="33"/>
      <c r="AX147" s="33"/>
      <c r="AY147" s="76"/>
    </row>
    <row r="148" spans="3:51">
      <c r="C148" s="169" t="s">
        <v>23</v>
      </c>
      <c r="D148" s="4">
        <v>0.56000000000000005</v>
      </c>
      <c r="E148" s="191" t="s">
        <v>228</v>
      </c>
      <c r="I148" s="55">
        <v>143</v>
      </c>
      <c r="J148" s="33">
        <f t="shared" si="79"/>
        <v>0</v>
      </c>
      <c r="K148" s="33">
        <f t="shared" si="80"/>
        <v>0</v>
      </c>
      <c r="L148" s="33">
        <f t="shared" si="81"/>
        <v>0</v>
      </c>
      <c r="M148" s="33">
        <f t="shared" si="82"/>
        <v>0</v>
      </c>
      <c r="N148" s="33">
        <f t="shared" si="68"/>
        <v>0</v>
      </c>
      <c r="O148" s="34">
        <f t="shared" si="69"/>
        <v>0</v>
      </c>
      <c r="P148" s="55">
        <v>143</v>
      </c>
      <c r="Q148" s="33">
        <f t="shared" si="77"/>
        <v>0</v>
      </c>
      <c r="R148" s="33">
        <f t="shared" si="83"/>
        <v>0</v>
      </c>
      <c r="S148" s="33">
        <f t="shared" si="84"/>
        <v>0</v>
      </c>
      <c r="T148" s="33">
        <f t="shared" si="70"/>
        <v>0</v>
      </c>
      <c r="U148" s="33">
        <f t="shared" si="78"/>
        <v>0</v>
      </c>
      <c r="V148" s="33">
        <f t="shared" si="71"/>
        <v>0</v>
      </c>
      <c r="W148" s="33">
        <v>0</v>
      </c>
      <c r="X148" s="33">
        <f t="shared" si="72"/>
        <v>0</v>
      </c>
      <c r="Y148" s="38">
        <f t="shared" si="73"/>
        <v>0</v>
      </c>
      <c r="AA148" s="71">
        <v>143</v>
      </c>
      <c r="AB148" s="33">
        <f t="shared" si="74"/>
        <v>0</v>
      </c>
      <c r="AC148" s="308">
        <f t="shared" si="66"/>
        <v>0</v>
      </c>
      <c r="AD148" s="101">
        <f t="shared" si="75"/>
        <v>0</v>
      </c>
      <c r="AE148" s="101">
        <f t="shared" si="76"/>
        <v>0</v>
      </c>
      <c r="AF148" s="197">
        <f t="shared" si="62"/>
        <v>0</v>
      </c>
      <c r="AG148" s="197">
        <f t="shared" si="63"/>
        <v>0</v>
      </c>
      <c r="AH148" s="197">
        <f t="shared" si="64"/>
        <v>0</v>
      </c>
      <c r="AI148" s="202">
        <f t="shared" si="65"/>
        <v>0</v>
      </c>
      <c r="AK148" s="71">
        <v>143</v>
      </c>
      <c r="AL148" s="33"/>
      <c r="AM148" s="33"/>
      <c r="AN148" s="33"/>
      <c r="AO148" s="33"/>
      <c r="AP148" s="33"/>
      <c r="AQ148" s="197"/>
      <c r="AR148" s="197"/>
      <c r="AS148" s="197"/>
      <c r="AT148" s="197"/>
      <c r="AU148" s="33"/>
      <c r="AV148" s="33"/>
      <c r="AW148" s="33"/>
      <c r="AX148" s="33"/>
      <c r="AY148" s="76"/>
    </row>
    <row r="149" spans="3:51">
      <c r="C149" s="169" t="s">
        <v>24</v>
      </c>
      <c r="D149" s="4">
        <v>0.74</v>
      </c>
      <c r="E149" s="191" t="s">
        <v>228</v>
      </c>
      <c r="I149" s="55">
        <v>144</v>
      </c>
      <c r="J149" s="33">
        <f t="shared" si="79"/>
        <v>0</v>
      </c>
      <c r="K149" s="33">
        <f t="shared" si="80"/>
        <v>0</v>
      </c>
      <c r="L149" s="33">
        <f t="shared" si="81"/>
        <v>0</v>
      </c>
      <c r="M149" s="33">
        <f t="shared" si="82"/>
        <v>0</v>
      </c>
      <c r="N149" s="33">
        <f t="shared" si="68"/>
        <v>0</v>
      </c>
      <c r="O149" s="34">
        <f t="shared" si="69"/>
        <v>0</v>
      </c>
      <c r="P149" s="55">
        <v>144</v>
      </c>
      <c r="Q149" s="33">
        <f t="shared" si="77"/>
        <v>0</v>
      </c>
      <c r="R149" s="33">
        <f t="shared" si="83"/>
        <v>0</v>
      </c>
      <c r="S149" s="33">
        <f t="shared" si="84"/>
        <v>0</v>
      </c>
      <c r="T149" s="33">
        <f t="shared" si="70"/>
        <v>0</v>
      </c>
      <c r="U149" s="33">
        <f t="shared" si="78"/>
        <v>0</v>
      </c>
      <c r="V149" s="33">
        <f t="shared" si="71"/>
        <v>0</v>
      </c>
      <c r="W149" s="33">
        <v>0</v>
      </c>
      <c r="X149" s="33">
        <f t="shared" si="72"/>
        <v>0</v>
      </c>
      <c r="Y149" s="38">
        <f t="shared" si="73"/>
        <v>0</v>
      </c>
      <c r="AA149" s="71">
        <v>144</v>
      </c>
      <c r="AB149" s="33">
        <f t="shared" si="74"/>
        <v>0</v>
      </c>
      <c r="AC149" s="308">
        <f t="shared" si="66"/>
        <v>0</v>
      </c>
      <c r="AD149" s="101">
        <f t="shared" si="75"/>
        <v>0</v>
      </c>
      <c r="AE149" s="101">
        <f t="shared" si="76"/>
        <v>0</v>
      </c>
      <c r="AF149" s="197">
        <f t="shared" si="62"/>
        <v>0</v>
      </c>
      <c r="AG149" s="197">
        <f t="shared" si="63"/>
        <v>0</v>
      </c>
      <c r="AH149" s="197">
        <f t="shared" si="64"/>
        <v>0</v>
      </c>
      <c r="AI149" s="202">
        <f t="shared" si="65"/>
        <v>0</v>
      </c>
      <c r="AK149" s="71">
        <v>144</v>
      </c>
      <c r="AL149" s="33"/>
      <c r="AM149" s="33"/>
      <c r="AN149" s="33"/>
      <c r="AO149" s="33"/>
      <c r="AP149" s="33"/>
      <c r="AQ149" s="197"/>
      <c r="AR149" s="197"/>
      <c r="AS149" s="197"/>
      <c r="AT149" s="197"/>
      <c r="AU149" s="33"/>
      <c r="AV149" s="33"/>
      <c r="AW149" s="33"/>
      <c r="AX149" s="33"/>
      <c r="AY149" s="76"/>
    </row>
    <row r="150" spans="3:51">
      <c r="C150" s="169" t="s">
        <v>25</v>
      </c>
      <c r="D150" s="4">
        <v>0.4</v>
      </c>
      <c r="E150" s="191" t="s">
        <v>229</v>
      </c>
      <c r="I150" s="55">
        <v>145</v>
      </c>
      <c r="J150" s="33">
        <f t="shared" si="79"/>
        <v>0</v>
      </c>
      <c r="K150" s="33">
        <f t="shared" si="80"/>
        <v>0</v>
      </c>
      <c r="L150" s="33">
        <f t="shared" si="81"/>
        <v>0</v>
      </c>
      <c r="M150" s="33">
        <f t="shared" si="82"/>
        <v>0</v>
      </c>
      <c r="N150" s="33">
        <f t="shared" si="68"/>
        <v>0</v>
      </c>
      <c r="O150" s="34">
        <f t="shared" si="69"/>
        <v>0</v>
      </c>
      <c r="P150" s="55">
        <v>145</v>
      </c>
      <c r="Q150" s="33">
        <f t="shared" si="77"/>
        <v>0</v>
      </c>
      <c r="R150" s="33">
        <f t="shared" si="83"/>
        <v>0</v>
      </c>
      <c r="S150" s="33">
        <f t="shared" si="84"/>
        <v>0</v>
      </c>
      <c r="T150" s="33">
        <f t="shared" si="70"/>
        <v>0</v>
      </c>
      <c r="U150" s="33">
        <f t="shared" si="78"/>
        <v>0</v>
      </c>
      <c r="V150" s="33">
        <f t="shared" si="71"/>
        <v>0</v>
      </c>
      <c r="W150" s="33">
        <v>0</v>
      </c>
      <c r="X150" s="33">
        <f t="shared" si="72"/>
        <v>0</v>
      </c>
      <c r="Y150" s="38">
        <f t="shared" si="73"/>
        <v>0</v>
      </c>
      <c r="AA150" s="71">
        <v>145</v>
      </c>
      <c r="AB150" s="33">
        <f t="shared" si="74"/>
        <v>0</v>
      </c>
      <c r="AC150" s="308">
        <f t="shared" si="66"/>
        <v>0</v>
      </c>
      <c r="AD150" s="101">
        <f t="shared" si="75"/>
        <v>0</v>
      </c>
      <c r="AE150" s="101">
        <f t="shared" si="76"/>
        <v>0</v>
      </c>
      <c r="AF150" s="197">
        <f t="shared" si="62"/>
        <v>0</v>
      </c>
      <c r="AG150" s="197">
        <f t="shared" si="63"/>
        <v>0</v>
      </c>
      <c r="AH150" s="197">
        <f t="shared" si="64"/>
        <v>0</v>
      </c>
      <c r="AI150" s="202">
        <f t="shared" si="65"/>
        <v>0</v>
      </c>
      <c r="AK150" s="71">
        <v>145</v>
      </c>
      <c r="AL150" s="33"/>
      <c r="AM150" s="33"/>
      <c r="AN150" s="33"/>
      <c r="AO150" s="33"/>
      <c r="AP150" s="33"/>
      <c r="AQ150" s="197"/>
      <c r="AR150" s="197"/>
      <c r="AS150" s="197"/>
      <c r="AT150" s="197"/>
      <c r="AU150" s="33"/>
      <c r="AV150" s="33"/>
      <c r="AW150" s="33"/>
      <c r="AX150" s="33"/>
      <c r="AY150" s="76"/>
    </row>
    <row r="151" spans="3:51">
      <c r="C151" s="169" t="s">
        <v>26</v>
      </c>
      <c r="D151" s="4">
        <v>0.6</v>
      </c>
      <c r="E151" s="191" t="s">
        <v>228</v>
      </c>
      <c r="I151" s="55">
        <v>146</v>
      </c>
      <c r="J151" s="33">
        <f t="shared" si="79"/>
        <v>0</v>
      </c>
      <c r="K151" s="33">
        <f t="shared" si="80"/>
        <v>0</v>
      </c>
      <c r="L151" s="33">
        <f t="shared" si="81"/>
        <v>0</v>
      </c>
      <c r="M151" s="33">
        <f t="shared" si="82"/>
        <v>0</v>
      </c>
      <c r="N151" s="33">
        <f t="shared" si="68"/>
        <v>0</v>
      </c>
      <c r="O151" s="34">
        <f t="shared" si="69"/>
        <v>0</v>
      </c>
      <c r="P151" s="55">
        <v>146</v>
      </c>
      <c r="Q151" s="33">
        <f t="shared" si="77"/>
        <v>0</v>
      </c>
      <c r="R151" s="33">
        <f t="shared" si="83"/>
        <v>0</v>
      </c>
      <c r="S151" s="33">
        <f t="shared" si="84"/>
        <v>0</v>
      </c>
      <c r="T151" s="33">
        <f t="shared" si="70"/>
        <v>0</v>
      </c>
      <c r="U151" s="33">
        <f t="shared" si="78"/>
        <v>0</v>
      </c>
      <c r="V151" s="33">
        <f t="shared" si="71"/>
        <v>0</v>
      </c>
      <c r="W151" s="33">
        <v>0</v>
      </c>
      <c r="X151" s="33">
        <f t="shared" si="72"/>
        <v>0</v>
      </c>
      <c r="Y151" s="38">
        <f t="shared" si="73"/>
        <v>0</v>
      </c>
      <c r="AA151" s="71">
        <v>146</v>
      </c>
      <c r="AB151" s="33">
        <f t="shared" si="74"/>
        <v>0</v>
      </c>
      <c r="AC151" s="308">
        <f t="shared" si="66"/>
        <v>0</v>
      </c>
      <c r="AD151" s="101">
        <f t="shared" si="75"/>
        <v>0</v>
      </c>
      <c r="AE151" s="101">
        <f t="shared" si="76"/>
        <v>0</v>
      </c>
      <c r="AF151" s="197">
        <f t="shared" si="62"/>
        <v>0</v>
      </c>
      <c r="AG151" s="197">
        <f t="shared" si="63"/>
        <v>0</v>
      </c>
      <c r="AH151" s="197">
        <f t="shared" si="64"/>
        <v>0</v>
      </c>
      <c r="AI151" s="202">
        <f t="shared" si="65"/>
        <v>0</v>
      </c>
      <c r="AK151" s="71">
        <v>146</v>
      </c>
      <c r="AL151" s="33"/>
      <c r="AM151" s="33"/>
      <c r="AN151" s="33"/>
      <c r="AO151" s="33"/>
      <c r="AP151" s="33"/>
      <c r="AQ151" s="197"/>
      <c r="AR151" s="197"/>
      <c r="AS151" s="197"/>
      <c r="AT151" s="197"/>
      <c r="AU151" s="33"/>
      <c r="AV151" s="33"/>
      <c r="AW151" s="33"/>
      <c r="AX151" s="33"/>
      <c r="AY151" s="76"/>
    </row>
    <row r="152" spans="3:51">
      <c r="C152" s="169" t="s">
        <v>27</v>
      </c>
      <c r="D152" s="4">
        <v>0.43</v>
      </c>
      <c r="E152" s="191" t="s">
        <v>229</v>
      </c>
      <c r="I152" s="55">
        <v>147</v>
      </c>
      <c r="J152" s="33">
        <f t="shared" si="79"/>
        <v>0</v>
      </c>
      <c r="K152" s="33">
        <f t="shared" si="80"/>
        <v>0</v>
      </c>
      <c r="L152" s="33">
        <f t="shared" si="81"/>
        <v>0</v>
      </c>
      <c r="M152" s="33">
        <f t="shared" si="82"/>
        <v>0</v>
      </c>
      <c r="N152" s="33">
        <f t="shared" si="68"/>
        <v>0</v>
      </c>
      <c r="O152" s="34">
        <f t="shared" si="69"/>
        <v>0</v>
      </c>
      <c r="P152" s="55">
        <v>147</v>
      </c>
      <c r="Q152" s="33">
        <f t="shared" si="77"/>
        <v>0</v>
      </c>
      <c r="R152" s="33">
        <f t="shared" si="83"/>
        <v>0</v>
      </c>
      <c r="S152" s="33">
        <f t="shared" si="84"/>
        <v>0</v>
      </c>
      <c r="T152" s="33">
        <f t="shared" si="70"/>
        <v>0</v>
      </c>
      <c r="U152" s="33">
        <f t="shared" si="78"/>
        <v>0</v>
      </c>
      <c r="V152" s="33">
        <f t="shared" si="71"/>
        <v>0</v>
      </c>
      <c r="W152" s="33">
        <v>0</v>
      </c>
      <c r="X152" s="33">
        <f t="shared" si="72"/>
        <v>0</v>
      </c>
      <c r="Y152" s="38">
        <f t="shared" si="73"/>
        <v>0</v>
      </c>
      <c r="AA152" s="71">
        <v>147</v>
      </c>
      <c r="AB152" s="33">
        <f t="shared" si="74"/>
        <v>0</v>
      </c>
      <c r="AC152" s="308">
        <f t="shared" si="66"/>
        <v>0</v>
      </c>
      <c r="AD152" s="101">
        <f t="shared" si="75"/>
        <v>0</v>
      </c>
      <c r="AE152" s="101">
        <f t="shared" si="76"/>
        <v>0</v>
      </c>
      <c r="AF152" s="197">
        <f t="shared" si="62"/>
        <v>0</v>
      </c>
      <c r="AG152" s="197">
        <f t="shared" si="63"/>
        <v>0</v>
      </c>
      <c r="AH152" s="197">
        <f t="shared" si="64"/>
        <v>0</v>
      </c>
      <c r="AI152" s="202">
        <f t="shared" si="65"/>
        <v>0</v>
      </c>
      <c r="AK152" s="71">
        <v>147</v>
      </c>
      <c r="AL152" s="33"/>
      <c r="AM152" s="33"/>
      <c r="AN152" s="33"/>
      <c r="AO152" s="33"/>
      <c r="AP152" s="33"/>
      <c r="AQ152" s="197"/>
      <c r="AR152" s="197"/>
      <c r="AS152" s="197"/>
      <c r="AT152" s="197"/>
      <c r="AU152" s="33"/>
      <c r="AV152" s="33"/>
      <c r="AW152" s="33"/>
      <c r="AX152" s="33"/>
      <c r="AY152" s="76"/>
    </row>
    <row r="153" spans="3:51">
      <c r="C153" s="169" t="s">
        <v>28</v>
      </c>
      <c r="D153" s="4">
        <v>0.37</v>
      </c>
      <c r="E153" s="191" t="s">
        <v>229</v>
      </c>
      <c r="I153" s="55">
        <v>148</v>
      </c>
      <c r="J153" s="33">
        <f t="shared" si="79"/>
        <v>0</v>
      </c>
      <c r="K153" s="33">
        <f t="shared" si="80"/>
        <v>0</v>
      </c>
      <c r="L153" s="33">
        <f t="shared" si="81"/>
        <v>0</v>
      </c>
      <c r="M153" s="33">
        <f t="shared" si="82"/>
        <v>0</v>
      </c>
      <c r="N153" s="33">
        <f t="shared" si="68"/>
        <v>0</v>
      </c>
      <c r="O153" s="34">
        <f t="shared" si="69"/>
        <v>0</v>
      </c>
      <c r="P153" s="55">
        <v>148</v>
      </c>
      <c r="Q153" s="33">
        <f t="shared" si="77"/>
        <v>0</v>
      </c>
      <c r="R153" s="33">
        <f t="shared" si="83"/>
        <v>0</v>
      </c>
      <c r="S153" s="33">
        <f t="shared" si="84"/>
        <v>0</v>
      </c>
      <c r="T153" s="33">
        <f t="shared" si="70"/>
        <v>0</v>
      </c>
      <c r="U153" s="33">
        <f t="shared" si="78"/>
        <v>0</v>
      </c>
      <c r="V153" s="33">
        <f t="shared" si="71"/>
        <v>0</v>
      </c>
      <c r="W153" s="33">
        <v>0</v>
      </c>
      <c r="X153" s="33">
        <f t="shared" si="72"/>
        <v>0</v>
      </c>
      <c r="Y153" s="38">
        <f t="shared" si="73"/>
        <v>0</v>
      </c>
      <c r="AA153" s="71">
        <v>148</v>
      </c>
      <c r="AB153" s="33">
        <f t="shared" si="74"/>
        <v>0</v>
      </c>
      <c r="AC153" s="308">
        <f t="shared" si="66"/>
        <v>0</v>
      </c>
      <c r="AD153" s="101">
        <f t="shared" si="75"/>
        <v>0</v>
      </c>
      <c r="AE153" s="101">
        <f t="shared" si="76"/>
        <v>0</v>
      </c>
      <c r="AF153" s="197">
        <f t="shared" si="62"/>
        <v>0</v>
      </c>
      <c r="AG153" s="197">
        <f t="shared" si="63"/>
        <v>0</v>
      </c>
      <c r="AH153" s="197">
        <f t="shared" si="64"/>
        <v>0</v>
      </c>
      <c r="AI153" s="202">
        <f t="shared" si="65"/>
        <v>0</v>
      </c>
      <c r="AK153" s="71">
        <v>148</v>
      </c>
      <c r="AL153" s="33"/>
      <c r="AM153" s="33"/>
      <c r="AN153" s="33"/>
      <c r="AO153" s="33"/>
      <c r="AP153" s="33"/>
      <c r="AQ153" s="197"/>
      <c r="AR153" s="197"/>
      <c r="AS153" s="197"/>
      <c r="AT153" s="197"/>
      <c r="AU153" s="33"/>
      <c r="AV153" s="33"/>
      <c r="AW153" s="33"/>
      <c r="AX153" s="33"/>
      <c r="AY153" s="76"/>
    </row>
    <row r="154" spans="3:51">
      <c r="C154" s="169" t="s">
        <v>29</v>
      </c>
      <c r="D154" s="4">
        <v>0.36</v>
      </c>
      <c r="E154" s="191" t="s">
        <v>229</v>
      </c>
      <c r="I154" s="55">
        <v>149</v>
      </c>
      <c r="J154" s="33">
        <f t="shared" si="79"/>
        <v>0</v>
      </c>
      <c r="K154" s="33">
        <f t="shared" si="80"/>
        <v>0</v>
      </c>
      <c r="L154" s="33">
        <f t="shared" si="81"/>
        <v>0</v>
      </c>
      <c r="M154" s="33">
        <f t="shared" si="82"/>
        <v>0</v>
      </c>
      <c r="N154" s="33">
        <f t="shared" si="68"/>
        <v>0</v>
      </c>
      <c r="O154" s="34">
        <f t="shared" si="69"/>
        <v>0</v>
      </c>
      <c r="P154" s="55">
        <v>149</v>
      </c>
      <c r="Q154" s="33">
        <f t="shared" si="77"/>
        <v>0</v>
      </c>
      <c r="R154" s="33">
        <f t="shared" si="83"/>
        <v>0</v>
      </c>
      <c r="S154" s="33">
        <f t="shared" si="84"/>
        <v>0</v>
      </c>
      <c r="T154" s="33">
        <f t="shared" si="70"/>
        <v>0</v>
      </c>
      <c r="U154" s="33">
        <f t="shared" si="78"/>
        <v>0</v>
      </c>
      <c r="V154" s="33">
        <f t="shared" si="71"/>
        <v>0</v>
      </c>
      <c r="W154" s="33">
        <v>0</v>
      </c>
      <c r="X154" s="33">
        <f t="shared" si="72"/>
        <v>0</v>
      </c>
      <c r="Y154" s="38">
        <f t="shared" si="73"/>
        <v>0</v>
      </c>
      <c r="AA154" s="71">
        <v>149</v>
      </c>
      <c r="AB154" s="33">
        <f t="shared" si="74"/>
        <v>0</v>
      </c>
      <c r="AC154" s="308">
        <f t="shared" si="66"/>
        <v>0</v>
      </c>
      <c r="AD154" s="101">
        <f t="shared" si="75"/>
        <v>0</v>
      </c>
      <c r="AE154" s="101">
        <f t="shared" si="76"/>
        <v>0</v>
      </c>
      <c r="AF154" s="197">
        <f t="shared" si="62"/>
        <v>0</v>
      </c>
      <c r="AG154" s="197">
        <f t="shared" si="63"/>
        <v>0</v>
      </c>
      <c r="AH154" s="197">
        <f t="shared" si="64"/>
        <v>0</v>
      </c>
      <c r="AI154" s="202">
        <f t="shared" si="65"/>
        <v>0</v>
      </c>
      <c r="AK154" s="71">
        <v>149</v>
      </c>
      <c r="AL154" s="33"/>
      <c r="AM154" s="33"/>
      <c r="AN154" s="33"/>
      <c r="AO154" s="33"/>
      <c r="AP154" s="33"/>
      <c r="AQ154" s="197"/>
      <c r="AR154" s="197"/>
      <c r="AS154" s="197"/>
      <c r="AT154" s="197"/>
      <c r="AU154" s="33"/>
      <c r="AV154" s="33"/>
      <c r="AW154" s="33"/>
      <c r="AX154" s="33"/>
      <c r="AY154" s="76"/>
    </row>
    <row r="155" spans="3:51">
      <c r="C155" s="169" t="s">
        <v>30</v>
      </c>
      <c r="D155" s="4">
        <v>0.51</v>
      </c>
      <c r="E155" s="191" t="s">
        <v>228</v>
      </c>
      <c r="I155" s="55">
        <v>150</v>
      </c>
      <c r="J155" s="33">
        <f t="shared" si="79"/>
        <v>0</v>
      </c>
      <c r="K155" s="33">
        <f t="shared" si="80"/>
        <v>0</v>
      </c>
      <c r="L155" s="33">
        <f t="shared" si="81"/>
        <v>0</v>
      </c>
      <c r="M155" s="33">
        <f t="shared" si="82"/>
        <v>0</v>
      </c>
      <c r="N155" s="33">
        <f t="shared" si="68"/>
        <v>0</v>
      </c>
      <c r="O155" s="34">
        <f t="shared" si="69"/>
        <v>0</v>
      </c>
      <c r="P155" s="55">
        <v>150</v>
      </c>
      <c r="Q155" s="33">
        <f t="shared" si="77"/>
        <v>0</v>
      </c>
      <c r="R155" s="33">
        <f t="shared" si="83"/>
        <v>0</v>
      </c>
      <c r="S155" s="33">
        <f t="shared" si="84"/>
        <v>0</v>
      </c>
      <c r="T155" s="33">
        <f t="shared" si="70"/>
        <v>0</v>
      </c>
      <c r="U155" s="33">
        <f t="shared" si="78"/>
        <v>0</v>
      </c>
      <c r="V155" s="33">
        <f t="shared" si="71"/>
        <v>0</v>
      </c>
      <c r="W155" s="33">
        <v>0</v>
      </c>
      <c r="X155" s="33">
        <f t="shared" si="72"/>
        <v>0</v>
      </c>
      <c r="Y155" s="38">
        <f t="shared" si="73"/>
        <v>0</v>
      </c>
      <c r="AA155" s="71">
        <v>150</v>
      </c>
      <c r="AB155" s="33">
        <f t="shared" si="74"/>
        <v>0</v>
      </c>
      <c r="AC155" s="308">
        <f t="shared" si="66"/>
        <v>0</v>
      </c>
      <c r="AD155" s="101">
        <f t="shared" si="75"/>
        <v>0</v>
      </c>
      <c r="AE155" s="101">
        <f t="shared" si="76"/>
        <v>0</v>
      </c>
      <c r="AF155" s="197">
        <f t="shared" ref="AF155:AF205" si="85">IF(OR(AA155&lt;=$F$18,AA155&lt;=30),EXP(-LN(2)/$D$104)*AF154+((1-EXP(-LN(2)/$D$104))/(LN(2)/$D$104))*$AB155*AC155*0.475*$F$19*44/12,)</f>
        <v>0</v>
      </c>
      <c r="AG155" s="197">
        <f t="shared" ref="AG155:AG205" si="86">IF(OR(AA155&lt;=$F$18,AA155&lt;=30),EXP(-LN(2)/$D$106)*AG154+((1-EXP(-LN(2)/$D$106))/(LN(2)/$D$106))*$AB155*AD155*0.475*$F$19*44/12,)</f>
        <v>0</v>
      </c>
      <c r="AH155" s="197">
        <f t="shared" ref="AH155:AH205" si="87">IF(OR(AA155&lt;=$F$18,AA155&lt;=30),EXP(-LN(2)/$D$105)*AH154+((1-EXP(-LN(2)/$D$105))/(LN(2)/$D$105))*$AB155*AE155*0.475*$F$19*44/12,)</f>
        <v>0</v>
      </c>
      <c r="AI155" s="202">
        <f t="shared" ref="AI155:AI205" si="88">IF(OR(AA155&lt;=$F$18,AA155&lt;=30),SUM(AF155:AH155),)</f>
        <v>0</v>
      </c>
      <c r="AK155" s="71">
        <v>150</v>
      </c>
      <c r="AL155" s="33"/>
      <c r="AM155" s="33"/>
      <c r="AN155" s="33"/>
      <c r="AO155" s="33"/>
      <c r="AP155" s="33"/>
      <c r="AQ155" s="197"/>
      <c r="AR155" s="197"/>
      <c r="AS155" s="197"/>
      <c r="AT155" s="197"/>
      <c r="AU155" s="33"/>
      <c r="AV155" s="33"/>
      <c r="AW155" s="33"/>
      <c r="AX155" s="33"/>
      <c r="AY155" s="76"/>
    </row>
    <row r="156" spans="3:51">
      <c r="C156" s="169" t="s">
        <v>31</v>
      </c>
      <c r="D156" s="4">
        <v>0.56000000000000005</v>
      </c>
      <c r="E156" s="191" t="s">
        <v>228</v>
      </c>
      <c r="I156" s="55">
        <v>151</v>
      </c>
      <c r="J156" s="33">
        <f t="shared" si="79"/>
        <v>0</v>
      </c>
      <c r="K156" s="33">
        <f t="shared" si="80"/>
        <v>0</v>
      </c>
      <c r="L156" s="33">
        <f t="shared" si="81"/>
        <v>0</v>
      </c>
      <c r="M156" s="33">
        <f t="shared" si="82"/>
        <v>0</v>
      </c>
      <c r="N156" s="33">
        <f t="shared" si="68"/>
        <v>0</v>
      </c>
      <c r="O156" s="34">
        <f t="shared" si="69"/>
        <v>0</v>
      </c>
      <c r="P156" s="55">
        <v>151</v>
      </c>
      <c r="Q156" s="33">
        <f t="shared" si="77"/>
        <v>0</v>
      </c>
      <c r="R156" s="33">
        <f t="shared" si="83"/>
        <v>0</v>
      </c>
      <c r="S156" s="33">
        <f t="shared" si="84"/>
        <v>0</v>
      </c>
      <c r="T156" s="33">
        <f t="shared" si="70"/>
        <v>0</v>
      </c>
      <c r="U156" s="33">
        <f t="shared" si="78"/>
        <v>0</v>
      </c>
      <c r="V156" s="33">
        <f t="shared" si="71"/>
        <v>0</v>
      </c>
      <c r="W156" s="33">
        <v>0</v>
      </c>
      <c r="X156" s="33">
        <f t="shared" si="72"/>
        <v>0</v>
      </c>
      <c r="Y156" s="38">
        <f t="shared" si="73"/>
        <v>0</v>
      </c>
      <c r="AA156" s="71">
        <v>151</v>
      </c>
      <c r="AB156" s="33">
        <f t="shared" si="74"/>
        <v>0</v>
      </c>
      <c r="AC156" s="308">
        <f t="shared" si="66"/>
        <v>0</v>
      </c>
      <c r="AD156" s="101">
        <f t="shared" si="75"/>
        <v>0</v>
      </c>
      <c r="AE156" s="101">
        <f t="shared" si="76"/>
        <v>0</v>
      </c>
      <c r="AF156" s="197">
        <f t="shared" si="85"/>
        <v>0</v>
      </c>
      <c r="AG156" s="197">
        <f t="shared" si="86"/>
        <v>0</v>
      </c>
      <c r="AH156" s="197">
        <f t="shared" si="87"/>
        <v>0</v>
      </c>
      <c r="AI156" s="202">
        <f t="shared" si="88"/>
        <v>0</v>
      </c>
      <c r="AK156" s="71">
        <v>151</v>
      </c>
      <c r="AL156" s="33"/>
      <c r="AM156" s="33"/>
      <c r="AN156" s="33"/>
      <c r="AO156" s="33"/>
      <c r="AP156" s="33"/>
      <c r="AQ156" s="197"/>
      <c r="AR156" s="197"/>
      <c r="AS156" s="197"/>
      <c r="AT156" s="197"/>
      <c r="AU156" s="33"/>
      <c r="AV156" s="33"/>
      <c r="AW156" s="33"/>
      <c r="AX156" s="33"/>
      <c r="AY156" s="76"/>
    </row>
    <row r="157" spans="3:51">
      <c r="C157" s="169" t="s">
        <v>32</v>
      </c>
      <c r="D157" s="4">
        <v>0.56000000000000005</v>
      </c>
      <c r="E157" s="191" t="s">
        <v>228</v>
      </c>
      <c r="I157" s="55">
        <v>152</v>
      </c>
      <c r="J157" s="33">
        <f t="shared" si="79"/>
        <v>0</v>
      </c>
      <c r="K157" s="33">
        <f t="shared" si="80"/>
        <v>0</v>
      </c>
      <c r="L157" s="33">
        <f t="shared" si="81"/>
        <v>0</v>
      </c>
      <c r="M157" s="33">
        <f t="shared" si="82"/>
        <v>0</v>
      </c>
      <c r="N157" s="33">
        <f t="shared" si="68"/>
        <v>0</v>
      </c>
      <c r="O157" s="34">
        <f t="shared" si="69"/>
        <v>0</v>
      </c>
      <c r="P157" s="55">
        <v>152</v>
      </c>
      <c r="Q157" s="33">
        <f t="shared" si="77"/>
        <v>0</v>
      </c>
      <c r="R157" s="33">
        <f t="shared" si="83"/>
        <v>0</v>
      </c>
      <c r="S157" s="33">
        <f t="shared" si="84"/>
        <v>0</v>
      </c>
      <c r="T157" s="33">
        <f t="shared" si="70"/>
        <v>0</v>
      </c>
      <c r="U157" s="33">
        <f t="shared" si="78"/>
        <v>0</v>
      </c>
      <c r="V157" s="33">
        <f t="shared" si="71"/>
        <v>0</v>
      </c>
      <c r="W157" s="33">
        <v>0</v>
      </c>
      <c r="X157" s="33">
        <f t="shared" si="72"/>
        <v>0</v>
      </c>
      <c r="Y157" s="38">
        <f t="shared" si="73"/>
        <v>0</v>
      </c>
      <c r="AA157" s="71">
        <v>152</v>
      </c>
      <c r="AB157" s="33">
        <f t="shared" si="74"/>
        <v>0</v>
      </c>
      <c r="AC157" s="308">
        <f t="shared" si="66"/>
        <v>0</v>
      </c>
      <c r="AD157" s="101">
        <f t="shared" si="75"/>
        <v>0</v>
      </c>
      <c r="AE157" s="101">
        <f t="shared" si="76"/>
        <v>0</v>
      </c>
      <c r="AF157" s="197">
        <f t="shared" si="85"/>
        <v>0</v>
      </c>
      <c r="AG157" s="197">
        <f t="shared" si="86"/>
        <v>0</v>
      </c>
      <c r="AH157" s="197">
        <f t="shared" si="87"/>
        <v>0</v>
      </c>
      <c r="AI157" s="202">
        <f t="shared" si="88"/>
        <v>0</v>
      </c>
      <c r="AK157" s="71">
        <v>152</v>
      </c>
      <c r="AL157" s="33"/>
      <c r="AM157" s="33"/>
      <c r="AN157" s="33"/>
      <c r="AO157" s="33"/>
      <c r="AP157" s="33"/>
      <c r="AQ157" s="197"/>
      <c r="AR157" s="197"/>
      <c r="AS157" s="197"/>
      <c r="AT157" s="197"/>
      <c r="AU157" s="33"/>
      <c r="AV157" s="33"/>
      <c r="AW157" s="33"/>
      <c r="AX157" s="33"/>
      <c r="AY157" s="76"/>
    </row>
    <row r="158" spans="3:51">
      <c r="C158" s="169" t="s">
        <v>33</v>
      </c>
      <c r="D158" s="4">
        <v>0.48</v>
      </c>
      <c r="E158" s="191" t="s">
        <v>228</v>
      </c>
      <c r="I158" s="55">
        <v>153</v>
      </c>
      <c r="J158" s="33">
        <f t="shared" si="79"/>
        <v>0</v>
      </c>
      <c r="K158" s="33">
        <f t="shared" si="80"/>
        <v>0</v>
      </c>
      <c r="L158" s="33">
        <f t="shared" si="81"/>
        <v>0</v>
      </c>
      <c r="M158" s="33">
        <f t="shared" si="82"/>
        <v>0</v>
      </c>
      <c r="N158" s="33">
        <f t="shared" si="68"/>
        <v>0</v>
      </c>
      <c r="O158" s="34">
        <f t="shared" si="69"/>
        <v>0</v>
      </c>
      <c r="P158" s="55">
        <v>153</v>
      </c>
      <c r="Q158" s="33">
        <f t="shared" si="77"/>
        <v>0</v>
      </c>
      <c r="R158" s="33">
        <f t="shared" si="83"/>
        <v>0</v>
      </c>
      <c r="S158" s="33">
        <f t="shared" si="84"/>
        <v>0</v>
      </c>
      <c r="T158" s="33">
        <f t="shared" si="70"/>
        <v>0</v>
      </c>
      <c r="U158" s="33">
        <f t="shared" si="78"/>
        <v>0</v>
      </c>
      <c r="V158" s="33">
        <f t="shared" si="71"/>
        <v>0</v>
      </c>
      <c r="W158" s="33">
        <v>0</v>
      </c>
      <c r="X158" s="33">
        <f t="shared" si="72"/>
        <v>0</v>
      </c>
      <c r="Y158" s="38">
        <f t="shared" si="73"/>
        <v>0</v>
      </c>
      <c r="AA158" s="71">
        <v>153</v>
      </c>
      <c r="AB158" s="33">
        <f t="shared" si="74"/>
        <v>0</v>
      </c>
      <c r="AC158" s="308">
        <f t="shared" si="66"/>
        <v>0</v>
      </c>
      <c r="AD158" s="101">
        <f t="shared" si="75"/>
        <v>0</v>
      </c>
      <c r="AE158" s="101">
        <f t="shared" si="76"/>
        <v>0</v>
      </c>
      <c r="AF158" s="197">
        <f t="shared" si="85"/>
        <v>0</v>
      </c>
      <c r="AG158" s="197">
        <f t="shared" si="86"/>
        <v>0</v>
      </c>
      <c r="AH158" s="197">
        <f t="shared" si="87"/>
        <v>0</v>
      </c>
      <c r="AI158" s="202">
        <f t="shared" si="88"/>
        <v>0</v>
      </c>
      <c r="AK158" s="71">
        <v>153</v>
      </c>
      <c r="AL158" s="33"/>
      <c r="AM158" s="33"/>
      <c r="AN158" s="33"/>
      <c r="AO158" s="33"/>
      <c r="AP158" s="33"/>
      <c r="AQ158" s="197"/>
      <c r="AR158" s="197"/>
      <c r="AS158" s="197"/>
      <c r="AT158" s="197"/>
      <c r="AU158" s="33"/>
      <c r="AV158" s="33"/>
      <c r="AW158" s="33"/>
      <c r="AX158" s="33"/>
      <c r="AY158" s="76"/>
    </row>
    <row r="159" spans="3:51">
      <c r="C159" s="169" t="s">
        <v>34</v>
      </c>
      <c r="D159" s="4">
        <v>0.55000000000000004</v>
      </c>
      <c r="E159" s="191" t="s">
        <v>228</v>
      </c>
      <c r="I159" s="55">
        <v>154</v>
      </c>
      <c r="J159" s="33">
        <f t="shared" si="79"/>
        <v>0</v>
      </c>
      <c r="K159" s="33">
        <f t="shared" si="80"/>
        <v>0</v>
      </c>
      <c r="L159" s="33">
        <f t="shared" si="81"/>
        <v>0</v>
      </c>
      <c r="M159" s="33">
        <f t="shared" si="82"/>
        <v>0</v>
      </c>
      <c r="N159" s="33">
        <f t="shared" si="68"/>
        <v>0</v>
      </c>
      <c r="O159" s="34">
        <f t="shared" si="69"/>
        <v>0</v>
      </c>
      <c r="P159" s="55">
        <v>154</v>
      </c>
      <c r="Q159" s="33">
        <f t="shared" si="77"/>
        <v>0</v>
      </c>
      <c r="R159" s="33">
        <f t="shared" si="83"/>
        <v>0</v>
      </c>
      <c r="S159" s="33">
        <f t="shared" si="84"/>
        <v>0</v>
      </c>
      <c r="T159" s="33">
        <f t="shared" si="70"/>
        <v>0</v>
      </c>
      <c r="U159" s="33">
        <f t="shared" si="78"/>
        <v>0</v>
      </c>
      <c r="V159" s="33">
        <f t="shared" si="71"/>
        <v>0</v>
      </c>
      <c r="W159" s="33">
        <v>0</v>
      </c>
      <c r="X159" s="33">
        <f t="shared" si="72"/>
        <v>0</v>
      </c>
      <c r="Y159" s="38">
        <f t="shared" si="73"/>
        <v>0</v>
      </c>
      <c r="AA159" s="71">
        <v>154</v>
      </c>
      <c r="AB159" s="33">
        <f t="shared" si="74"/>
        <v>0</v>
      </c>
      <c r="AC159" s="308">
        <f t="shared" ref="AC159:AC205" si="89">IF(AA159&lt;=$F$18,IFERROR(VLOOKUP($AA159,$B$82:$G$94,3,FALSE),0),)*50%</f>
        <v>0</v>
      </c>
      <c r="AD159" s="101">
        <f t="shared" si="75"/>
        <v>0</v>
      </c>
      <c r="AE159" s="101">
        <f t="shared" si="76"/>
        <v>0</v>
      </c>
      <c r="AF159" s="197">
        <f t="shared" si="85"/>
        <v>0</v>
      </c>
      <c r="AG159" s="197">
        <f t="shared" si="86"/>
        <v>0</v>
      </c>
      <c r="AH159" s="197">
        <f t="shared" si="87"/>
        <v>0</v>
      </c>
      <c r="AI159" s="202">
        <f t="shared" si="88"/>
        <v>0</v>
      </c>
      <c r="AK159" s="71">
        <v>154</v>
      </c>
      <c r="AL159" s="33"/>
      <c r="AM159" s="33"/>
      <c r="AN159" s="33"/>
      <c r="AO159" s="33"/>
      <c r="AP159" s="33"/>
      <c r="AQ159" s="197"/>
      <c r="AR159" s="197"/>
      <c r="AS159" s="197"/>
      <c r="AT159" s="197"/>
      <c r="AU159" s="33"/>
      <c r="AV159" s="33"/>
      <c r="AW159" s="33"/>
      <c r="AX159" s="33"/>
      <c r="AY159" s="76"/>
    </row>
    <row r="160" spans="3:51">
      <c r="C160" s="169" t="s">
        <v>35</v>
      </c>
      <c r="D160" s="4">
        <v>0.56000000000000005</v>
      </c>
      <c r="E160" s="191" t="s">
        <v>228</v>
      </c>
      <c r="I160" s="55">
        <v>155</v>
      </c>
      <c r="J160" s="33">
        <f t="shared" si="79"/>
        <v>0</v>
      </c>
      <c r="K160" s="33">
        <f t="shared" si="80"/>
        <v>0</v>
      </c>
      <c r="L160" s="33">
        <f t="shared" si="81"/>
        <v>0</v>
      </c>
      <c r="M160" s="33">
        <f t="shared" si="82"/>
        <v>0</v>
      </c>
      <c r="N160" s="33">
        <f t="shared" si="68"/>
        <v>0</v>
      </c>
      <c r="O160" s="34">
        <f t="shared" si="69"/>
        <v>0</v>
      </c>
      <c r="P160" s="55">
        <v>155</v>
      </c>
      <c r="Q160" s="33">
        <f t="shared" si="77"/>
        <v>0</v>
      </c>
      <c r="R160" s="33">
        <f t="shared" si="83"/>
        <v>0</v>
      </c>
      <c r="S160" s="33">
        <f t="shared" si="84"/>
        <v>0</v>
      </c>
      <c r="T160" s="33">
        <f t="shared" si="70"/>
        <v>0</v>
      </c>
      <c r="U160" s="33">
        <f t="shared" si="78"/>
        <v>0</v>
      </c>
      <c r="V160" s="33">
        <f t="shared" si="71"/>
        <v>0</v>
      </c>
      <c r="W160" s="33">
        <v>0</v>
      </c>
      <c r="X160" s="33">
        <f t="shared" si="72"/>
        <v>0</v>
      </c>
      <c r="Y160" s="38">
        <f t="shared" si="73"/>
        <v>0</v>
      </c>
      <c r="AA160" s="71">
        <v>155</v>
      </c>
      <c r="AB160" s="33">
        <f t="shared" si="74"/>
        <v>0</v>
      </c>
      <c r="AC160" s="308">
        <f t="shared" si="89"/>
        <v>0</v>
      </c>
      <c r="AD160" s="101">
        <f t="shared" si="75"/>
        <v>0</v>
      </c>
      <c r="AE160" s="101">
        <f t="shared" si="76"/>
        <v>0</v>
      </c>
      <c r="AF160" s="197">
        <f t="shared" si="85"/>
        <v>0</v>
      </c>
      <c r="AG160" s="197">
        <f t="shared" si="86"/>
        <v>0</v>
      </c>
      <c r="AH160" s="197">
        <f t="shared" si="87"/>
        <v>0</v>
      </c>
      <c r="AI160" s="202">
        <f t="shared" si="88"/>
        <v>0</v>
      </c>
      <c r="AK160" s="71">
        <v>155</v>
      </c>
      <c r="AL160" s="33"/>
      <c r="AM160" s="33"/>
      <c r="AN160" s="33"/>
      <c r="AO160" s="33"/>
      <c r="AP160" s="33"/>
      <c r="AQ160" s="197"/>
      <c r="AR160" s="197"/>
      <c r="AS160" s="197"/>
      <c r="AT160" s="197"/>
      <c r="AU160" s="33"/>
      <c r="AV160" s="33"/>
      <c r="AW160" s="33"/>
      <c r="AX160" s="33"/>
      <c r="AY160" s="76"/>
    </row>
    <row r="161" spans="3:51">
      <c r="C161" s="169" t="s">
        <v>36</v>
      </c>
      <c r="D161" s="4">
        <v>0.57999999999999996</v>
      </c>
      <c r="E161" s="191" t="s">
        <v>228</v>
      </c>
      <c r="I161" s="55">
        <v>156</v>
      </c>
      <c r="J161" s="33">
        <f t="shared" si="79"/>
        <v>0</v>
      </c>
      <c r="K161" s="33">
        <f t="shared" si="80"/>
        <v>0</v>
      </c>
      <c r="L161" s="33">
        <f t="shared" si="81"/>
        <v>0</v>
      </c>
      <c r="M161" s="33">
        <f t="shared" si="82"/>
        <v>0</v>
      </c>
      <c r="N161" s="33">
        <f t="shared" si="68"/>
        <v>0</v>
      </c>
      <c r="O161" s="34">
        <f t="shared" si="69"/>
        <v>0</v>
      </c>
      <c r="P161" s="55">
        <v>156</v>
      </c>
      <c r="Q161" s="33">
        <f t="shared" si="77"/>
        <v>0</v>
      </c>
      <c r="R161" s="33">
        <f t="shared" si="83"/>
        <v>0</v>
      </c>
      <c r="S161" s="33">
        <f t="shared" si="84"/>
        <v>0</v>
      </c>
      <c r="T161" s="33">
        <f t="shared" si="70"/>
        <v>0</v>
      </c>
      <c r="U161" s="33">
        <f t="shared" si="78"/>
        <v>0</v>
      </c>
      <c r="V161" s="33">
        <f t="shared" si="71"/>
        <v>0</v>
      </c>
      <c r="W161" s="33">
        <v>0</v>
      </c>
      <c r="X161" s="33">
        <f t="shared" si="72"/>
        <v>0</v>
      </c>
      <c r="Y161" s="38">
        <f t="shared" si="73"/>
        <v>0</v>
      </c>
      <c r="AA161" s="71">
        <v>156</v>
      </c>
      <c r="AB161" s="33">
        <f t="shared" si="74"/>
        <v>0</v>
      </c>
      <c r="AC161" s="308">
        <f t="shared" si="89"/>
        <v>0</v>
      </c>
      <c r="AD161" s="101">
        <f t="shared" si="75"/>
        <v>0</v>
      </c>
      <c r="AE161" s="101">
        <f t="shared" si="76"/>
        <v>0</v>
      </c>
      <c r="AF161" s="197">
        <f t="shared" si="85"/>
        <v>0</v>
      </c>
      <c r="AG161" s="197">
        <f t="shared" si="86"/>
        <v>0</v>
      </c>
      <c r="AH161" s="197">
        <f t="shared" si="87"/>
        <v>0</v>
      </c>
      <c r="AI161" s="202">
        <f t="shared" si="88"/>
        <v>0</v>
      </c>
      <c r="AK161" s="71">
        <v>156</v>
      </c>
      <c r="AL161" s="33"/>
      <c r="AM161" s="33"/>
      <c r="AN161" s="33"/>
      <c r="AO161" s="33"/>
      <c r="AP161" s="33"/>
      <c r="AQ161" s="197"/>
      <c r="AR161" s="197"/>
      <c r="AS161" s="197"/>
      <c r="AT161" s="197"/>
      <c r="AU161" s="33"/>
      <c r="AV161" s="33"/>
      <c r="AW161" s="33"/>
      <c r="AX161" s="33"/>
      <c r="AY161" s="76"/>
    </row>
    <row r="162" spans="3:51">
      <c r="C162" s="169" t="s">
        <v>37</v>
      </c>
      <c r="D162" s="4">
        <v>0.57999999999999996</v>
      </c>
      <c r="E162" s="191" t="s">
        <v>229</v>
      </c>
      <c r="I162" s="55">
        <v>157</v>
      </c>
      <c r="J162" s="33">
        <f t="shared" si="79"/>
        <v>0</v>
      </c>
      <c r="K162" s="33">
        <f t="shared" si="80"/>
        <v>0</v>
      </c>
      <c r="L162" s="33">
        <f t="shared" si="81"/>
        <v>0</v>
      </c>
      <c r="M162" s="33">
        <f t="shared" si="82"/>
        <v>0</v>
      </c>
      <c r="N162" s="33">
        <f t="shared" si="68"/>
        <v>0</v>
      </c>
      <c r="O162" s="34">
        <f t="shared" si="69"/>
        <v>0</v>
      </c>
      <c r="P162" s="55">
        <v>157</v>
      </c>
      <c r="Q162" s="33">
        <f t="shared" si="77"/>
        <v>0</v>
      </c>
      <c r="R162" s="33">
        <f t="shared" si="83"/>
        <v>0</v>
      </c>
      <c r="S162" s="33">
        <f t="shared" si="84"/>
        <v>0</v>
      </c>
      <c r="T162" s="33">
        <f t="shared" si="70"/>
        <v>0</v>
      </c>
      <c r="U162" s="33">
        <f t="shared" si="78"/>
        <v>0</v>
      </c>
      <c r="V162" s="33">
        <f t="shared" si="71"/>
        <v>0</v>
      </c>
      <c r="W162" s="33">
        <v>0</v>
      </c>
      <c r="X162" s="33">
        <f t="shared" si="72"/>
        <v>0</v>
      </c>
      <c r="Y162" s="38">
        <f t="shared" si="73"/>
        <v>0</v>
      </c>
      <c r="AA162" s="71">
        <v>157</v>
      </c>
      <c r="AB162" s="33">
        <f t="shared" si="74"/>
        <v>0</v>
      </c>
      <c r="AC162" s="308">
        <f t="shared" si="89"/>
        <v>0</v>
      </c>
      <c r="AD162" s="101">
        <f t="shared" si="75"/>
        <v>0</v>
      </c>
      <c r="AE162" s="101">
        <f t="shared" si="76"/>
        <v>0</v>
      </c>
      <c r="AF162" s="197">
        <f t="shared" si="85"/>
        <v>0</v>
      </c>
      <c r="AG162" s="197">
        <f t="shared" si="86"/>
        <v>0</v>
      </c>
      <c r="AH162" s="197">
        <f t="shared" si="87"/>
        <v>0</v>
      </c>
      <c r="AI162" s="202">
        <f t="shared" si="88"/>
        <v>0</v>
      </c>
      <c r="AK162" s="71">
        <v>157</v>
      </c>
      <c r="AL162" s="33"/>
      <c r="AM162" s="33"/>
      <c r="AN162" s="33"/>
      <c r="AO162" s="33"/>
      <c r="AP162" s="33"/>
      <c r="AQ162" s="197"/>
      <c r="AR162" s="197"/>
      <c r="AS162" s="197"/>
      <c r="AT162" s="197"/>
      <c r="AU162" s="33"/>
      <c r="AV162" s="33"/>
      <c r="AW162" s="33"/>
      <c r="AX162" s="33"/>
      <c r="AY162" s="76"/>
    </row>
    <row r="163" spans="3:51">
      <c r="C163" s="169" t="s">
        <v>38</v>
      </c>
      <c r="D163" s="4">
        <v>0.48</v>
      </c>
      <c r="E163" s="191" t="s">
        <v>229</v>
      </c>
      <c r="I163" s="55">
        <v>158</v>
      </c>
      <c r="J163" s="33">
        <f t="shared" si="79"/>
        <v>0</v>
      </c>
      <c r="K163" s="33">
        <f t="shared" si="80"/>
        <v>0</v>
      </c>
      <c r="L163" s="33">
        <f t="shared" si="81"/>
        <v>0</v>
      </c>
      <c r="M163" s="33">
        <f t="shared" si="82"/>
        <v>0</v>
      </c>
      <c r="N163" s="33">
        <f t="shared" si="68"/>
        <v>0</v>
      </c>
      <c r="O163" s="34">
        <f t="shared" si="69"/>
        <v>0</v>
      </c>
      <c r="P163" s="55">
        <v>158</v>
      </c>
      <c r="Q163" s="33">
        <f t="shared" si="77"/>
        <v>0</v>
      </c>
      <c r="R163" s="33">
        <f t="shared" si="83"/>
        <v>0</v>
      </c>
      <c r="S163" s="33">
        <f t="shared" si="84"/>
        <v>0</v>
      </c>
      <c r="T163" s="33">
        <f t="shared" si="70"/>
        <v>0</v>
      </c>
      <c r="U163" s="33">
        <f t="shared" si="78"/>
        <v>0</v>
      </c>
      <c r="V163" s="33">
        <f t="shared" si="71"/>
        <v>0</v>
      </c>
      <c r="W163" s="33">
        <v>0</v>
      </c>
      <c r="X163" s="33">
        <f t="shared" si="72"/>
        <v>0</v>
      </c>
      <c r="Y163" s="38">
        <f t="shared" si="73"/>
        <v>0</v>
      </c>
      <c r="AA163" s="71">
        <v>158</v>
      </c>
      <c r="AB163" s="33">
        <f t="shared" si="74"/>
        <v>0</v>
      </c>
      <c r="AC163" s="308">
        <f t="shared" si="89"/>
        <v>0</v>
      </c>
      <c r="AD163" s="101">
        <f t="shared" si="75"/>
        <v>0</v>
      </c>
      <c r="AE163" s="101">
        <f t="shared" si="76"/>
        <v>0</v>
      </c>
      <c r="AF163" s="197">
        <f t="shared" si="85"/>
        <v>0</v>
      </c>
      <c r="AG163" s="197">
        <f t="shared" si="86"/>
        <v>0</v>
      </c>
      <c r="AH163" s="197">
        <f t="shared" si="87"/>
        <v>0</v>
      </c>
      <c r="AI163" s="202">
        <f t="shared" si="88"/>
        <v>0</v>
      </c>
      <c r="AK163" s="71">
        <v>158</v>
      </c>
      <c r="AL163" s="33"/>
      <c r="AM163" s="33"/>
      <c r="AN163" s="33"/>
      <c r="AO163" s="33"/>
      <c r="AP163" s="33"/>
      <c r="AQ163" s="197"/>
      <c r="AR163" s="197"/>
      <c r="AS163" s="197"/>
      <c r="AT163" s="197"/>
      <c r="AU163" s="33"/>
      <c r="AV163" s="33"/>
      <c r="AW163" s="33"/>
      <c r="AX163" s="33"/>
      <c r="AY163" s="76"/>
    </row>
    <row r="164" spans="3:51">
      <c r="C164" s="169" t="s">
        <v>39</v>
      </c>
      <c r="D164" s="4">
        <v>0.42</v>
      </c>
      <c r="E164" s="191" t="s">
        <v>229</v>
      </c>
      <c r="I164" s="55">
        <v>159</v>
      </c>
      <c r="J164" s="33">
        <f t="shared" si="79"/>
        <v>0</v>
      </c>
      <c r="K164" s="33">
        <f t="shared" si="80"/>
        <v>0</v>
      </c>
      <c r="L164" s="33">
        <f t="shared" si="81"/>
        <v>0</v>
      </c>
      <c r="M164" s="33">
        <f t="shared" si="82"/>
        <v>0</v>
      </c>
      <c r="N164" s="33">
        <f t="shared" si="68"/>
        <v>0</v>
      </c>
      <c r="O164" s="34">
        <f t="shared" si="69"/>
        <v>0</v>
      </c>
      <c r="P164" s="55">
        <v>159</v>
      </c>
      <c r="Q164" s="33">
        <f t="shared" si="77"/>
        <v>0</v>
      </c>
      <c r="R164" s="33">
        <f t="shared" si="83"/>
        <v>0</v>
      </c>
      <c r="S164" s="33">
        <f t="shared" si="84"/>
        <v>0</v>
      </c>
      <c r="T164" s="33">
        <f t="shared" si="70"/>
        <v>0</v>
      </c>
      <c r="U164" s="33">
        <f t="shared" si="78"/>
        <v>0</v>
      </c>
      <c r="V164" s="33">
        <f t="shared" si="71"/>
        <v>0</v>
      </c>
      <c r="W164" s="33">
        <v>0</v>
      </c>
      <c r="X164" s="33">
        <f t="shared" si="72"/>
        <v>0</v>
      </c>
      <c r="Y164" s="38">
        <f t="shared" si="73"/>
        <v>0</v>
      </c>
      <c r="AA164" s="71">
        <v>159</v>
      </c>
      <c r="AB164" s="33">
        <f t="shared" si="74"/>
        <v>0</v>
      </c>
      <c r="AC164" s="308">
        <f t="shared" si="89"/>
        <v>0</v>
      </c>
      <c r="AD164" s="101">
        <f t="shared" si="75"/>
        <v>0</v>
      </c>
      <c r="AE164" s="101">
        <f t="shared" si="76"/>
        <v>0</v>
      </c>
      <c r="AF164" s="197">
        <f t="shared" si="85"/>
        <v>0</v>
      </c>
      <c r="AG164" s="197">
        <f t="shared" si="86"/>
        <v>0</v>
      </c>
      <c r="AH164" s="197">
        <f t="shared" si="87"/>
        <v>0</v>
      </c>
      <c r="AI164" s="202">
        <f t="shared" si="88"/>
        <v>0</v>
      </c>
      <c r="AK164" s="71">
        <v>159</v>
      </c>
      <c r="AL164" s="33"/>
      <c r="AM164" s="33"/>
      <c r="AN164" s="33"/>
      <c r="AO164" s="33"/>
      <c r="AP164" s="33"/>
      <c r="AQ164" s="197"/>
      <c r="AR164" s="197"/>
      <c r="AS164" s="197"/>
      <c r="AT164" s="197"/>
      <c r="AU164" s="33"/>
      <c r="AV164" s="33"/>
      <c r="AW164" s="33"/>
      <c r="AX164" s="33"/>
      <c r="AY164" s="76"/>
    </row>
    <row r="165" spans="3:51">
      <c r="C165" s="169" t="s">
        <v>40</v>
      </c>
      <c r="D165" s="4">
        <v>0.5</v>
      </c>
      <c r="E165" s="191" t="s">
        <v>228</v>
      </c>
      <c r="I165" s="55">
        <v>160</v>
      </c>
      <c r="J165" s="33">
        <f t="shared" si="79"/>
        <v>0</v>
      </c>
      <c r="K165" s="33">
        <f t="shared" si="80"/>
        <v>0</v>
      </c>
      <c r="L165" s="33">
        <f t="shared" si="81"/>
        <v>0</v>
      </c>
      <c r="M165" s="33">
        <f t="shared" si="82"/>
        <v>0</v>
      </c>
      <c r="N165" s="33">
        <f t="shared" si="68"/>
        <v>0</v>
      </c>
      <c r="O165" s="34">
        <f t="shared" si="69"/>
        <v>0</v>
      </c>
      <c r="P165" s="55">
        <v>160</v>
      </c>
      <c r="Q165" s="33">
        <f t="shared" si="77"/>
        <v>0</v>
      </c>
      <c r="R165" s="33">
        <f t="shared" si="83"/>
        <v>0</v>
      </c>
      <c r="S165" s="33">
        <f t="shared" si="84"/>
        <v>0</v>
      </c>
      <c r="T165" s="33">
        <f t="shared" si="70"/>
        <v>0</v>
      </c>
      <c r="U165" s="33">
        <f t="shared" si="78"/>
        <v>0</v>
      </c>
      <c r="V165" s="33">
        <f t="shared" si="71"/>
        <v>0</v>
      </c>
      <c r="W165" s="33">
        <v>0</v>
      </c>
      <c r="X165" s="33">
        <f t="shared" si="72"/>
        <v>0</v>
      </c>
      <c r="Y165" s="38">
        <f t="shared" si="73"/>
        <v>0</v>
      </c>
      <c r="AA165" s="71">
        <v>160</v>
      </c>
      <c r="AB165" s="33">
        <f t="shared" si="74"/>
        <v>0</v>
      </c>
      <c r="AC165" s="308">
        <f t="shared" si="89"/>
        <v>0</v>
      </c>
      <c r="AD165" s="101">
        <f t="shared" si="75"/>
        <v>0</v>
      </c>
      <c r="AE165" s="101">
        <f t="shared" si="76"/>
        <v>0</v>
      </c>
      <c r="AF165" s="197">
        <f t="shared" si="85"/>
        <v>0</v>
      </c>
      <c r="AG165" s="197">
        <f t="shared" si="86"/>
        <v>0</v>
      </c>
      <c r="AH165" s="197">
        <f t="shared" si="87"/>
        <v>0</v>
      </c>
      <c r="AI165" s="202">
        <f t="shared" si="88"/>
        <v>0</v>
      </c>
      <c r="AK165" s="71">
        <v>160</v>
      </c>
      <c r="AL165" s="33"/>
      <c r="AM165" s="33"/>
      <c r="AN165" s="33"/>
      <c r="AO165" s="33"/>
      <c r="AP165" s="33"/>
      <c r="AQ165" s="197"/>
      <c r="AR165" s="197"/>
      <c r="AS165" s="197"/>
      <c r="AT165" s="197"/>
      <c r="AU165" s="33"/>
      <c r="AV165" s="33"/>
      <c r="AW165" s="33"/>
      <c r="AX165" s="33"/>
      <c r="AY165" s="76"/>
    </row>
    <row r="166" spans="3:51">
      <c r="C166" s="169" t="s">
        <v>41</v>
      </c>
      <c r="D166" s="4">
        <v>0.55000000000000004</v>
      </c>
      <c r="E166" s="191" t="s">
        <v>228</v>
      </c>
      <c r="I166" s="55">
        <v>161</v>
      </c>
      <c r="J166" s="33">
        <f t="shared" si="79"/>
        <v>0</v>
      </c>
      <c r="K166" s="33">
        <f t="shared" si="80"/>
        <v>0</v>
      </c>
      <c r="L166" s="33">
        <f t="shared" si="81"/>
        <v>0</v>
      </c>
      <c r="M166" s="33">
        <f t="shared" si="82"/>
        <v>0</v>
      </c>
      <c r="N166" s="33">
        <f t="shared" si="68"/>
        <v>0</v>
      </c>
      <c r="O166" s="34">
        <f t="shared" si="69"/>
        <v>0</v>
      </c>
      <c r="P166" s="55">
        <v>161</v>
      </c>
      <c r="Q166" s="33">
        <f t="shared" ref="Q166:Q197" si="90">IF(P166&lt;=$F$18,LOOKUP(P166-1,$B$25:$B$78,$G$25:$G$78),)</f>
        <v>0</v>
      </c>
      <c r="R166" s="33">
        <f t="shared" si="83"/>
        <v>0</v>
      </c>
      <c r="S166" s="33">
        <f t="shared" si="84"/>
        <v>0</v>
      </c>
      <c r="T166" s="33">
        <f t="shared" si="70"/>
        <v>0</v>
      </c>
      <c r="U166" s="33">
        <f t="shared" si="78"/>
        <v>0</v>
      </c>
      <c r="V166" s="33">
        <f t="shared" si="71"/>
        <v>0</v>
      </c>
      <c r="W166" s="33">
        <v>0</v>
      </c>
      <c r="X166" s="33">
        <f t="shared" si="72"/>
        <v>0</v>
      </c>
      <c r="Y166" s="38">
        <f t="shared" si="73"/>
        <v>0</v>
      </c>
      <c r="AA166" s="71">
        <v>161</v>
      </c>
      <c r="AB166" s="33">
        <f t="shared" si="74"/>
        <v>0</v>
      </c>
      <c r="AC166" s="308">
        <f t="shared" si="89"/>
        <v>0</v>
      </c>
      <c r="AD166" s="101">
        <f t="shared" si="75"/>
        <v>0</v>
      </c>
      <c r="AE166" s="101">
        <f t="shared" si="76"/>
        <v>0</v>
      </c>
      <c r="AF166" s="197">
        <f t="shared" si="85"/>
        <v>0</v>
      </c>
      <c r="AG166" s="197">
        <f t="shared" si="86"/>
        <v>0</v>
      </c>
      <c r="AH166" s="197">
        <f t="shared" si="87"/>
        <v>0</v>
      </c>
      <c r="AI166" s="202">
        <f t="shared" si="88"/>
        <v>0</v>
      </c>
      <c r="AK166" s="71">
        <v>161</v>
      </c>
      <c r="AL166" s="33"/>
      <c r="AM166" s="33"/>
      <c r="AN166" s="33"/>
      <c r="AO166" s="33"/>
      <c r="AP166" s="33"/>
      <c r="AQ166" s="197"/>
      <c r="AR166" s="197"/>
      <c r="AS166" s="197"/>
      <c r="AT166" s="197"/>
      <c r="AU166" s="33"/>
      <c r="AV166" s="33"/>
      <c r="AW166" s="33"/>
      <c r="AX166" s="33"/>
      <c r="AY166" s="76"/>
    </row>
    <row r="167" spans="3:51">
      <c r="C167" s="169" t="s">
        <v>42</v>
      </c>
      <c r="D167" s="4">
        <v>0.53</v>
      </c>
      <c r="E167" s="191" t="s">
        <v>228</v>
      </c>
      <c r="I167" s="55">
        <v>162</v>
      </c>
      <c r="J167" s="33">
        <f t="shared" si="79"/>
        <v>0</v>
      </c>
      <c r="K167" s="33">
        <f t="shared" si="80"/>
        <v>0</v>
      </c>
      <c r="L167" s="33">
        <f t="shared" si="81"/>
        <v>0</v>
      </c>
      <c r="M167" s="33">
        <f t="shared" si="82"/>
        <v>0</v>
      </c>
      <c r="N167" s="33">
        <f t="shared" si="68"/>
        <v>0</v>
      </c>
      <c r="O167" s="34">
        <f t="shared" si="69"/>
        <v>0</v>
      </c>
      <c r="P167" s="55">
        <v>162</v>
      </c>
      <c r="Q167" s="33">
        <f t="shared" si="90"/>
        <v>0</v>
      </c>
      <c r="R167" s="33">
        <f t="shared" si="83"/>
        <v>0</v>
      </c>
      <c r="S167" s="33">
        <f t="shared" si="84"/>
        <v>0</v>
      </c>
      <c r="T167" s="33">
        <f t="shared" si="70"/>
        <v>0</v>
      </c>
      <c r="U167" s="33">
        <f t="shared" si="78"/>
        <v>0</v>
      </c>
      <c r="V167" s="33">
        <f t="shared" si="71"/>
        <v>0</v>
      </c>
      <c r="W167" s="33">
        <v>0</v>
      </c>
      <c r="X167" s="33">
        <f t="shared" si="72"/>
        <v>0</v>
      </c>
      <c r="Y167" s="38">
        <f t="shared" si="73"/>
        <v>0</v>
      </c>
      <c r="AA167" s="71">
        <v>162</v>
      </c>
      <c r="AB167" s="33">
        <f t="shared" si="74"/>
        <v>0</v>
      </c>
      <c r="AC167" s="308">
        <f t="shared" si="89"/>
        <v>0</v>
      </c>
      <c r="AD167" s="101">
        <f t="shared" si="75"/>
        <v>0</v>
      </c>
      <c r="AE167" s="101">
        <f t="shared" si="76"/>
        <v>0</v>
      </c>
      <c r="AF167" s="197">
        <f t="shared" si="85"/>
        <v>0</v>
      </c>
      <c r="AG167" s="197">
        <f t="shared" si="86"/>
        <v>0</v>
      </c>
      <c r="AH167" s="197">
        <f t="shared" si="87"/>
        <v>0</v>
      </c>
      <c r="AI167" s="202">
        <f t="shared" si="88"/>
        <v>0</v>
      </c>
      <c r="AK167" s="71">
        <v>162</v>
      </c>
      <c r="AL167" s="33"/>
      <c r="AM167" s="33"/>
      <c r="AN167" s="33"/>
      <c r="AO167" s="33"/>
      <c r="AP167" s="33"/>
      <c r="AQ167" s="197"/>
      <c r="AR167" s="197"/>
      <c r="AS167" s="197"/>
      <c r="AT167" s="197"/>
      <c r="AU167" s="33"/>
      <c r="AV167" s="33"/>
      <c r="AW167" s="33"/>
      <c r="AX167" s="33"/>
      <c r="AY167" s="76"/>
    </row>
    <row r="168" spans="3:51">
      <c r="C168" s="169" t="s">
        <v>43</v>
      </c>
      <c r="D168" s="4">
        <v>0.52</v>
      </c>
      <c r="E168" s="191" t="s">
        <v>228</v>
      </c>
      <c r="I168" s="55">
        <v>163</v>
      </c>
      <c r="J168" s="33">
        <f t="shared" si="79"/>
        <v>0</v>
      </c>
      <c r="K168" s="33">
        <f t="shared" si="80"/>
        <v>0</v>
      </c>
      <c r="L168" s="33">
        <f t="shared" si="81"/>
        <v>0</v>
      </c>
      <c r="M168" s="33">
        <f t="shared" si="82"/>
        <v>0</v>
      </c>
      <c r="N168" s="33">
        <f t="shared" si="68"/>
        <v>0</v>
      </c>
      <c r="O168" s="34">
        <f t="shared" si="69"/>
        <v>0</v>
      </c>
      <c r="P168" s="55">
        <v>163</v>
      </c>
      <c r="Q168" s="33">
        <f t="shared" si="90"/>
        <v>0</v>
      </c>
      <c r="R168" s="33">
        <f t="shared" si="83"/>
        <v>0</v>
      </c>
      <c r="S168" s="33">
        <f t="shared" si="84"/>
        <v>0</v>
      </c>
      <c r="T168" s="33">
        <f t="shared" si="70"/>
        <v>0</v>
      </c>
      <c r="U168" s="33">
        <f t="shared" si="78"/>
        <v>0</v>
      </c>
      <c r="V168" s="33">
        <f t="shared" si="71"/>
        <v>0</v>
      </c>
      <c r="W168" s="33">
        <v>0</v>
      </c>
      <c r="X168" s="33">
        <f t="shared" si="72"/>
        <v>0</v>
      </c>
      <c r="Y168" s="38">
        <f t="shared" si="73"/>
        <v>0</v>
      </c>
      <c r="AA168" s="71">
        <v>163</v>
      </c>
      <c r="AB168" s="33">
        <f t="shared" si="74"/>
        <v>0</v>
      </c>
      <c r="AC168" s="308">
        <f t="shared" si="89"/>
        <v>0</v>
      </c>
      <c r="AD168" s="101">
        <f t="shared" si="75"/>
        <v>0</v>
      </c>
      <c r="AE168" s="101">
        <f t="shared" si="76"/>
        <v>0</v>
      </c>
      <c r="AF168" s="197">
        <f t="shared" si="85"/>
        <v>0</v>
      </c>
      <c r="AG168" s="197">
        <f t="shared" si="86"/>
        <v>0</v>
      </c>
      <c r="AH168" s="197">
        <f t="shared" si="87"/>
        <v>0</v>
      </c>
      <c r="AI168" s="202">
        <f t="shared" si="88"/>
        <v>0</v>
      </c>
      <c r="AK168" s="71">
        <v>163</v>
      </c>
      <c r="AL168" s="33"/>
      <c r="AM168" s="33"/>
      <c r="AN168" s="33"/>
      <c r="AO168" s="33"/>
      <c r="AP168" s="33"/>
      <c r="AQ168" s="197"/>
      <c r="AR168" s="197"/>
      <c r="AS168" s="197"/>
      <c r="AT168" s="197"/>
      <c r="AU168" s="33"/>
      <c r="AV168" s="33"/>
      <c r="AW168" s="33"/>
      <c r="AX168" s="33"/>
      <c r="AY168" s="76"/>
    </row>
    <row r="169" spans="3:51">
      <c r="C169" s="169" t="s">
        <v>44</v>
      </c>
      <c r="D169" s="4">
        <v>0.52</v>
      </c>
      <c r="E169" s="191" t="s">
        <v>228</v>
      </c>
      <c r="I169" s="55">
        <v>164</v>
      </c>
      <c r="J169" s="33">
        <f t="shared" si="79"/>
        <v>0</v>
      </c>
      <c r="K169" s="33">
        <f t="shared" si="80"/>
        <v>0</v>
      </c>
      <c r="L169" s="33">
        <f t="shared" si="81"/>
        <v>0</v>
      </c>
      <c r="M169" s="33">
        <f t="shared" si="82"/>
        <v>0</v>
      </c>
      <c r="N169" s="33">
        <f t="shared" si="68"/>
        <v>0</v>
      </c>
      <c r="O169" s="34">
        <f t="shared" si="69"/>
        <v>0</v>
      </c>
      <c r="P169" s="55">
        <v>164</v>
      </c>
      <c r="Q169" s="33">
        <f t="shared" si="90"/>
        <v>0</v>
      </c>
      <c r="R169" s="33">
        <f t="shared" si="83"/>
        <v>0</v>
      </c>
      <c r="S169" s="33">
        <f t="shared" si="84"/>
        <v>0</v>
      </c>
      <c r="T169" s="33">
        <f t="shared" si="70"/>
        <v>0</v>
      </c>
      <c r="U169" s="33">
        <f t="shared" si="78"/>
        <v>0</v>
      </c>
      <c r="V169" s="33">
        <f t="shared" si="71"/>
        <v>0</v>
      </c>
      <c r="W169" s="33">
        <v>0</v>
      </c>
      <c r="X169" s="33">
        <f t="shared" si="72"/>
        <v>0</v>
      </c>
      <c r="Y169" s="38">
        <f t="shared" si="73"/>
        <v>0</v>
      </c>
      <c r="AA169" s="71">
        <v>164</v>
      </c>
      <c r="AB169" s="33">
        <f t="shared" si="74"/>
        <v>0</v>
      </c>
      <c r="AC169" s="308">
        <f t="shared" si="89"/>
        <v>0</v>
      </c>
      <c r="AD169" s="101">
        <f t="shared" si="75"/>
        <v>0</v>
      </c>
      <c r="AE169" s="101">
        <f t="shared" si="76"/>
        <v>0</v>
      </c>
      <c r="AF169" s="197">
        <f t="shared" si="85"/>
        <v>0</v>
      </c>
      <c r="AG169" s="197">
        <f t="shared" si="86"/>
        <v>0</v>
      </c>
      <c r="AH169" s="197">
        <f t="shared" si="87"/>
        <v>0</v>
      </c>
      <c r="AI169" s="202">
        <f t="shared" si="88"/>
        <v>0</v>
      </c>
      <c r="AK169" s="71">
        <v>164</v>
      </c>
      <c r="AL169" s="33"/>
      <c r="AM169" s="33"/>
      <c r="AN169" s="33"/>
      <c r="AO169" s="33"/>
      <c r="AP169" s="33"/>
      <c r="AQ169" s="197"/>
      <c r="AR169" s="197"/>
      <c r="AS169" s="197"/>
      <c r="AT169" s="197"/>
      <c r="AU169" s="33"/>
      <c r="AV169" s="33"/>
      <c r="AW169" s="33"/>
      <c r="AX169" s="33"/>
      <c r="AY169" s="76"/>
    </row>
    <row r="170" spans="3:51">
      <c r="C170" s="169" t="s">
        <v>45</v>
      </c>
      <c r="D170" s="4">
        <v>0.75</v>
      </c>
      <c r="E170" s="191" t="s">
        <v>228</v>
      </c>
      <c r="I170" s="55">
        <v>165</v>
      </c>
      <c r="J170" s="33">
        <f t="shared" si="79"/>
        <v>0</v>
      </c>
      <c r="K170" s="33">
        <f t="shared" si="80"/>
        <v>0</v>
      </c>
      <c r="L170" s="33">
        <f t="shared" si="81"/>
        <v>0</v>
      </c>
      <c r="M170" s="33">
        <f t="shared" si="82"/>
        <v>0</v>
      </c>
      <c r="N170" s="33">
        <f t="shared" si="68"/>
        <v>0</v>
      </c>
      <c r="O170" s="34">
        <f t="shared" si="69"/>
        <v>0</v>
      </c>
      <c r="P170" s="55">
        <v>165</v>
      </c>
      <c r="Q170" s="33">
        <f t="shared" si="90"/>
        <v>0</v>
      </c>
      <c r="R170" s="33">
        <f t="shared" si="83"/>
        <v>0</v>
      </c>
      <c r="S170" s="33">
        <f t="shared" si="84"/>
        <v>0</v>
      </c>
      <c r="T170" s="33">
        <f t="shared" si="70"/>
        <v>0</v>
      </c>
      <c r="U170" s="33">
        <f t="shared" si="78"/>
        <v>0</v>
      </c>
      <c r="V170" s="33">
        <f t="shared" si="71"/>
        <v>0</v>
      </c>
      <c r="W170" s="33">
        <v>0</v>
      </c>
      <c r="X170" s="33">
        <f t="shared" si="72"/>
        <v>0</v>
      </c>
      <c r="Y170" s="38">
        <f t="shared" si="73"/>
        <v>0</v>
      </c>
      <c r="AA170" s="71">
        <v>165</v>
      </c>
      <c r="AB170" s="33">
        <f t="shared" si="74"/>
        <v>0</v>
      </c>
      <c r="AC170" s="308">
        <f t="shared" si="89"/>
        <v>0</v>
      </c>
      <c r="AD170" s="101">
        <f t="shared" si="75"/>
        <v>0</v>
      </c>
      <c r="AE170" s="101">
        <f t="shared" si="76"/>
        <v>0</v>
      </c>
      <c r="AF170" s="197">
        <f t="shared" si="85"/>
        <v>0</v>
      </c>
      <c r="AG170" s="197">
        <f t="shared" si="86"/>
        <v>0</v>
      </c>
      <c r="AH170" s="197">
        <f t="shared" si="87"/>
        <v>0</v>
      </c>
      <c r="AI170" s="202">
        <f t="shared" si="88"/>
        <v>0</v>
      </c>
      <c r="AK170" s="71">
        <v>165</v>
      </c>
      <c r="AL170" s="33"/>
      <c r="AM170" s="33"/>
      <c r="AN170" s="33"/>
      <c r="AO170" s="33"/>
      <c r="AP170" s="33"/>
      <c r="AQ170" s="197"/>
      <c r="AR170" s="197"/>
      <c r="AS170" s="197"/>
      <c r="AT170" s="197"/>
      <c r="AU170" s="33"/>
      <c r="AV170" s="33"/>
      <c r="AW170" s="33"/>
      <c r="AX170" s="33"/>
      <c r="AY170" s="76"/>
    </row>
    <row r="171" spans="3:51">
      <c r="C171" s="169" t="s">
        <v>46</v>
      </c>
      <c r="D171" s="4">
        <v>0.52</v>
      </c>
      <c r="E171" s="191" t="s">
        <v>228</v>
      </c>
      <c r="I171" s="55">
        <v>166</v>
      </c>
      <c r="J171" s="33">
        <f t="shared" si="79"/>
        <v>0</v>
      </c>
      <c r="K171" s="33">
        <f t="shared" si="80"/>
        <v>0</v>
      </c>
      <c r="L171" s="33">
        <f t="shared" si="81"/>
        <v>0</v>
      </c>
      <c r="M171" s="33">
        <f t="shared" si="82"/>
        <v>0</v>
      </c>
      <c r="N171" s="33">
        <f t="shared" si="68"/>
        <v>0</v>
      </c>
      <c r="O171" s="34">
        <f t="shared" si="69"/>
        <v>0</v>
      </c>
      <c r="P171" s="55">
        <v>166</v>
      </c>
      <c r="Q171" s="33">
        <f t="shared" si="90"/>
        <v>0</v>
      </c>
      <c r="R171" s="33">
        <f t="shared" si="83"/>
        <v>0</v>
      </c>
      <c r="S171" s="33">
        <f t="shared" si="84"/>
        <v>0</v>
      </c>
      <c r="T171" s="33">
        <f t="shared" si="70"/>
        <v>0</v>
      </c>
      <c r="U171" s="33">
        <f t="shared" si="78"/>
        <v>0</v>
      </c>
      <c r="V171" s="33">
        <f t="shared" si="71"/>
        <v>0</v>
      </c>
      <c r="W171" s="33">
        <v>0</v>
      </c>
      <c r="X171" s="33">
        <f t="shared" si="72"/>
        <v>0</v>
      </c>
      <c r="Y171" s="38">
        <f t="shared" si="73"/>
        <v>0</v>
      </c>
      <c r="AA171" s="71">
        <v>166</v>
      </c>
      <c r="AB171" s="33">
        <f t="shared" si="74"/>
        <v>0</v>
      </c>
      <c r="AC171" s="308">
        <f t="shared" si="89"/>
        <v>0</v>
      </c>
      <c r="AD171" s="101">
        <f t="shared" si="75"/>
        <v>0</v>
      </c>
      <c r="AE171" s="101">
        <f t="shared" si="76"/>
        <v>0</v>
      </c>
      <c r="AF171" s="197">
        <f t="shared" si="85"/>
        <v>0</v>
      </c>
      <c r="AG171" s="197">
        <f t="shared" si="86"/>
        <v>0</v>
      </c>
      <c r="AH171" s="197">
        <f t="shared" si="87"/>
        <v>0</v>
      </c>
      <c r="AI171" s="202">
        <f t="shared" si="88"/>
        <v>0</v>
      </c>
      <c r="AK171" s="71">
        <v>166</v>
      </c>
      <c r="AL171" s="33"/>
      <c r="AM171" s="33"/>
      <c r="AN171" s="33"/>
      <c r="AO171" s="33"/>
      <c r="AP171" s="33"/>
      <c r="AQ171" s="197"/>
      <c r="AR171" s="197"/>
      <c r="AS171" s="197"/>
      <c r="AT171" s="197"/>
      <c r="AU171" s="33"/>
      <c r="AV171" s="33"/>
      <c r="AW171" s="33"/>
      <c r="AX171" s="33"/>
      <c r="AY171" s="76"/>
    </row>
    <row r="172" spans="3:51">
      <c r="C172" s="169" t="s">
        <v>47</v>
      </c>
      <c r="D172" s="4">
        <v>0.35</v>
      </c>
      <c r="E172" s="191" t="s">
        <v>230</v>
      </c>
      <c r="I172" s="55">
        <v>167</v>
      </c>
      <c r="J172" s="33">
        <f t="shared" si="79"/>
        <v>0</v>
      </c>
      <c r="K172" s="33">
        <f t="shared" si="80"/>
        <v>0</v>
      </c>
      <c r="L172" s="33">
        <f t="shared" si="81"/>
        <v>0</v>
      </c>
      <c r="M172" s="33">
        <f t="shared" si="82"/>
        <v>0</v>
      </c>
      <c r="N172" s="33">
        <f t="shared" si="68"/>
        <v>0</v>
      </c>
      <c r="O172" s="34">
        <f t="shared" si="69"/>
        <v>0</v>
      </c>
      <c r="P172" s="55">
        <v>167</v>
      </c>
      <c r="Q172" s="33">
        <f t="shared" si="90"/>
        <v>0</v>
      </c>
      <c r="R172" s="33">
        <f t="shared" si="83"/>
        <v>0</v>
      </c>
      <c r="S172" s="33">
        <f t="shared" si="84"/>
        <v>0</v>
      </c>
      <c r="T172" s="33">
        <f t="shared" si="70"/>
        <v>0</v>
      </c>
      <c r="U172" s="33">
        <f t="shared" si="78"/>
        <v>0</v>
      </c>
      <c r="V172" s="33">
        <f t="shared" si="71"/>
        <v>0</v>
      </c>
      <c r="W172" s="33">
        <v>0</v>
      </c>
      <c r="X172" s="33">
        <f t="shared" si="72"/>
        <v>0</v>
      </c>
      <c r="Y172" s="38">
        <f t="shared" si="73"/>
        <v>0</v>
      </c>
      <c r="AA172" s="71">
        <v>167</v>
      </c>
      <c r="AB172" s="33">
        <f t="shared" si="74"/>
        <v>0</v>
      </c>
      <c r="AC172" s="308">
        <f t="shared" si="89"/>
        <v>0</v>
      </c>
      <c r="AD172" s="101">
        <f t="shared" si="75"/>
        <v>0</v>
      </c>
      <c r="AE172" s="101">
        <f t="shared" si="76"/>
        <v>0</v>
      </c>
      <c r="AF172" s="197">
        <f t="shared" si="85"/>
        <v>0</v>
      </c>
      <c r="AG172" s="197">
        <f t="shared" si="86"/>
        <v>0</v>
      </c>
      <c r="AH172" s="197">
        <f t="shared" si="87"/>
        <v>0</v>
      </c>
      <c r="AI172" s="202">
        <f t="shared" si="88"/>
        <v>0</v>
      </c>
      <c r="AK172" s="71">
        <v>167</v>
      </c>
      <c r="AL172" s="33"/>
      <c r="AM172" s="33"/>
      <c r="AN172" s="33"/>
      <c r="AO172" s="33"/>
      <c r="AP172" s="33"/>
      <c r="AQ172" s="197"/>
      <c r="AR172" s="197"/>
      <c r="AS172" s="197"/>
      <c r="AT172" s="197"/>
      <c r="AU172" s="33"/>
      <c r="AV172" s="33"/>
      <c r="AW172" s="33"/>
      <c r="AX172" s="33"/>
      <c r="AY172" s="76"/>
    </row>
    <row r="173" spans="3:51">
      <c r="C173" s="169" t="s">
        <v>48</v>
      </c>
      <c r="D173" s="4">
        <v>0.37</v>
      </c>
      <c r="E173" s="191" t="s">
        <v>228</v>
      </c>
      <c r="I173" s="55">
        <v>168</v>
      </c>
      <c r="J173" s="33">
        <f t="shared" si="79"/>
        <v>0</v>
      </c>
      <c r="K173" s="33">
        <f t="shared" si="80"/>
        <v>0</v>
      </c>
      <c r="L173" s="33">
        <f t="shared" si="81"/>
        <v>0</v>
      </c>
      <c r="M173" s="33">
        <f t="shared" si="82"/>
        <v>0</v>
      </c>
      <c r="N173" s="33">
        <f t="shared" si="68"/>
        <v>0</v>
      </c>
      <c r="O173" s="34">
        <f t="shared" si="69"/>
        <v>0</v>
      </c>
      <c r="P173" s="55">
        <v>168</v>
      </c>
      <c r="Q173" s="33">
        <f t="shared" si="90"/>
        <v>0</v>
      </c>
      <c r="R173" s="33">
        <f t="shared" si="83"/>
        <v>0</v>
      </c>
      <c r="S173" s="33">
        <f t="shared" si="84"/>
        <v>0</v>
      </c>
      <c r="T173" s="33">
        <f t="shared" si="70"/>
        <v>0</v>
      </c>
      <c r="U173" s="33">
        <f t="shared" si="78"/>
        <v>0</v>
      </c>
      <c r="V173" s="33">
        <f t="shared" si="71"/>
        <v>0</v>
      </c>
      <c r="W173" s="33">
        <v>0</v>
      </c>
      <c r="X173" s="33">
        <f t="shared" si="72"/>
        <v>0</v>
      </c>
      <c r="Y173" s="38">
        <f t="shared" si="73"/>
        <v>0</v>
      </c>
      <c r="AA173" s="71">
        <v>168</v>
      </c>
      <c r="AB173" s="33">
        <f t="shared" si="74"/>
        <v>0</v>
      </c>
      <c r="AC173" s="308">
        <f t="shared" si="89"/>
        <v>0</v>
      </c>
      <c r="AD173" s="101">
        <f t="shared" si="75"/>
        <v>0</v>
      </c>
      <c r="AE173" s="101">
        <f t="shared" si="76"/>
        <v>0</v>
      </c>
      <c r="AF173" s="197">
        <f t="shared" si="85"/>
        <v>0</v>
      </c>
      <c r="AG173" s="197">
        <f t="shared" si="86"/>
        <v>0</v>
      </c>
      <c r="AH173" s="197">
        <f t="shared" si="87"/>
        <v>0</v>
      </c>
      <c r="AI173" s="202">
        <f t="shared" si="88"/>
        <v>0</v>
      </c>
      <c r="AK173" s="71">
        <v>168</v>
      </c>
      <c r="AL173" s="33"/>
      <c r="AM173" s="33"/>
      <c r="AN173" s="33"/>
      <c r="AO173" s="33"/>
      <c r="AP173" s="33"/>
      <c r="AQ173" s="197"/>
      <c r="AR173" s="197"/>
      <c r="AS173" s="197"/>
      <c r="AT173" s="197"/>
      <c r="AU173" s="33"/>
      <c r="AV173" s="33"/>
      <c r="AW173" s="33"/>
      <c r="AX173" s="33"/>
      <c r="AY173" s="76"/>
    </row>
    <row r="174" spans="3:51">
      <c r="C174" s="169" t="s">
        <v>49</v>
      </c>
      <c r="D174" s="4">
        <v>0.45</v>
      </c>
      <c r="E174" s="191" t="s">
        <v>229</v>
      </c>
      <c r="I174" s="55">
        <v>169</v>
      </c>
      <c r="J174" s="33">
        <f t="shared" si="79"/>
        <v>0</v>
      </c>
      <c r="K174" s="33">
        <f t="shared" si="80"/>
        <v>0</v>
      </c>
      <c r="L174" s="33">
        <f t="shared" si="81"/>
        <v>0</v>
      </c>
      <c r="M174" s="33">
        <f t="shared" si="82"/>
        <v>0</v>
      </c>
      <c r="N174" s="33">
        <f t="shared" si="68"/>
        <v>0</v>
      </c>
      <c r="O174" s="34">
        <f t="shared" si="69"/>
        <v>0</v>
      </c>
      <c r="P174" s="55">
        <v>169</v>
      </c>
      <c r="Q174" s="33">
        <f t="shared" si="90"/>
        <v>0</v>
      </c>
      <c r="R174" s="33">
        <f t="shared" si="83"/>
        <v>0</v>
      </c>
      <c r="S174" s="33">
        <f t="shared" si="84"/>
        <v>0</v>
      </c>
      <c r="T174" s="33">
        <f t="shared" si="70"/>
        <v>0</v>
      </c>
      <c r="U174" s="33">
        <f t="shared" si="78"/>
        <v>0</v>
      </c>
      <c r="V174" s="33">
        <f t="shared" si="71"/>
        <v>0</v>
      </c>
      <c r="W174" s="33">
        <v>0</v>
      </c>
      <c r="X174" s="33">
        <f t="shared" si="72"/>
        <v>0</v>
      </c>
      <c r="Y174" s="38">
        <f t="shared" si="73"/>
        <v>0</v>
      </c>
      <c r="AA174" s="71">
        <v>169</v>
      </c>
      <c r="AB174" s="33">
        <f t="shared" si="74"/>
        <v>0</v>
      </c>
      <c r="AC174" s="308">
        <f t="shared" si="89"/>
        <v>0</v>
      </c>
      <c r="AD174" s="101">
        <f t="shared" si="75"/>
        <v>0</v>
      </c>
      <c r="AE174" s="101">
        <f t="shared" si="76"/>
        <v>0</v>
      </c>
      <c r="AF174" s="197">
        <f t="shared" si="85"/>
        <v>0</v>
      </c>
      <c r="AG174" s="197">
        <f t="shared" si="86"/>
        <v>0</v>
      </c>
      <c r="AH174" s="197">
        <f t="shared" si="87"/>
        <v>0</v>
      </c>
      <c r="AI174" s="202">
        <f t="shared" si="88"/>
        <v>0</v>
      </c>
      <c r="AK174" s="71">
        <v>169</v>
      </c>
      <c r="AL174" s="33"/>
      <c r="AM174" s="33"/>
      <c r="AN174" s="33"/>
      <c r="AO174" s="33"/>
      <c r="AP174" s="33"/>
      <c r="AQ174" s="197"/>
      <c r="AR174" s="197"/>
      <c r="AS174" s="197"/>
      <c r="AT174" s="197"/>
      <c r="AU174" s="33"/>
      <c r="AV174" s="33"/>
      <c r="AW174" s="33"/>
      <c r="AX174" s="33"/>
      <c r="AY174" s="76"/>
    </row>
    <row r="175" spans="3:51">
      <c r="C175" s="169" t="s">
        <v>50</v>
      </c>
      <c r="D175" s="4">
        <v>0.39</v>
      </c>
      <c r="E175" s="191" t="s">
        <v>229</v>
      </c>
      <c r="I175" s="55">
        <v>170</v>
      </c>
      <c r="J175" s="33">
        <f t="shared" si="79"/>
        <v>0</v>
      </c>
      <c r="K175" s="33">
        <f t="shared" si="80"/>
        <v>0</v>
      </c>
      <c r="L175" s="33">
        <f t="shared" si="81"/>
        <v>0</v>
      </c>
      <c r="M175" s="33">
        <f t="shared" si="82"/>
        <v>0</v>
      </c>
      <c r="N175" s="33">
        <f t="shared" si="68"/>
        <v>0</v>
      </c>
      <c r="O175" s="34">
        <f t="shared" si="69"/>
        <v>0</v>
      </c>
      <c r="P175" s="55">
        <v>170</v>
      </c>
      <c r="Q175" s="33">
        <f t="shared" si="90"/>
        <v>0</v>
      </c>
      <c r="R175" s="33">
        <f t="shared" si="83"/>
        <v>0</v>
      </c>
      <c r="S175" s="33">
        <f t="shared" si="84"/>
        <v>0</v>
      </c>
      <c r="T175" s="33">
        <f t="shared" si="70"/>
        <v>0</v>
      </c>
      <c r="U175" s="33">
        <f t="shared" si="78"/>
        <v>0</v>
      </c>
      <c r="V175" s="33">
        <f t="shared" si="71"/>
        <v>0</v>
      </c>
      <c r="W175" s="33">
        <v>0</v>
      </c>
      <c r="X175" s="33">
        <f t="shared" si="72"/>
        <v>0</v>
      </c>
      <c r="Y175" s="38">
        <f t="shared" si="73"/>
        <v>0</v>
      </c>
      <c r="AA175" s="71">
        <v>170</v>
      </c>
      <c r="AB175" s="33">
        <f t="shared" si="74"/>
        <v>0</v>
      </c>
      <c r="AC175" s="308">
        <f t="shared" si="89"/>
        <v>0</v>
      </c>
      <c r="AD175" s="101">
        <f t="shared" si="75"/>
        <v>0</v>
      </c>
      <c r="AE175" s="101">
        <f t="shared" si="76"/>
        <v>0</v>
      </c>
      <c r="AF175" s="197">
        <f t="shared" si="85"/>
        <v>0</v>
      </c>
      <c r="AG175" s="197">
        <f t="shared" si="86"/>
        <v>0</v>
      </c>
      <c r="AH175" s="197">
        <f t="shared" si="87"/>
        <v>0</v>
      </c>
      <c r="AI175" s="202">
        <f t="shared" si="88"/>
        <v>0</v>
      </c>
      <c r="AK175" s="71">
        <v>170</v>
      </c>
      <c r="AL175" s="33"/>
      <c r="AM175" s="33"/>
      <c r="AN175" s="33"/>
      <c r="AO175" s="33"/>
      <c r="AP175" s="33"/>
      <c r="AQ175" s="197"/>
      <c r="AR175" s="197"/>
      <c r="AS175" s="197"/>
      <c r="AT175" s="197"/>
      <c r="AU175" s="33"/>
      <c r="AV175" s="33"/>
      <c r="AW175" s="33"/>
      <c r="AX175" s="33"/>
      <c r="AY175" s="76"/>
    </row>
    <row r="176" spans="3:51">
      <c r="C176" s="169" t="s">
        <v>51</v>
      </c>
      <c r="D176" s="4">
        <v>0.44</v>
      </c>
      <c r="E176" s="191" t="s">
        <v>229</v>
      </c>
      <c r="I176" s="55">
        <v>171</v>
      </c>
      <c r="J176" s="33">
        <f t="shared" si="79"/>
        <v>0</v>
      </c>
      <c r="K176" s="33">
        <f t="shared" si="80"/>
        <v>0</v>
      </c>
      <c r="L176" s="33">
        <f t="shared" si="81"/>
        <v>0</v>
      </c>
      <c r="M176" s="33">
        <f t="shared" si="82"/>
        <v>0</v>
      </c>
      <c r="N176" s="33">
        <f t="shared" si="68"/>
        <v>0</v>
      </c>
      <c r="O176" s="34">
        <f t="shared" si="69"/>
        <v>0</v>
      </c>
      <c r="P176" s="55">
        <v>171</v>
      </c>
      <c r="Q176" s="33">
        <f t="shared" si="90"/>
        <v>0</v>
      </c>
      <c r="R176" s="33">
        <f t="shared" si="83"/>
        <v>0</v>
      </c>
      <c r="S176" s="33">
        <f t="shared" si="84"/>
        <v>0</v>
      </c>
      <c r="T176" s="33">
        <f t="shared" si="70"/>
        <v>0</v>
      </c>
      <c r="U176" s="33">
        <f t="shared" si="78"/>
        <v>0</v>
      </c>
      <c r="V176" s="33">
        <f t="shared" si="71"/>
        <v>0</v>
      </c>
      <c r="W176" s="33">
        <v>0</v>
      </c>
      <c r="X176" s="33">
        <f t="shared" si="72"/>
        <v>0</v>
      </c>
      <c r="Y176" s="38">
        <f t="shared" si="73"/>
        <v>0</v>
      </c>
      <c r="AA176" s="71">
        <v>171</v>
      </c>
      <c r="AB176" s="33">
        <f t="shared" si="74"/>
        <v>0</v>
      </c>
      <c r="AC176" s="308">
        <f t="shared" si="89"/>
        <v>0</v>
      </c>
      <c r="AD176" s="101">
        <f t="shared" si="75"/>
        <v>0</v>
      </c>
      <c r="AE176" s="101">
        <f t="shared" si="76"/>
        <v>0</v>
      </c>
      <c r="AF176" s="197">
        <f t="shared" si="85"/>
        <v>0</v>
      </c>
      <c r="AG176" s="197">
        <f t="shared" si="86"/>
        <v>0</v>
      </c>
      <c r="AH176" s="197">
        <f t="shared" si="87"/>
        <v>0</v>
      </c>
      <c r="AI176" s="202">
        <f t="shared" si="88"/>
        <v>0</v>
      </c>
      <c r="AK176" s="71">
        <v>171</v>
      </c>
      <c r="AL176" s="33"/>
      <c r="AM176" s="33"/>
      <c r="AN176" s="33"/>
      <c r="AO176" s="33"/>
      <c r="AP176" s="33"/>
      <c r="AQ176" s="197"/>
      <c r="AR176" s="197"/>
      <c r="AS176" s="197"/>
      <c r="AT176" s="197"/>
      <c r="AU176" s="33"/>
      <c r="AV176" s="33"/>
      <c r="AW176" s="33"/>
      <c r="AX176" s="33"/>
      <c r="AY176" s="76"/>
    </row>
    <row r="177" spans="3:51">
      <c r="C177" s="169" t="s">
        <v>52</v>
      </c>
      <c r="D177" s="4">
        <v>0.46</v>
      </c>
      <c r="E177" s="191" t="s">
        <v>229</v>
      </c>
      <c r="I177" s="55">
        <v>172</v>
      </c>
      <c r="J177" s="33">
        <f t="shared" si="79"/>
        <v>0</v>
      </c>
      <c r="K177" s="33">
        <f t="shared" si="80"/>
        <v>0</v>
      </c>
      <c r="L177" s="33">
        <f t="shared" si="81"/>
        <v>0</v>
      </c>
      <c r="M177" s="33">
        <f t="shared" si="82"/>
        <v>0</v>
      </c>
      <c r="N177" s="33">
        <f t="shared" si="68"/>
        <v>0</v>
      </c>
      <c r="O177" s="34">
        <f t="shared" si="69"/>
        <v>0</v>
      </c>
      <c r="P177" s="55">
        <v>172</v>
      </c>
      <c r="Q177" s="33">
        <f t="shared" si="90"/>
        <v>0</v>
      </c>
      <c r="R177" s="33">
        <f t="shared" si="83"/>
        <v>0</v>
      </c>
      <c r="S177" s="33">
        <f t="shared" si="84"/>
        <v>0</v>
      </c>
      <c r="T177" s="33">
        <f t="shared" si="70"/>
        <v>0</v>
      </c>
      <c r="U177" s="33">
        <f t="shared" si="78"/>
        <v>0</v>
      </c>
      <c r="V177" s="33">
        <f t="shared" si="71"/>
        <v>0</v>
      </c>
      <c r="W177" s="33">
        <v>0</v>
      </c>
      <c r="X177" s="33">
        <f t="shared" si="72"/>
        <v>0</v>
      </c>
      <c r="Y177" s="38">
        <f t="shared" si="73"/>
        <v>0</v>
      </c>
      <c r="AA177" s="71">
        <v>172</v>
      </c>
      <c r="AB177" s="33">
        <f t="shared" si="74"/>
        <v>0</v>
      </c>
      <c r="AC177" s="308">
        <f t="shared" si="89"/>
        <v>0</v>
      </c>
      <c r="AD177" s="101">
        <f t="shared" si="75"/>
        <v>0</v>
      </c>
      <c r="AE177" s="101">
        <f t="shared" si="76"/>
        <v>0</v>
      </c>
      <c r="AF177" s="197">
        <f t="shared" si="85"/>
        <v>0</v>
      </c>
      <c r="AG177" s="197">
        <f t="shared" si="86"/>
        <v>0</v>
      </c>
      <c r="AH177" s="197">
        <f t="shared" si="87"/>
        <v>0</v>
      </c>
      <c r="AI177" s="202">
        <f t="shared" si="88"/>
        <v>0</v>
      </c>
      <c r="AK177" s="71">
        <v>172</v>
      </c>
      <c r="AL177" s="33"/>
      <c r="AM177" s="33"/>
      <c r="AN177" s="33"/>
      <c r="AO177" s="33"/>
      <c r="AP177" s="33"/>
      <c r="AQ177" s="197"/>
      <c r="AR177" s="197"/>
      <c r="AS177" s="197"/>
      <c r="AT177" s="197"/>
      <c r="AU177" s="33"/>
      <c r="AV177" s="33"/>
      <c r="AW177" s="33"/>
      <c r="AX177" s="33"/>
      <c r="AY177" s="76"/>
    </row>
    <row r="178" spans="3:51" ht="30">
      <c r="C178" s="169" t="s">
        <v>53</v>
      </c>
      <c r="D178" s="4">
        <v>0.46</v>
      </c>
      <c r="E178" s="191" t="s">
        <v>231</v>
      </c>
      <c r="I178" s="55">
        <v>173</v>
      </c>
      <c r="J178" s="33">
        <f t="shared" si="79"/>
        <v>0</v>
      </c>
      <c r="K178" s="33">
        <f t="shared" si="80"/>
        <v>0</v>
      </c>
      <c r="L178" s="33">
        <f t="shared" si="81"/>
        <v>0</v>
      </c>
      <c r="M178" s="33">
        <f t="shared" si="82"/>
        <v>0</v>
      </c>
      <c r="N178" s="33">
        <f t="shared" si="68"/>
        <v>0</v>
      </c>
      <c r="O178" s="34">
        <f t="shared" si="69"/>
        <v>0</v>
      </c>
      <c r="P178" s="55">
        <v>173</v>
      </c>
      <c r="Q178" s="33">
        <f t="shared" si="90"/>
        <v>0</v>
      </c>
      <c r="R178" s="33">
        <f t="shared" si="83"/>
        <v>0</v>
      </c>
      <c r="S178" s="33">
        <f t="shared" si="84"/>
        <v>0</v>
      </c>
      <c r="T178" s="33">
        <f t="shared" si="70"/>
        <v>0</v>
      </c>
      <c r="U178" s="33">
        <f t="shared" si="78"/>
        <v>0</v>
      </c>
      <c r="V178" s="33">
        <f t="shared" si="71"/>
        <v>0</v>
      </c>
      <c r="W178" s="33">
        <v>0</v>
      </c>
      <c r="X178" s="33">
        <f t="shared" si="72"/>
        <v>0</v>
      </c>
      <c r="Y178" s="38">
        <f t="shared" si="73"/>
        <v>0</v>
      </c>
      <c r="AA178" s="71">
        <v>173</v>
      </c>
      <c r="AB178" s="33">
        <f t="shared" si="74"/>
        <v>0</v>
      </c>
      <c r="AC178" s="308">
        <f t="shared" si="89"/>
        <v>0</v>
      </c>
      <c r="AD178" s="101">
        <f t="shared" si="75"/>
        <v>0</v>
      </c>
      <c r="AE178" s="101">
        <f t="shared" si="76"/>
        <v>0</v>
      </c>
      <c r="AF178" s="197">
        <f t="shared" si="85"/>
        <v>0</v>
      </c>
      <c r="AG178" s="197">
        <f t="shared" si="86"/>
        <v>0</v>
      </c>
      <c r="AH178" s="197">
        <f t="shared" si="87"/>
        <v>0</v>
      </c>
      <c r="AI178" s="202">
        <f t="shared" si="88"/>
        <v>0</v>
      </c>
      <c r="AK178" s="71">
        <v>173</v>
      </c>
      <c r="AL178" s="33"/>
      <c r="AM178" s="33"/>
      <c r="AN178" s="33"/>
      <c r="AO178" s="33"/>
      <c r="AP178" s="33"/>
      <c r="AQ178" s="197"/>
      <c r="AR178" s="197"/>
      <c r="AS178" s="197"/>
      <c r="AT178" s="197"/>
      <c r="AU178" s="33"/>
      <c r="AV178" s="33"/>
      <c r="AW178" s="33"/>
      <c r="AX178" s="33"/>
      <c r="AY178" s="76"/>
    </row>
    <row r="179" spans="3:51">
      <c r="C179" s="169" t="s">
        <v>54</v>
      </c>
      <c r="D179" s="4">
        <v>0.44</v>
      </c>
      <c r="E179" s="191" t="s">
        <v>229</v>
      </c>
      <c r="I179" s="55">
        <v>174</v>
      </c>
      <c r="J179" s="33">
        <f t="shared" si="79"/>
        <v>0</v>
      </c>
      <c r="K179" s="33">
        <f t="shared" si="80"/>
        <v>0</v>
      </c>
      <c r="L179" s="33">
        <f t="shared" si="81"/>
        <v>0</v>
      </c>
      <c r="M179" s="33">
        <f t="shared" si="82"/>
        <v>0</v>
      </c>
      <c r="N179" s="33">
        <f t="shared" si="68"/>
        <v>0</v>
      </c>
      <c r="O179" s="34">
        <f t="shared" si="69"/>
        <v>0</v>
      </c>
      <c r="P179" s="55">
        <v>174</v>
      </c>
      <c r="Q179" s="33">
        <f t="shared" si="90"/>
        <v>0</v>
      </c>
      <c r="R179" s="33">
        <f t="shared" si="83"/>
        <v>0</v>
      </c>
      <c r="S179" s="33">
        <f t="shared" si="84"/>
        <v>0</v>
      </c>
      <c r="T179" s="33">
        <f t="shared" si="70"/>
        <v>0</v>
      </c>
      <c r="U179" s="33">
        <f t="shared" si="78"/>
        <v>0</v>
      </c>
      <c r="V179" s="33">
        <f t="shared" si="71"/>
        <v>0</v>
      </c>
      <c r="W179" s="33">
        <v>0</v>
      </c>
      <c r="X179" s="33">
        <f t="shared" si="72"/>
        <v>0</v>
      </c>
      <c r="Y179" s="38">
        <f t="shared" si="73"/>
        <v>0</v>
      </c>
      <c r="AA179" s="71">
        <v>174</v>
      </c>
      <c r="AB179" s="33">
        <f t="shared" si="74"/>
        <v>0</v>
      </c>
      <c r="AC179" s="308">
        <f t="shared" si="89"/>
        <v>0</v>
      </c>
      <c r="AD179" s="101">
        <f t="shared" si="75"/>
        <v>0</v>
      </c>
      <c r="AE179" s="101">
        <f t="shared" si="76"/>
        <v>0</v>
      </c>
      <c r="AF179" s="197">
        <f t="shared" si="85"/>
        <v>0</v>
      </c>
      <c r="AG179" s="197">
        <f t="shared" si="86"/>
        <v>0</v>
      </c>
      <c r="AH179" s="197">
        <f t="shared" si="87"/>
        <v>0</v>
      </c>
      <c r="AI179" s="202">
        <f t="shared" si="88"/>
        <v>0</v>
      </c>
      <c r="AK179" s="71">
        <v>174</v>
      </c>
      <c r="AL179" s="33"/>
      <c r="AM179" s="33"/>
      <c r="AN179" s="33"/>
      <c r="AO179" s="33"/>
      <c r="AP179" s="33"/>
      <c r="AQ179" s="197"/>
      <c r="AR179" s="197"/>
      <c r="AS179" s="197"/>
      <c r="AT179" s="197"/>
      <c r="AU179" s="33"/>
      <c r="AV179" s="33"/>
      <c r="AW179" s="33"/>
      <c r="AX179" s="33"/>
      <c r="AY179" s="76"/>
    </row>
    <row r="180" spans="3:51">
      <c r="C180" s="169" t="s">
        <v>55</v>
      </c>
      <c r="D180" s="4">
        <v>0.46</v>
      </c>
      <c r="E180" s="191" t="s">
        <v>229</v>
      </c>
      <c r="I180" s="55">
        <v>175</v>
      </c>
      <c r="J180" s="33">
        <f t="shared" si="79"/>
        <v>0</v>
      </c>
      <c r="K180" s="33">
        <f t="shared" si="80"/>
        <v>0</v>
      </c>
      <c r="L180" s="33">
        <f t="shared" si="81"/>
        <v>0</v>
      </c>
      <c r="M180" s="33">
        <f t="shared" si="82"/>
        <v>0</v>
      </c>
      <c r="N180" s="33">
        <f t="shared" si="68"/>
        <v>0</v>
      </c>
      <c r="O180" s="34">
        <f t="shared" si="69"/>
        <v>0</v>
      </c>
      <c r="P180" s="55">
        <v>175</v>
      </c>
      <c r="Q180" s="33">
        <f t="shared" si="90"/>
        <v>0</v>
      </c>
      <c r="R180" s="33">
        <f t="shared" si="83"/>
        <v>0</v>
      </c>
      <c r="S180" s="33">
        <f t="shared" si="84"/>
        <v>0</v>
      </c>
      <c r="T180" s="33">
        <f t="shared" si="70"/>
        <v>0</v>
      </c>
      <c r="U180" s="33">
        <f t="shared" si="78"/>
        <v>0</v>
      </c>
      <c r="V180" s="33">
        <f t="shared" si="71"/>
        <v>0</v>
      </c>
      <c r="W180" s="33">
        <v>0</v>
      </c>
      <c r="X180" s="33">
        <f t="shared" si="72"/>
        <v>0</v>
      </c>
      <c r="Y180" s="38">
        <f t="shared" si="73"/>
        <v>0</v>
      </c>
      <c r="AA180" s="71">
        <v>175</v>
      </c>
      <c r="AB180" s="33">
        <f t="shared" si="74"/>
        <v>0</v>
      </c>
      <c r="AC180" s="308">
        <f t="shared" si="89"/>
        <v>0</v>
      </c>
      <c r="AD180" s="101">
        <f t="shared" si="75"/>
        <v>0</v>
      </c>
      <c r="AE180" s="101">
        <f t="shared" si="76"/>
        <v>0</v>
      </c>
      <c r="AF180" s="197">
        <f t="shared" si="85"/>
        <v>0</v>
      </c>
      <c r="AG180" s="197">
        <f t="shared" si="86"/>
        <v>0</v>
      </c>
      <c r="AH180" s="197">
        <f t="shared" si="87"/>
        <v>0</v>
      </c>
      <c r="AI180" s="202">
        <f t="shared" si="88"/>
        <v>0</v>
      </c>
      <c r="AK180" s="71">
        <v>175</v>
      </c>
      <c r="AL180" s="33"/>
      <c r="AM180" s="33"/>
      <c r="AN180" s="33"/>
      <c r="AO180" s="33"/>
      <c r="AP180" s="33"/>
      <c r="AQ180" s="197"/>
      <c r="AR180" s="197"/>
      <c r="AS180" s="197"/>
      <c r="AT180" s="197"/>
      <c r="AU180" s="33"/>
      <c r="AV180" s="33"/>
      <c r="AW180" s="33"/>
      <c r="AX180" s="33"/>
      <c r="AY180" s="76"/>
    </row>
    <row r="181" spans="3:51">
      <c r="C181" s="169" t="s">
        <v>56</v>
      </c>
      <c r="D181" s="4">
        <v>0.48</v>
      </c>
      <c r="E181" s="191" t="s">
        <v>229</v>
      </c>
      <c r="I181" s="55">
        <v>176</v>
      </c>
      <c r="J181" s="33">
        <f t="shared" si="79"/>
        <v>0</v>
      </c>
      <c r="K181" s="33">
        <f t="shared" si="80"/>
        <v>0</v>
      </c>
      <c r="L181" s="33">
        <f t="shared" si="81"/>
        <v>0</v>
      </c>
      <c r="M181" s="33">
        <f t="shared" si="82"/>
        <v>0</v>
      </c>
      <c r="N181" s="33">
        <f t="shared" si="68"/>
        <v>0</v>
      </c>
      <c r="O181" s="34">
        <f t="shared" si="69"/>
        <v>0</v>
      </c>
      <c r="P181" s="55">
        <v>176</v>
      </c>
      <c r="Q181" s="33">
        <f t="shared" si="90"/>
        <v>0</v>
      </c>
      <c r="R181" s="33">
        <f t="shared" si="83"/>
        <v>0</v>
      </c>
      <c r="S181" s="33">
        <f t="shared" si="84"/>
        <v>0</v>
      </c>
      <c r="T181" s="33">
        <f t="shared" si="70"/>
        <v>0</v>
      </c>
      <c r="U181" s="33">
        <f t="shared" si="78"/>
        <v>0</v>
      </c>
      <c r="V181" s="33">
        <f t="shared" si="71"/>
        <v>0</v>
      </c>
      <c r="W181" s="33">
        <v>0</v>
      </c>
      <c r="X181" s="33">
        <f t="shared" si="72"/>
        <v>0</v>
      </c>
      <c r="Y181" s="38">
        <f t="shared" si="73"/>
        <v>0</v>
      </c>
      <c r="AA181" s="71">
        <v>176</v>
      </c>
      <c r="AB181" s="33">
        <f t="shared" si="74"/>
        <v>0</v>
      </c>
      <c r="AC181" s="308">
        <f t="shared" si="89"/>
        <v>0</v>
      </c>
      <c r="AD181" s="101">
        <f t="shared" si="75"/>
        <v>0</v>
      </c>
      <c r="AE181" s="101">
        <f t="shared" si="76"/>
        <v>0</v>
      </c>
      <c r="AF181" s="197">
        <f t="shared" si="85"/>
        <v>0</v>
      </c>
      <c r="AG181" s="197">
        <f t="shared" si="86"/>
        <v>0</v>
      </c>
      <c r="AH181" s="197">
        <f t="shared" si="87"/>
        <v>0</v>
      </c>
      <c r="AI181" s="202">
        <f t="shared" si="88"/>
        <v>0</v>
      </c>
      <c r="AK181" s="71">
        <v>176</v>
      </c>
      <c r="AL181" s="33"/>
      <c r="AM181" s="33"/>
      <c r="AN181" s="33"/>
      <c r="AO181" s="33"/>
      <c r="AP181" s="33"/>
      <c r="AQ181" s="197"/>
      <c r="AR181" s="197"/>
      <c r="AS181" s="197"/>
      <c r="AT181" s="197"/>
      <c r="AU181" s="33"/>
      <c r="AV181" s="33"/>
      <c r="AW181" s="33"/>
      <c r="AX181" s="33"/>
      <c r="AY181" s="76"/>
    </row>
    <row r="182" spans="3:51">
      <c r="C182" s="169" t="s">
        <v>57</v>
      </c>
      <c r="D182" s="4">
        <v>0.44</v>
      </c>
      <c r="E182" s="191" t="s">
        <v>229</v>
      </c>
      <c r="I182" s="55">
        <v>177</v>
      </c>
      <c r="J182" s="33">
        <f t="shared" si="79"/>
        <v>0</v>
      </c>
      <c r="K182" s="33">
        <f t="shared" si="80"/>
        <v>0</v>
      </c>
      <c r="L182" s="33">
        <f t="shared" si="81"/>
        <v>0</v>
      </c>
      <c r="M182" s="33">
        <f t="shared" si="82"/>
        <v>0</v>
      </c>
      <c r="N182" s="33">
        <f t="shared" si="68"/>
        <v>0</v>
      </c>
      <c r="O182" s="34">
        <f t="shared" si="69"/>
        <v>0</v>
      </c>
      <c r="P182" s="55">
        <v>177</v>
      </c>
      <c r="Q182" s="33">
        <f t="shared" si="90"/>
        <v>0</v>
      </c>
      <c r="R182" s="33">
        <f t="shared" si="83"/>
        <v>0</v>
      </c>
      <c r="S182" s="33">
        <f t="shared" si="84"/>
        <v>0</v>
      </c>
      <c r="T182" s="33">
        <f t="shared" si="70"/>
        <v>0</v>
      </c>
      <c r="U182" s="33">
        <f t="shared" si="78"/>
        <v>0</v>
      </c>
      <c r="V182" s="33">
        <f t="shared" si="71"/>
        <v>0</v>
      </c>
      <c r="W182" s="33">
        <v>0</v>
      </c>
      <c r="X182" s="33">
        <f t="shared" si="72"/>
        <v>0</v>
      </c>
      <c r="Y182" s="38">
        <f t="shared" si="73"/>
        <v>0</v>
      </c>
      <c r="AA182" s="71">
        <v>177</v>
      </c>
      <c r="AB182" s="33">
        <f t="shared" si="74"/>
        <v>0</v>
      </c>
      <c r="AC182" s="308">
        <f t="shared" si="89"/>
        <v>0</v>
      </c>
      <c r="AD182" s="101">
        <f t="shared" si="75"/>
        <v>0</v>
      </c>
      <c r="AE182" s="101">
        <f t="shared" si="76"/>
        <v>0</v>
      </c>
      <c r="AF182" s="197">
        <f t="shared" si="85"/>
        <v>0</v>
      </c>
      <c r="AG182" s="197">
        <f t="shared" si="86"/>
        <v>0</v>
      </c>
      <c r="AH182" s="197">
        <f t="shared" si="87"/>
        <v>0</v>
      </c>
      <c r="AI182" s="202">
        <f t="shared" si="88"/>
        <v>0</v>
      </c>
      <c r="AK182" s="71">
        <v>177</v>
      </c>
      <c r="AL182" s="33"/>
      <c r="AM182" s="33"/>
      <c r="AN182" s="33"/>
      <c r="AO182" s="33"/>
      <c r="AP182" s="33"/>
      <c r="AQ182" s="197"/>
      <c r="AR182" s="197"/>
      <c r="AS182" s="197"/>
      <c r="AT182" s="197"/>
      <c r="AU182" s="33"/>
      <c r="AV182" s="33"/>
      <c r="AW182" s="33"/>
      <c r="AX182" s="33"/>
      <c r="AY182" s="76"/>
    </row>
    <row r="183" spans="3:51">
      <c r="C183" s="169" t="s">
        <v>58</v>
      </c>
      <c r="D183" s="4">
        <v>0.34</v>
      </c>
      <c r="E183" s="191" t="s">
        <v>229</v>
      </c>
      <c r="I183" s="55">
        <v>178</v>
      </c>
      <c r="J183" s="33">
        <f t="shared" si="79"/>
        <v>0</v>
      </c>
      <c r="K183" s="33">
        <f t="shared" si="80"/>
        <v>0</v>
      </c>
      <c r="L183" s="33">
        <f t="shared" si="81"/>
        <v>0</v>
      </c>
      <c r="M183" s="33">
        <f t="shared" si="82"/>
        <v>0</v>
      </c>
      <c r="N183" s="33">
        <f t="shared" si="68"/>
        <v>0</v>
      </c>
      <c r="O183" s="34">
        <f t="shared" si="69"/>
        <v>0</v>
      </c>
      <c r="P183" s="55">
        <v>178</v>
      </c>
      <c r="Q183" s="33">
        <f t="shared" si="90"/>
        <v>0</v>
      </c>
      <c r="R183" s="33">
        <f t="shared" si="83"/>
        <v>0</v>
      </c>
      <c r="S183" s="33">
        <f t="shared" si="84"/>
        <v>0</v>
      </c>
      <c r="T183" s="33">
        <f t="shared" si="70"/>
        <v>0</v>
      </c>
      <c r="U183" s="33">
        <f t="shared" si="78"/>
        <v>0</v>
      </c>
      <c r="V183" s="33">
        <f t="shared" si="71"/>
        <v>0</v>
      </c>
      <c r="W183" s="33">
        <v>0</v>
      </c>
      <c r="X183" s="33">
        <f t="shared" si="72"/>
        <v>0</v>
      </c>
      <c r="Y183" s="38">
        <f t="shared" si="73"/>
        <v>0</v>
      </c>
      <c r="AA183" s="71">
        <v>178</v>
      </c>
      <c r="AB183" s="33">
        <f t="shared" si="74"/>
        <v>0</v>
      </c>
      <c r="AC183" s="308">
        <f t="shared" si="89"/>
        <v>0</v>
      </c>
      <c r="AD183" s="101">
        <f t="shared" si="75"/>
        <v>0</v>
      </c>
      <c r="AE183" s="101">
        <f t="shared" si="76"/>
        <v>0</v>
      </c>
      <c r="AF183" s="197">
        <f t="shared" si="85"/>
        <v>0</v>
      </c>
      <c r="AG183" s="197">
        <f t="shared" si="86"/>
        <v>0</v>
      </c>
      <c r="AH183" s="197">
        <f t="shared" si="87"/>
        <v>0</v>
      </c>
      <c r="AI183" s="202">
        <f t="shared" si="88"/>
        <v>0</v>
      </c>
      <c r="AK183" s="71">
        <v>178</v>
      </c>
      <c r="AL183" s="33"/>
      <c r="AM183" s="33"/>
      <c r="AN183" s="33"/>
      <c r="AO183" s="33"/>
      <c r="AP183" s="33"/>
      <c r="AQ183" s="197"/>
      <c r="AR183" s="197"/>
      <c r="AS183" s="197"/>
      <c r="AT183" s="197"/>
      <c r="AU183" s="33"/>
      <c r="AV183" s="33"/>
      <c r="AW183" s="33"/>
      <c r="AX183" s="33"/>
      <c r="AY183" s="76"/>
    </row>
    <row r="184" spans="3:51">
      <c r="C184" s="169" t="s">
        <v>59</v>
      </c>
      <c r="D184" s="4">
        <v>0.5</v>
      </c>
      <c r="E184" s="191" t="s">
        <v>228</v>
      </c>
      <c r="I184" s="55">
        <v>179</v>
      </c>
      <c r="J184" s="33">
        <f t="shared" si="79"/>
        <v>0</v>
      </c>
      <c r="K184" s="33">
        <f t="shared" si="80"/>
        <v>0</v>
      </c>
      <c r="L184" s="33">
        <f t="shared" si="81"/>
        <v>0</v>
      </c>
      <c r="M184" s="33">
        <f t="shared" si="82"/>
        <v>0</v>
      </c>
      <c r="N184" s="33">
        <f t="shared" si="68"/>
        <v>0</v>
      </c>
      <c r="O184" s="34">
        <f t="shared" si="69"/>
        <v>0</v>
      </c>
      <c r="P184" s="55">
        <v>179</v>
      </c>
      <c r="Q184" s="33">
        <f t="shared" si="90"/>
        <v>0</v>
      </c>
      <c r="R184" s="33">
        <f t="shared" si="83"/>
        <v>0</v>
      </c>
      <c r="S184" s="33">
        <f t="shared" si="84"/>
        <v>0</v>
      </c>
      <c r="T184" s="33">
        <f t="shared" si="70"/>
        <v>0</v>
      </c>
      <c r="U184" s="33">
        <f t="shared" si="78"/>
        <v>0</v>
      </c>
      <c r="V184" s="33">
        <f t="shared" si="71"/>
        <v>0</v>
      </c>
      <c r="W184" s="33">
        <v>0</v>
      </c>
      <c r="X184" s="33">
        <f t="shared" si="72"/>
        <v>0</v>
      </c>
      <c r="Y184" s="38">
        <f t="shared" si="73"/>
        <v>0</v>
      </c>
      <c r="AA184" s="71">
        <v>179</v>
      </c>
      <c r="AB184" s="33">
        <f t="shared" si="74"/>
        <v>0</v>
      </c>
      <c r="AC184" s="308">
        <f t="shared" si="89"/>
        <v>0</v>
      </c>
      <c r="AD184" s="101">
        <f t="shared" si="75"/>
        <v>0</v>
      </c>
      <c r="AE184" s="101">
        <f t="shared" si="76"/>
        <v>0</v>
      </c>
      <c r="AF184" s="197">
        <f t="shared" si="85"/>
        <v>0</v>
      </c>
      <c r="AG184" s="197">
        <f t="shared" si="86"/>
        <v>0</v>
      </c>
      <c r="AH184" s="197">
        <f t="shared" si="87"/>
        <v>0</v>
      </c>
      <c r="AI184" s="202">
        <f t="shared" si="88"/>
        <v>0</v>
      </c>
      <c r="AK184" s="71">
        <v>179</v>
      </c>
      <c r="AL184" s="33"/>
      <c r="AM184" s="33"/>
      <c r="AN184" s="33"/>
      <c r="AO184" s="33"/>
      <c r="AP184" s="33"/>
      <c r="AQ184" s="197"/>
      <c r="AR184" s="197"/>
      <c r="AS184" s="197"/>
      <c r="AT184" s="197"/>
      <c r="AU184" s="33"/>
      <c r="AV184" s="33"/>
      <c r="AW184" s="33"/>
      <c r="AX184" s="33"/>
      <c r="AY184" s="76"/>
    </row>
    <row r="185" spans="3:51">
      <c r="C185" s="169" t="s">
        <v>60</v>
      </c>
      <c r="D185" s="4">
        <v>0.57999999999999996</v>
      </c>
      <c r="E185" s="191" t="s">
        <v>228</v>
      </c>
      <c r="I185" s="55">
        <v>180</v>
      </c>
      <c r="J185" s="33">
        <f t="shared" si="79"/>
        <v>0</v>
      </c>
      <c r="K185" s="33">
        <f t="shared" si="80"/>
        <v>0</v>
      </c>
      <c r="L185" s="33">
        <f t="shared" si="81"/>
        <v>0</v>
      </c>
      <c r="M185" s="33">
        <f t="shared" si="82"/>
        <v>0</v>
      </c>
      <c r="N185" s="33">
        <f t="shared" si="68"/>
        <v>0</v>
      </c>
      <c r="O185" s="34">
        <f t="shared" si="69"/>
        <v>0</v>
      </c>
      <c r="P185" s="55">
        <v>180</v>
      </c>
      <c r="Q185" s="33">
        <f t="shared" si="90"/>
        <v>0</v>
      </c>
      <c r="R185" s="33">
        <f t="shared" si="83"/>
        <v>0</v>
      </c>
      <c r="S185" s="33">
        <f t="shared" si="84"/>
        <v>0</v>
      </c>
      <c r="T185" s="33">
        <f t="shared" si="70"/>
        <v>0</v>
      </c>
      <c r="U185" s="33">
        <f t="shared" si="78"/>
        <v>0</v>
      </c>
      <c r="V185" s="33">
        <f t="shared" si="71"/>
        <v>0</v>
      </c>
      <c r="W185" s="33">
        <v>0</v>
      </c>
      <c r="X185" s="33">
        <f t="shared" si="72"/>
        <v>0</v>
      </c>
      <c r="Y185" s="38">
        <f t="shared" si="73"/>
        <v>0</v>
      </c>
      <c r="AA185" s="71">
        <v>180</v>
      </c>
      <c r="AB185" s="33">
        <f t="shared" si="74"/>
        <v>0</v>
      </c>
      <c r="AC185" s="308">
        <f t="shared" si="89"/>
        <v>0</v>
      </c>
      <c r="AD185" s="101">
        <f t="shared" si="75"/>
        <v>0</v>
      </c>
      <c r="AE185" s="101">
        <f t="shared" si="76"/>
        <v>0</v>
      </c>
      <c r="AF185" s="197">
        <f t="shared" si="85"/>
        <v>0</v>
      </c>
      <c r="AG185" s="197">
        <f t="shared" si="86"/>
        <v>0</v>
      </c>
      <c r="AH185" s="197">
        <f t="shared" si="87"/>
        <v>0</v>
      </c>
      <c r="AI185" s="202">
        <f t="shared" si="88"/>
        <v>0</v>
      </c>
      <c r="AK185" s="71">
        <v>180</v>
      </c>
      <c r="AL185" s="33"/>
      <c r="AM185" s="33"/>
      <c r="AN185" s="33"/>
      <c r="AO185" s="33"/>
      <c r="AP185" s="33"/>
      <c r="AQ185" s="197"/>
      <c r="AR185" s="197"/>
      <c r="AS185" s="197"/>
      <c r="AT185" s="197"/>
      <c r="AU185" s="33"/>
      <c r="AV185" s="33"/>
      <c r="AW185" s="33"/>
      <c r="AX185" s="33"/>
      <c r="AY185" s="76"/>
    </row>
    <row r="186" spans="3:51">
      <c r="C186" s="169" t="s">
        <v>61</v>
      </c>
      <c r="D186" s="4">
        <v>0.37</v>
      </c>
      <c r="E186" s="191" t="s">
        <v>229</v>
      </c>
      <c r="I186" s="55">
        <v>181</v>
      </c>
      <c r="J186" s="33">
        <f t="shared" si="79"/>
        <v>0</v>
      </c>
      <c r="K186" s="33">
        <f t="shared" si="80"/>
        <v>0</v>
      </c>
      <c r="L186" s="33">
        <f t="shared" si="81"/>
        <v>0</v>
      </c>
      <c r="M186" s="33">
        <f t="shared" si="82"/>
        <v>0</v>
      </c>
      <c r="N186" s="33">
        <f t="shared" si="68"/>
        <v>0</v>
      </c>
      <c r="O186" s="34">
        <f t="shared" si="69"/>
        <v>0</v>
      </c>
      <c r="P186" s="55">
        <v>181</v>
      </c>
      <c r="Q186" s="33">
        <f t="shared" si="90"/>
        <v>0</v>
      </c>
      <c r="R186" s="33">
        <f t="shared" si="83"/>
        <v>0</v>
      </c>
      <c r="S186" s="33">
        <f t="shared" si="84"/>
        <v>0</v>
      </c>
      <c r="T186" s="33">
        <f t="shared" si="70"/>
        <v>0</v>
      </c>
      <c r="U186" s="33">
        <f t="shared" si="78"/>
        <v>0</v>
      </c>
      <c r="V186" s="33">
        <f t="shared" si="71"/>
        <v>0</v>
      </c>
      <c r="W186" s="33">
        <v>0</v>
      </c>
      <c r="X186" s="33">
        <f t="shared" si="72"/>
        <v>0</v>
      </c>
      <c r="Y186" s="38">
        <f t="shared" si="73"/>
        <v>0</v>
      </c>
      <c r="AA186" s="71">
        <v>181</v>
      </c>
      <c r="AB186" s="33">
        <f t="shared" si="74"/>
        <v>0</v>
      </c>
      <c r="AC186" s="308">
        <f t="shared" si="89"/>
        <v>0</v>
      </c>
      <c r="AD186" s="101">
        <f t="shared" si="75"/>
        <v>0</v>
      </c>
      <c r="AE186" s="101">
        <f t="shared" si="76"/>
        <v>0</v>
      </c>
      <c r="AF186" s="197">
        <f t="shared" si="85"/>
        <v>0</v>
      </c>
      <c r="AG186" s="197">
        <f t="shared" si="86"/>
        <v>0</v>
      </c>
      <c r="AH186" s="197">
        <f t="shared" si="87"/>
        <v>0</v>
      </c>
      <c r="AI186" s="202">
        <f t="shared" si="88"/>
        <v>0</v>
      </c>
      <c r="AK186" s="71">
        <v>181</v>
      </c>
      <c r="AL186" s="33"/>
      <c r="AM186" s="33"/>
      <c r="AN186" s="33"/>
      <c r="AO186" s="33"/>
      <c r="AP186" s="33"/>
      <c r="AQ186" s="197"/>
      <c r="AR186" s="197"/>
      <c r="AS186" s="197"/>
      <c r="AT186" s="197"/>
      <c r="AU186" s="33"/>
      <c r="AV186" s="33"/>
      <c r="AW186" s="33"/>
      <c r="AX186" s="33"/>
      <c r="AY186" s="76"/>
    </row>
    <row r="187" spans="3:51">
      <c r="C187" s="169" t="s">
        <v>62</v>
      </c>
      <c r="D187" s="4">
        <v>0.37</v>
      </c>
      <c r="E187" s="191" t="s">
        <v>229</v>
      </c>
      <c r="I187" s="55">
        <v>182</v>
      </c>
      <c r="J187" s="33">
        <f t="shared" si="79"/>
        <v>0</v>
      </c>
      <c r="K187" s="33">
        <f t="shared" si="80"/>
        <v>0</v>
      </c>
      <c r="L187" s="33">
        <f t="shared" si="81"/>
        <v>0</v>
      </c>
      <c r="M187" s="33">
        <f t="shared" si="82"/>
        <v>0</v>
      </c>
      <c r="N187" s="33">
        <f t="shared" si="68"/>
        <v>0</v>
      </c>
      <c r="O187" s="34">
        <f t="shared" si="69"/>
        <v>0</v>
      </c>
      <c r="P187" s="55">
        <v>182</v>
      </c>
      <c r="Q187" s="33">
        <f t="shared" si="90"/>
        <v>0</v>
      </c>
      <c r="R187" s="33">
        <f t="shared" si="83"/>
        <v>0</v>
      </c>
      <c r="S187" s="33">
        <f t="shared" si="84"/>
        <v>0</v>
      </c>
      <c r="T187" s="33">
        <f t="shared" si="70"/>
        <v>0</v>
      </c>
      <c r="U187" s="33">
        <f t="shared" si="78"/>
        <v>0</v>
      </c>
      <c r="V187" s="33">
        <f t="shared" si="71"/>
        <v>0</v>
      </c>
      <c r="W187" s="33">
        <v>0</v>
      </c>
      <c r="X187" s="33">
        <f t="shared" si="72"/>
        <v>0</v>
      </c>
      <c r="Y187" s="38">
        <f t="shared" si="73"/>
        <v>0</v>
      </c>
      <c r="AA187" s="71">
        <v>182</v>
      </c>
      <c r="AB187" s="33">
        <f t="shared" si="74"/>
        <v>0</v>
      </c>
      <c r="AC187" s="308">
        <f t="shared" si="89"/>
        <v>0</v>
      </c>
      <c r="AD187" s="101">
        <f t="shared" si="75"/>
        <v>0</v>
      </c>
      <c r="AE187" s="101">
        <f t="shared" si="76"/>
        <v>0</v>
      </c>
      <c r="AF187" s="197">
        <f t="shared" si="85"/>
        <v>0</v>
      </c>
      <c r="AG187" s="197">
        <f t="shared" si="86"/>
        <v>0</v>
      </c>
      <c r="AH187" s="197">
        <f t="shared" si="87"/>
        <v>0</v>
      </c>
      <c r="AI187" s="202">
        <f t="shared" si="88"/>
        <v>0</v>
      </c>
      <c r="AK187" s="71">
        <v>182</v>
      </c>
      <c r="AL187" s="33"/>
      <c r="AM187" s="33"/>
      <c r="AN187" s="33"/>
      <c r="AO187" s="33"/>
      <c r="AP187" s="33"/>
      <c r="AQ187" s="197"/>
      <c r="AR187" s="197"/>
      <c r="AS187" s="197"/>
      <c r="AT187" s="197"/>
      <c r="AU187" s="33"/>
      <c r="AV187" s="33"/>
      <c r="AW187" s="33"/>
      <c r="AX187" s="33"/>
      <c r="AY187" s="76"/>
    </row>
    <row r="188" spans="3:51">
      <c r="C188" s="169" t="s">
        <v>63</v>
      </c>
      <c r="D188" s="4">
        <v>0.38</v>
      </c>
      <c r="E188" s="191" t="s">
        <v>229</v>
      </c>
      <c r="I188" s="55">
        <v>183</v>
      </c>
      <c r="J188" s="33">
        <f t="shared" si="79"/>
        <v>0</v>
      </c>
      <c r="K188" s="33">
        <f t="shared" si="80"/>
        <v>0</v>
      </c>
      <c r="L188" s="33">
        <f t="shared" si="81"/>
        <v>0</v>
      </c>
      <c r="M188" s="33">
        <f t="shared" si="82"/>
        <v>0</v>
      </c>
      <c r="N188" s="33">
        <f t="shared" si="68"/>
        <v>0</v>
      </c>
      <c r="O188" s="34">
        <f t="shared" si="69"/>
        <v>0</v>
      </c>
      <c r="P188" s="55">
        <v>183</v>
      </c>
      <c r="Q188" s="33">
        <f t="shared" si="90"/>
        <v>0</v>
      </c>
      <c r="R188" s="33">
        <f t="shared" si="83"/>
        <v>0</v>
      </c>
      <c r="S188" s="33">
        <f t="shared" si="84"/>
        <v>0</v>
      </c>
      <c r="T188" s="33">
        <f t="shared" si="70"/>
        <v>0</v>
      </c>
      <c r="U188" s="33">
        <f t="shared" si="78"/>
        <v>0</v>
      </c>
      <c r="V188" s="33">
        <f t="shared" si="71"/>
        <v>0</v>
      </c>
      <c r="W188" s="33">
        <v>0</v>
      </c>
      <c r="X188" s="33">
        <f t="shared" si="72"/>
        <v>0</v>
      </c>
      <c r="Y188" s="38">
        <f t="shared" si="73"/>
        <v>0</v>
      </c>
      <c r="AA188" s="71">
        <v>183</v>
      </c>
      <c r="AB188" s="33">
        <f t="shared" si="74"/>
        <v>0</v>
      </c>
      <c r="AC188" s="308">
        <f t="shared" si="89"/>
        <v>0</v>
      </c>
      <c r="AD188" s="101">
        <f t="shared" si="75"/>
        <v>0</v>
      </c>
      <c r="AE188" s="101">
        <f t="shared" si="76"/>
        <v>0</v>
      </c>
      <c r="AF188" s="197">
        <f t="shared" si="85"/>
        <v>0</v>
      </c>
      <c r="AG188" s="197">
        <f t="shared" si="86"/>
        <v>0</v>
      </c>
      <c r="AH188" s="197">
        <f t="shared" si="87"/>
        <v>0</v>
      </c>
      <c r="AI188" s="202">
        <f t="shared" si="88"/>
        <v>0</v>
      </c>
      <c r="AK188" s="71">
        <v>183</v>
      </c>
      <c r="AL188" s="33"/>
      <c r="AM188" s="33"/>
      <c r="AN188" s="33"/>
      <c r="AO188" s="33"/>
      <c r="AP188" s="33"/>
      <c r="AQ188" s="197"/>
      <c r="AR188" s="197"/>
      <c r="AS188" s="197"/>
      <c r="AT188" s="197"/>
      <c r="AU188" s="33"/>
      <c r="AV188" s="33"/>
      <c r="AW188" s="33"/>
      <c r="AX188" s="33"/>
      <c r="AY188" s="76"/>
    </row>
    <row r="189" spans="3:51">
      <c r="C189" s="169" t="s">
        <v>64</v>
      </c>
      <c r="D189" s="4">
        <v>0.36</v>
      </c>
      <c r="E189" s="191" t="s">
        <v>229</v>
      </c>
      <c r="I189" s="55">
        <v>184</v>
      </c>
      <c r="J189" s="33">
        <f t="shared" si="79"/>
        <v>0</v>
      </c>
      <c r="K189" s="33">
        <f t="shared" si="80"/>
        <v>0</v>
      </c>
      <c r="L189" s="33">
        <f t="shared" si="81"/>
        <v>0</v>
      </c>
      <c r="M189" s="33">
        <f t="shared" si="82"/>
        <v>0</v>
      </c>
      <c r="N189" s="33">
        <f t="shared" si="68"/>
        <v>0</v>
      </c>
      <c r="O189" s="34">
        <f t="shared" si="69"/>
        <v>0</v>
      </c>
      <c r="P189" s="55">
        <v>184</v>
      </c>
      <c r="Q189" s="33">
        <f t="shared" si="90"/>
        <v>0</v>
      </c>
      <c r="R189" s="33">
        <f t="shared" si="83"/>
        <v>0</v>
      </c>
      <c r="S189" s="33">
        <f t="shared" si="84"/>
        <v>0</v>
      </c>
      <c r="T189" s="33">
        <f t="shared" si="70"/>
        <v>0</v>
      </c>
      <c r="U189" s="33">
        <f t="shared" si="78"/>
        <v>0</v>
      </c>
      <c r="V189" s="33">
        <f t="shared" si="71"/>
        <v>0</v>
      </c>
      <c r="W189" s="33">
        <v>0</v>
      </c>
      <c r="X189" s="33">
        <f t="shared" si="72"/>
        <v>0</v>
      </c>
      <c r="Y189" s="38">
        <f t="shared" si="73"/>
        <v>0</v>
      </c>
      <c r="AA189" s="71">
        <v>184</v>
      </c>
      <c r="AB189" s="33">
        <f t="shared" si="74"/>
        <v>0</v>
      </c>
      <c r="AC189" s="308">
        <f t="shared" si="89"/>
        <v>0</v>
      </c>
      <c r="AD189" s="101">
        <f t="shared" si="75"/>
        <v>0</v>
      </c>
      <c r="AE189" s="101">
        <f t="shared" si="76"/>
        <v>0</v>
      </c>
      <c r="AF189" s="197">
        <f t="shared" si="85"/>
        <v>0</v>
      </c>
      <c r="AG189" s="197">
        <f t="shared" si="86"/>
        <v>0</v>
      </c>
      <c r="AH189" s="197">
        <f t="shared" si="87"/>
        <v>0</v>
      </c>
      <c r="AI189" s="202">
        <f t="shared" si="88"/>
        <v>0</v>
      </c>
      <c r="AK189" s="71">
        <v>184</v>
      </c>
      <c r="AL189" s="33"/>
      <c r="AM189" s="33"/>
      <c r="AN189" s="33"/>
      <c r="AO189" s="33"/>
      <c r="AP189" s="33"/>
      <c r="AQ189" s="197"/>
      <c r="AR189" s="197"/>
      <c r="AS189" s="197"/>
      <c r="AT189" s="197"/>
      <c r="AU189" s="33"/>
      <c r="AV189" s="33"/>
      <c r="AW189" s="33"/>
      <c r="AX189" s="33"/>
      <c r="AY189" s="76"/>
    </row>
    <row r="190" spans="3:51">
      <c r="C190" s="169" t="s">
        <v>65</v>
      </c>
      <c r="D190" s="4">
        <v>0.37</v>
      </c>
      <c r="E190" s="191" t="s">
        <v>228</v>
      </c>
      <c r="I190" s="55">
        <v>185</v>
      </c>
      <c r="J190" s="33">
        <f t="shared" si="79"/>
        <v>0</v>
      </c>
      <c r="K190" s="33">
        <f t="shared" si="80"/>
        <v>0</v>
      </c>
      <c r="L190" s="33">
        <f t="shared" si="81"/>
        <v>0</v>
      </c>
      <c r="M190" s="33">
        <f t="shared" si="82"/>
        <v>0</v>
      </c>
      <c r="N190" s="33">
        <f t="shared" si="68"/>
        <v>0</v>
      </c>
      <c r="O190" s="34">
        <f t="shared" si="69"/>
        <v>0</v>
      </c>
      <c r="P190" s="55">
        <v>185</v>
      </c>
      <c r="Q190" s="33">
        <f t="shared" si="90"/>
        <v>0</v>
      </c>
      <c r="R190" s="33">
        <f t="shared" si="83"/>
        <v>0</v>
      </c>
      <c r="S190" s="33">
        <f t="shared" si="84"/>
        <v>0</v>
      </c>
      <c r="T190" s="33">
        <f t="shared" si="70"/>
        <v>0</v>
      </c>
      <c r="U190" s="33">
        <f t="shared" si="78"/>
        <v>0</v>
      </c>
      <c r="V190" s="33">
        <f t="shared" si="71"/>
        <v>0</v>
      </c>
      <c r="W190" s="33">
        <v>0</v>
      </c>
      <c r="X190" s="33">
        <f t="shared" si="72"/>
        <v>0</v>
      </c>
      <c r="Y190" s="38">
        <f t="shared" si="73"/>
        <v>0</v>
      </c>
      <c r="AA190" s="71">
        <v>185</v>
      </c>
      <c r="AB190" s="33">
        <f t="shared" si="74"/>
        <v>0</v>
      </c>
      <c r="AC190" s="308">
        <f t="shared" si="89"/>
        <v>0</v>
      </c>
      <c r="AD190" s="101">
        <f t="shared" si="75"/>
        <v>0</v>
      </c>
      <c r="AE190" s="101">
        <f t="shared" si="76"/>
        <v>0</v>
      </c>
      <c r="AF190" s="197">
        <f t="shared" si="85"/>
        <v>0</v>
      </c>
      <c r="AG190" s="197">
        <f t="shared" si="86"/>
        <v>0</v>
      </c>
      <c r="AH190" s="197">
        <f t="shared" si="87"/>
        <v>0</v>
      </c>
      <c r="AI190" s="202">
        <f t="shared" si="88"/>
        <v>0</v>
      </c>
      <c r="AK190" s="71">
        <v>185</v>
      </c>
      <c r="AL190" s="33"/>
      <c r="AM190" s="33"/>
      <c r="AN190" s="33"/>
      <c r="AO190" s="33"/>
      <c r="AP190" s="33"/>
      <c r="AQ190" s="197"/>
      <c r="AR190" s="197"/>
      <c r="AS190" s="197"/>
      <c r="AT190" s="197"/>
      <c r="AU190" s="33"/>
      <c r="AV190" s="33"/>
      <c r="AW190" s="33"/>
      <c r="AX190" s="33"/>
      <c r="AY190" s="76"/>
    </row>
    <row r="191" spans="3:51">
      <c r="C191" s="169" t="s">
        <v>66</v>
      </c>
      <c r="D191" s="4">
        <v>0.53</v>
      </c>
      <c r="E191" s="191" t="s">
        <v>228</v>
      </c>
      <c r="I191" s="55">
        <v>186</v>
      </c>
      <c r="J191" s="33">
        <f t="shared" si="79"/>
        <v>0</v>
      </c>
      <c r="K191" s="33">
        <f t="shared" si="80"/>
        <v>0</v>
      </c>
      <c r="L191" s="33">
        <f t="shared" si="81"/>
        <v>0</v>
      </c>
      <c r="M191" s="33">
        <f t="shared" si="82"/>
        <v>0</v>
      </c>
      <c r="N191" s="33">
        <f t="shared" si="68"/>
        <v>0</v>
      </c>
      <c r="O191" s="34">
        <f t="shared" si="69"/>
        <v>0</v>
      </c>
      <c r="P191" s="55">
        <v>186</v>
      </c>
      <c r="Q191" s="33">
        <f t="shared" si="90"/>
        <v>0</v>
      </c>
      <c r="R191" s="33">
        <f t="shared" si="83"/>
        <v>0</v>
      </c>
      <c r="S191" s="33">
        <f t="shared" si="84"/>
        <v>0</v>
      </c>
      <c r="T191" s="33">
        <f t="shared" si="70"/>
        <v>0</v>
      </c>
      <c r="U191" s="33">
        <f t="shared" si="78"/>
        <v>0</v>
      </c>
      <c r="V191" s="33">
        <f t="shared" si="71"/>
        <v>0</v>
      </c>
      <c r="W191" s="33">
        <v>0</v>
      </c>
      <c r="X191" s="33">
        <f t="shared" si="72"/>
        <v>0</v>
      </c>
      <c r="Y191" s="38">
        <f t="shared" si="73"/>
        <v>0</v>
      </c>
      <c r="AA191" s="71">
        <v>186</v>
      </c>
      <c r="AB191" s="33">
        <f t="shared" si="74"/>
        <v>0</v>
      </c>
      <c r="AC191" s="308">
        <f t="shared" si="89"/>
        <v>0</v>
      </c>
      <c r="AD191" s="101">
        <f t="shared" si="75"/>
        <v>0</v>
      </c>
      <c r="AE191" s="101">
        <f t="shared" si="76"/>
        <v>0</v>
      </c>
      <c r="AF191" s="197">
        <f t="shared" si="85"/>
        <v>0</v>
      </c>
      <c r="AG191" s="197">
        <f t="shared" si="86"/>
        <v>0</v>
      </c>
      <c r="AH191" s="197">
        <f t="shared" si="87"/>
        <v>0</v>
      </c>
      <c r="AI191" s="202">
        <f t="shared" si="88"/>
        <v>0</v>
      </c>
      <c r="AK191" s="71">
        <v>186</v>
      </c>
      <c r="AL191" s="33"/>
      <c r="AM191" s="33"/>
      <c r="AN191" s="33"/>
      <c r="AO191" s="33"/>
      <c r="AP191" s="33"/>
      <c r="AQ191" s="197"/>
      <c r="AR191" s="197"/>
      <c r="AS191" s="197"/>
      <c r="AT191" s="197"/>
      <c r="AU191" s="33"/>
      <c r="AV191" s="33"/>
      <c r="AW191" s="33"/>
      <c r="AX191" s="33"/>
      <c r="AY191" s="76"/>
    </row>
    <row r="192" spans="3:51">
      <c r="C192" s="169" t="s">
        <v>67</v>
      </c>
      <c r="D192" s="4">
        <v>0.43</v>
      </c>
      <c r="E192" s="191" t="s">
        <v>228</v>
      </c>
      <c r="I192" s="55">
        <v>187</v>
      </c>
      <c r="J192" s="33">
        <f t="shared" si="79"/>
        <v>0</v>
      </c>
      <c r="K192" s="33">
        <f t="shared" si="80"/>
        <v>0</v>
      </c>
      <c r="L192" s="33">
        <f t="shared" si="81"/>
        <v>0</v>
      </c>
      <c r="M192" s="33">
        <f t="shared" si="82"/>
        <v>0</v>
      </c>
      <c r="N192" s="33">
        <f t="shared" si="68"/>
        <v>0</v>
      </c>
      <c r="O192" s="34">
        <f t="shared" si="69"/>
        <v>0</v>
      </c>
      <c r="P192" s="55">
        <v>187</v>
      </c>
      <c r="Q192" s="33">
        <f t="shared" si="90"/>
        <v>0</v>
      </c>
      <c r="R192" s="33">
        <f t="shared" si="83"/>
        <v>0</v>
      </c>
      <c r="S192" s="33">
        <f t="shared" si="84"/>
        <v>0</v>
      </c>
      <c r="T192" s="33">
        <f t="shared" si="70"/>
        <v>0</v>
      </c>
      <c r="U192" s="33">
        <f t="shared" si="78"/>
        <v>0</v>
      </c>
      <c r="V192" s="33">
        <f t="shared" si="71"/>
        <v>0</v>
      </c>
      <c r="W192" s="33">
        <v>0</v>
      </c>
      <c r="X192" s="33">
        <f t="shared" si="72"/>
        <v>0</v>
      </c>
      <c r="Y192" s="38">
        <f t="shared" si="73"/>
        <v>0</v>
      </c>
      <c r="AA192" s="71">
        <v>187</v>
      </c>
      <c r="AB192" s="33">
        <f t="shared" si="74"/>
        <v>0</v>
      </c>
      <c r="AC192" s="308">
        <f t="shared" si="89"/>
        <v>0</v>
      </c>
      <c r="AD192" s="101">
        <f t="shared" si="75"/>
        <v>0</v>
      </c>
      <c r="AE192" s="101">
        <f t="shared" si="76"/>
        <v>0</v>
      </c>
      <c r="AF192" s="197">
        <f t="shared" si="85"/>
        <v>0</v>
      </c>
      <c r="AG192" s="197">
        <f t="shared" si="86"/>
        <v>0</v>
      </c>
      <c r="AH192" s="197">
        <f t="shared" si="87"/>
        <v>0</v>
      </c>
      <c r="AI192" s="202">
        <f t="shared" si="88"/>
        <v>0</v>
      </c>
      <c r="AK192" s="71">
        <v>187</v>
      </c>
      <c r="AL192" s="33"/>
      <c r="AM192" s="33"/>
      <c r="AN192" s="33"/>
      <c r="AO192" s="33"/>
      <c r="AP192" s="33"/>
      <c r="AQ192" s="197"/>
      <c r="AR192" s="197"/>
      <c r="AS192" s="197"/>
      <c r="AT192" s="197"/>
      <c r="AU192" s="33"/>
      <c r="AV192" s="33"/>
      <c r="AW192" s="33"/>
      <c r="AX192" s="33"/>
      <c r="AY192" s="76"/>
    </row>
    <row r="193" spans="3:51">
      <c r="C193" s="169" t="s">
        <v>68</v>
      </c>
      <c r="D193" s="4">
        <v>0.38</v>
      </c>
      <c r="E193" s="191" t="s">
        <v>228</v>
      </c>
      <c r="I193" s="55">
        <v>188</v>
      </c>
      <c r="J193" s="33">
        <f t="shared" si="79"/>
        <v>0</v>
      </c>
      <c r="K193" s="33">
        <f t="shared" si="80"/>
        <v>0</v>
      </c>
      <c r="L193" s="33">
        <f t="shared" si="81"/>
        <v>0</v>
      </c>
      <c r="M193" s="33">
        <f t="shared" si="82"/>
        <v>0</v>
      </c>
      <c r="N193" s="33">
        <f t="shared" si="68"/>
        <v>0</v>
      </c>
      <c r="O193" s="34">
        <f t="shared" si="69"/>
        <v>0</v>
      </c>
      <c r="P193" s="55">
        <v>188</v>
      </c>
      <c r="Q193" s="33">
        <f t="shared" si="90"/>
        <v>0</v>
      </c>
      <c r="R193" s="33">
        <f t="shared" si="83"/>
        <v>0</v>
      </c>
      <c r="S193" s="33">
        <f t="shared" si="84"/>
        <v>0</v>
      </c>
      <c r="T193" s="33">
        <f t="shared" si="70"/>
        <v>0</v>
      </c>
      <c r="U193" s="33">
        <f t="shared" si="78"/>
        <v>0</v>
      </c>
      <c r="V193" s="33">
        <f t="shared" si="71"/>
        <v>0</v>
      </c>
      <c r="W193" s="33">
        <v>0</v>
      </c>
      <c r="X193" s="33">
        <f t="shared" si="72"/>
        <v>0</v>
      </c>
      <c r="Y193" s="38">
        <f t="shared" si="73"/>
        <v>0</v>
      </c>
      <c r="AA193" s="71">
        <v>188</v>
      </c>
      <c r="AB193" s="33">
        <f t="shared" si="74"/>
        <v>0</v>
      </c>
      <c r="AC193" s="308">
        <f t="shared" si="89"/>
        <v>0</v>
      </c>
      <c r="AD193" s="101">
        <f t="shared" si="75"/>
        <v>0</v>
      </c>
      <c r="AE193" s="101">
        <f t="shared" si="76"/>
        <v>0</v>
      </c>
      <c r="AF193" s="197">
        <f t="shared" si="85"/>
        <v>0</v>
      </c>
      <c r="AG193" s="197">
        <f t="shared" si="86"/>
        <v>0</v>
      </c>
      <c r="AH193" s="197">
        <f t="shared" si="87"/>
        <v>0</v>
      </c>
      <c r="AI193" s="202">
        <f t="shared" si="88"/>
        <v>0</v>
      </c>
      <c r="AK193" s="71">
        <v>188</v>
      </c>
      <c r="AL193" s="33"/>
      <c r="AM193" s="33"/>
      <c r="AN193" s="33"/>
      <c r="AO193" s="33"/>
      <c r="AP193" s="33"/>
      <c r="AQ193" s="197"/>
      <c r="AR193" s="197"/>
      <c r="AS193" s="197"/>
      <c r="AT193" s="197"/>
      <c r="AU193" s="33"/>
      <c r="AV193" s="33"/>
      <c r="AW193" s="33"/>
      <c r="AX193" s="33"/>
      <c r="AY193" s="76"/>
    </row>
    <row r="194" spans="3:51">
      <c r="C194" s="171" t="s">
        <v>69</v>
      </c>
      <c r="D194" s="3">
        <v>0.42</v>
      </c>
      <c r="E194" s="191" t="s">
        <v>229</v>
      </c>
      <c r="I194" s="55">
        <v>189</v>
      </c>
      <c r="J194" s="33">
        <f t="shared" si="79"/>
        <v>0</v>
      </c>
      <c r="K194" s="33">
        <f t="shared" si="80"/>
        <v>0</v>
      </c>
      <c r="L194" s="33">
        <f t="shared" si="81"/>
        <v>0</v>
      </c>
      <c r="M194" s="33">
        <f t="shared" si="82"/>
        <v>0</v>
      </c>
      <c r="N194" s="33">
        <f t="shared" si="68"/>
        <v>0</v>
      </c>
      <c r="O194" s="34">
        <f t="shared" si="69"/>
        <v>0</v>
      </c>
      <c r="P194" s="55">
        <v>189</v>
      </c>
      <c r="Q194" s="33">
        <f t="shared" si="90"/>
        <v>0</v>
      </c>
      <c r="R194" s="33">
        <f t="shared" si="83"/>
        <v>0</v>
      </c>
      <c r="S194" s="33">
        <f t="shared" si="84"/>
        <v>0</v>
      </c>
      <c r="T194" s="33">
        <f t="shared" si="70"/>
        <v>0</v>
      </c>
      <c r="U194" s="33">
        <f t="shared" si="78"/>
        <v>0</v>
      </c>
      <c r="V194" s="33">
        <f t="shared" si="71"/>
        <v>0</v>
      </c>
      <c r="W194" s="33">
        <v>0</v>
      </c>
      <c r="X194" s="33">
        <f t="shared" si="72"/>
        <v>0</v>
      </c>
      <c r="Y194" s="38">
        <f t="shared" si="73"/>
        <v>0</v>
      </c>
      <c r="AA194" s="71">
        <v>189</v>
      </c>
      <c r="AB194" s="33">
        <f t="shared" si="74"/>
        <v>0</v>
      </c>
      <c r="AC194" s="308">
        <f t="shared" si="89"/>
        <v>0</v>
      </c>
      <c r="AD194" s="101">
        <f t="shared" si="75"/>
        <v>0</v>
      </c>
      <c r="AE194" s="101">
        <f t="shared" si="76"/>
        <v>0</v>
      </c>
      <c r="AF194" s="197">
        <f t="shared" si="85"/>
        <v>0</v>
      </c>
      <c r="AG194" s="197">
        <f t="shared" si="86"/>
        <v>0</v>
      </c>
      <c r="AH194" s="197">
        <f t="shared" si="87"/>
        <v>0</v>
      </c>
      <c r="AI194" s="202">
        <f t="shared" si="88"/>
        <v>0</v>
      </c>
      <c r="AK194" s="71">
        <v>189</v>
      </c>
      <c r="AL194" s="33"/>
      <c r="AM194" s="33"/>
      <c r="AN194" s="33"/>
      <c r="AO194" s="33"/>
      <c r="AP194" s="33"/>
      <c r="AQ194" s="197"/>
      <c r="AR194" s="197"/>
      <c r="AS194" s="197"/>
      <c r="AT194" s="197"/>
      <c r="AU194" s="33"/>
      <c r="AV194" s="33"/>
      <c r="AW194" s="33"/>
      <c r="AX194" s="33"/>
      <c r="AY194" s="76"/>
    </row>
    <row r="195" spans="3:51">
      <c r="C195" s="171" t="s">
        <v>70</v>
      </c>
      <c r="D195" s="3">
        <v>0.56999999999999995</v>
      </c>
      <c r="E195" s="191" t="s">
        <v>228</v>
      </c>
      <c r="I195" s="55">
        <v>190</v>
      </c>
      <c r="J195" s="33">
        <f t="shared" si="79"/>
        <v>0</v>
      </c>
      <c r="K195" s="33">
        <f t="shared" si="80"/>
        <v>0</v>
      </c>
      <c r="L195" s="33">
        <f t="shared" si="81"/>
        <v>0</v>
      </c>
      <c r="M195" s="33">
        <f t="shared" si="82"/>
        <v>0</v>
      </c>
      <c r="N195" s="33">
        <f t="shared" si="68"/>
        <v>0</v>
      </c>
      <c r="O195" s="34">
        <f t="shared" si="69"/>
        <v>0</v>
      </c>
      <c r="P195" s="55">
        <v>190</v>
      </c>
      <c r="Q195" s="33">
        <f t="shared" si="90"/>
        <v>0</v>
      </c>
      <c r="R195" s="33">
        <f t="shared" si="83"/>
        <v>0</v>
      </c>
      <c r="S195" s="33">
        <f t="shared" si="84"/>
        <v>0</v>
      </c>
      <c r="T195" s="33">
        <f t="shared" si="70"/>
        <v>0</v>
      </c>
      <c r="U195" s="33">
        <f t="shared" si="78"/>
        <v>0</v>
      </c>
      <c r="V195" s="33">
        <f t="shared" si="71"/>
        <v>0</v>
      </c>
      <c r="W195" s="33">
        <v>0</v>
      </c>
      <c r="X195" s="33">
        <f t="shared" si="72"/>
        <v>0</v>
      </c>
      <c r="Y195" s="38">
        <f t="shared" si="73"/>
        <v>0</v>
      </c>
      <c r="AA195" s="71">
        <v>190</v>
      </c>
      <c r="AB195" s="33">
        <f t="shared" si="74"/>
        <v>0</v>
      </c>
      <c r="AC195" s="308">
        <f t="shared" si="89"/>
        <v>0</v>
      </c>
      <c r="AD195" s="101">
        <f t="shared" si="75"/>
        <v>0</v>
      </c>
      <c r="AE195" s="101">
        <f t="shared" si="76"/>
        <v>0</v>
      </c>
      <c r="AF195" s="197">
        <f t="shared" si="85"/>
        <v>0</v>
      </c>
      <c r="AG195" s="197">
        <f t="shared" si="86"/>
        <v>0</v>
      </c>
      <c r="AH195" s="197">
        <f t="shared" si="87"/>
        <v>0</v>
      </c>
      <c r="AI195" s="202">
        <f t="shared" si="88"/>
        <v>0</v>
      </c>
      <c r="AK195" s="71">
        <v>190</v>
      </c>
      <c r="AL195" s="33"/>
      <c r="AM195" s="33"/>
      <c r="AN195" s="33"/>
      <c r="AO195" s="33"/>
      <c r="AP195" s="33"/>
      <c r="AQ195" s="197"/>
      <c r="AR195" s="197"/>
      <c r="AS195" s="197"/>
      <c r="AT195" s="197"/>
      <c r="AU195" s="33"/>
      <c r="AV195" s="33"/>
      <c r="AW195" s="33"/>
      <c r="AX195" s="33"/>
      <c r="AY195" s="76"/>
    </row>
    <row r="196" spans="3:51">
      <c r="C196" s="171" t="s">
        <v>71</v>
      </c>
      <c r="D196" s="3">
        <v>0.54</v>
      </c>
      <c r="E196" s="191"/>
      <c r="I196" s="55">
        <v>191</v>
      </c>
      <c r="J196" s="33">
        <f t="shared" si="79"/>
        <v>0</v>
      </c>
      <c r="K196" s="33">
        <f t="shared" si="80"/>
        <v>0</v>
      </c>
      <c r="L196" s="33">
        <f t="shared" si="81"/>
        <v>0</v>
      </c>
      <c r="M196" s="33">
        <f t="shared" si="82"/>
        <v>0</v>
      </c>
      <c r="N196" s="33">
        <f t="shared" si="68"/>
        <v>0</v>
      </c>
      <c r="O196" s="34">
        <f t="shared" si="69"/>
        <v>0</v>
      </c>
      <c r="P196" s="55">
        <v>191</v>
      </c>
      <c r="Q196" s="33">
        <f t="shared" si="90"/>
        <v>0</v>
      </c>
      <c r="R196" s="33">
        <f t="shared" si="83"/>
        <v>0</v>
      </c>
      <c r="S196" s="33">
        <f t="shared" si="84"/>
        <v>0</v>
      </c>
      <c r="T196" s="33">
        <f t="shared" si="70"/>
        <v>0</v>
      </c>
      <c r="U196" s="33">
        <f t="shared" si="78"/>
        <v>0</v>
      </c>
      <c r="V196" s="33">
        <f t="shared" si="71"/>
        <v>0</v>
      </c>
      <c r="W196" s="33">
        <v>0</v>
      </c>
      <c r="X196" s="33">
        <f t="shared" si="72"/>
        <v>0</v>
      </c>
      <c r="Y196" s="38">
        <f t="shared" si="73"/>
        <v>0</v>
      </c>
      <c r="AA196" s="71">
        <v>191</v>
      </c>
      <c r="AB196" s="33">
        <f t="shared" si="74"/>
        <v>0</v>
      </c>
      <c r="AC196" s="308">
        <f t="shared" si="89"/>
        <v>0</v>
      </c>
      <c r="AD196" s="101">
        <f t="shared" si="75"/>
        <v>0</v>
      </c>
      <c r="AE196" s="101">
        <f t="shared" si="76"/>
        <v>0</v>
      </c>
      <c r="AF196" s="197">
        <f t="shared" si="85"/>
        <v>0</v>
      </c>
      <c r="AG196" s="197">
        <f t="shared" si="86"/>
        <v>0</v>
      </c>
      <c r="AH196" s="197">
        <f t="shared" si="87"/>
        <v>0</v>
      </c>
      <c r="AI196" s="202">
        <f t="shared" si="88"/>
        <v>0</v>
      </c>
      <c r="AK196" s="71">
        <v>191</v>
      </c>
      <c r="AL196" s="33"/>
      <c r="AM196" s="33"/>
      <c r="AN196" s="33"/>
      <c r="AO196" s="33"/>
      <c r="AP196" s="33"/>
      <c r="AQ196" s="197"/>
      <c r="AR196" s="197"/>
      <c r="AS196" s="197"/>
      <c r="AT196" s="197"/>
      <c r="AU196" s="33"/>
      <c r="AV196" s="33"/>
      <c r="AW196" s="33"/>
      <c r="AX196" s="33"/>
      <c r="AY196" s="76"/>
    </row>
    <row r="197" spans="3:51">
      <c r="E197" s="24"/>
      <c r="I197" s="55">
        <v>192</v>
      </c>
      <c r="J197" s="33">
        <f t="shared" si="79"/>
        <v>0</v>
      </c>
      <c r="K197" s="33">
        <f t="shared" si="80"/>
        <v>0</v>
      </c>
      <c r="L197" s="33">
        <f t="shared" si="81"/>
        <v>0</v>
      </c>
      <c r="M197" s="33">
        <f t="shared" si="82"/>
        <v>0</v>
      </c>
      <c r="N197" s="33">
        <f t="shared" ref="N197:N204" si="91">IF(P198&lt;=$F$18,0,)</f>
        <v>0</v>
      </c>
      <c r="O197" s="34">
        <f t="shared" ref="O197:O205" si="92">((J197+K197)*0.475+L197+M197+N197)*44/12</f>
        <v>0</v>
      </c>
      <c r="P197" s="55">
        <v>192</v>
      </c>
      <c r="Q197" s="33">
        <f t="shared" si="90"/>
        <v>0</v>
      </c>
      <c r="R197" s="33">
        <f t="shared" si="83"/>
        <v>0</v>
      </c>
      <c r="S197" s="33">
        <f t="shared" si="84"/>
        <v>0</v>
      </c>
      <c r="T197" s="33">
        <f t="shared" ref="T197:T205" si="93">IF(S197=0,0,EXP(-1.0587+0.8836*LN(S197)+0.284))</f>
        <v>0</v>
      </c>
      <c r="U197" s="33">
        <f t="shared" si="78"/>
        <v>0</v>
      </c>
      <c r="V197" s="33">
        <f t="shared" ref="V197:V205" si="94">IF(P197&lt;=$F$18,IF(P197&lt;=30,P197*($F$16-$F$6)/30,$F$16-$F$6),)</f>
        <v>0</v>
      </c>
      <c r="W197" s="33">
        <v>0</v>
      </c>
      <c r="X197" s="33">
        <f t="shared" ref="X197:X205" si="95">((S197+T197)*0.475+U197+V197+W197)*44/12</f>
        <v>0</v>
      </c>
      <c r="Y197" s="38">
        <f t="shared" ref="Y197:Y205" si="96">IF(P197&lt;=$F$18,X197-O197,)</f>
        <v>0</v>
      </c>
      <c r="AA197" s="71">
        <v>192</v>
      </c>
      <c r="AB197" s="33">
        <f t="shared" ref="AB197:AB205" si="97">IF(AA197&lt;=$F$18,IFERROR(VLOOKUP($AA197,$B$82:$G$94,2,FALSE),0),)</f>
        <v>0</v>
      </c>
      <c r="AC197" s="308">
        <f t="shared" si="89"/>
        <v>0</v>
      </c>
      <c r="AD197" s="101">
        <f t="shared" ref="AD197:AD205" si="98">IF(AA197&lt;=$F$18,IFERROR(VLOOKUP($AA197,$B$82:$G$94,4,FALSE),0),)</f>
        <v>0</v>
      </c>
      <c r="AE197" s="101">
        <f t="shared" ref="AE197:AE205" si="99">IF(AA197&lt;=$F$18,IFERROR(VLOOKUP($AA197,$B$82:$G$94,5,FALSE),0),)</f>
        <v>0</v>
      </c>
      <c r="AF197" s="197">
        <f t="shared" si="85"/>
        <v>0</v>
      </c>
      <c r="AG197" s="197">
        <f t="shared" si="86"/>
        <v>0</v>
      </c>
      <c r="AH197" s="197">
        <f t="shared" si="87"/>
        <v>0</v>
      </c>
      <c r="AI197" s="202">
        <f t="shared" si="88"/>
        <v>0</v>
      </c>
      <c r="AK197" s="71">
        <v>192</v>
      </c>
      <c r="AL197" s="33"/>
      <c r="AM197" s="33"/>
      <c r="AN197" s="33"/>
      <c r="AO197" s="33"/>
      <c r="AP197" s="33"/>
      <c r="AQ197" s="197"/>
      <c r="AR197" s="197"/>
      <c r="AS197" s="197"/>
      <c r="AT197" s="197"/>
      <c r="AU197" s="33"/>
      <c r="AV197" s="33"/>
      <c r="AW197" s="33"/>
      <c r="AX197" s="33"/>
      <c r="AY197" s="76"/>
    </row>
    <row r="198" spans="3:51">
      <c r="E198" s="24"/>
      <c r="I198" s="55">
        <v>193</v>
      </c>
      <c r="J198" s="33">
        <f t="shared" si="79"/>
        <v>0</v>
      </c>
      <c r="K198" s="33">
        <f t="shared" si="80"/>
        <v>0</v>
      </c>
      <c r="L198" s="33">
        <f t="shared" si="81"/>
        <v>0</v>
      </c>
      <c r="M198" s="33">
        <f t="shared" si="82"/>
        <v>0</v>
      </c>
      <c r="N198" s="33">
        <f t="shared" si="91"/>
        <v>0</v>
      </c>
      <c r="O198" s="34">
        <f t="shared" si="92"/>
        <v>0</v>
      </c>
      <c r="P198" s="55">
        <v>193</v>
      </c>
      <c r="Q198" s="33">
        <f t="shared" ref="Q198:Q205" si="100">IF(P198&lt;=$F$18,LOOKUP(P198-1,$B$25:$B$78,$G$25:$G$78),)</f>
        <v>0</v>
      </c>
      <c r="R198" s="33">
        <f t="shared" si="83"/>
        <v>0</v>
      </c>
      <c r="S198" s="33">
        <f t="shared" si="84"/>
        <v>0</v>
      </c>
      <c r="T198" s="33">
        <f t="shared" si="93"/>
        <v>0</v>
      </c>
      <c r="U198" s="33">
        <f t="shared" ref="U198:U205" si="101">IF(P198&lt;=$F$18,$F$5+($F$15-$F$5)*(1-EXP(-0.0175*P198)),)</f>
        <v>0</v>
      </c>
      <c r="V198" s="33">
        <f t="shared" si="94"/>
        <v>0</v>
      </c>
      <c r="W198" s="33">
        <v>0</v>
      </c>
      <c r="X198" s="33">
        <f t="shared" si="95"/>
        <v>0</v>
      </c>
      <c r="Y198" s="38">
        <f t="shared" si="96"/>
        <v>0</v>
      </c>
      <c r="AA198" s="71">
        <v>193</v>
      </c>
      <c r="AB198" s="33">
        <f t="shared" si="97"/>
        <v>0</v>
      </c>
      <c r="AC198" s="308">
        <f t="shared" si="89"/>
        <v>0</v>
      </c>
      <c r="AD198" s="101">
        <f t="shared" si="98"/>
        <v>0</v>
      </c>
      <c r="AE198" s="101">
        <f t="shared" si="99"/>
        <v>0</v>
      </c>
      <c r="AF198" s="197">
        <f t="shared" si="85"/>
        <v>0</v>
      </c>
      <c r="AG198" s="197">
        <f t="shared" si="86"/>
        <v>0</v>
      </c>
      <c r="AH198" s="197">
        <f t="shared" si="87"/>
        <v>0</v>
      </c>
      <c r="AI198" s="202">
        <f t="shared" si="88"/>
        <v>0</v>
      </c>
      <c r="AK198" s="71">
        <v>193</v>
      </c>
      <c r="AL198" s="33"/>
      <c r="AM198" s="33"/>
      <c r="AN198" s="33"/>
      <c r="AO198" s="33"/>
      <c r="AP198" s="33"/>
      <c r="AQ198" s="197"/>
      <c r="AR198" s="197"/>
      <c r="AS198" s="197"/>
      <c r="AT198" s="197"/>
      <c r="AU198" s="33"/>
      <c r="AV198" s="33"/>
      <c r="AW198" s="33"/>
      <c r="AX198" s="33"/>
      <c r="AY198" s="76"/>
    </row>
    <row r="199" spans="3:51">
      <c r="E199" s="24"/>
      <c r="I199" s="55">
        <v>194</v>
      </c>
      <c r="J199" s="33">
        <f t="shared" ref="J199:J205" si="102">IF($I199&lt;=$F$10,$F$11*$F$13+J198,)</f>
        <v>0</v>
      </c>
      <c r="K199" s="33">
        <f t="shared" ref="K199:K205" si="103">IF(J199=0,0,EXP(-1.0587+0.8836*LN(J199)+0.284))</f>
        <v>0</v>
      </c>
      <c r="L199" s="33">
        <f t="shared" ref="L199:L205" si="104">IF(I199&lt;=$F$10,$F$5+($F$8-$F$5)*(1-EXP(-0.0175*I199)),)</f>
        <v>0</v>
      </c>
      <c r="M199" s="33">
        <f t="shared" ref="M199:M205" si="105">IF(I199&lt;=$F$10,IF(I199&lt;=30,I199*($F$9-$F$6)/30,$F$9-$F$6),)</f>
        <v>0</v>
      </c>
      <c r="N199" s="33">
        <f t="shared" si="91"/>
        <v>0</v>
      </c>
      <c r="O199" s="34">
        <f t="shared" si="92"/>
        <v>0</v>
      </c>
      <c r="P199" s="55">
        <v>194</v>
      </c>
      <c r="Q199" s="33">
        <f t="shared" si="100"/>
        <v>0</v>
      </c>
      <c r="R199" s="33">
        <f t="shared" ref="R199:R205" si="106">IF(P199&lt;=$F$18,Q199+R198,)</f>
        <v>0</v>
      </c>
      <c r="S199" s="33">
        <f t="shared" ref="S199:S205" si="107">$F$19*R199</f>
        <v>0</v>
      </c>
      <c r="T199" s="33">
        <f t="shared" si="93"/>
        <v>0</v>
      </c>
      <c r="U199" s="33">
        <f t="shared" si="101"/>
        <v>0</v>
      </c>
      <c r="V199" s="33">
        <f t="shared" si="94"/>
        <v>0</v>
      </c>
      <c r="W199" s="33">
        <v>0</v>
      </c>
      <c r="X199" s="33">
        <f t="shared" si="95"/>
        <v>0</v>
      </c>
      <c r="Y199" s="38">
        <f t="shared" si="96"/>
        <v>0</v>
      </c>
      <c r="AA199" s="71">
        <v>194</v>
      </c>
      <c r="AB199" s="33">
        <f t="shared" si="97"/>
        <v>0</v>
      </c>
      <c r="AC199" s="308">
        <f t="shared" si="89"/>
        <v>0</v>
      </c>
      <c r="AD199" s="101">
        <f t="shared" si="98"/>
        <v>0</v>
      </c>
      <c r="AE199" s="101">
        <f t="shared" si="99"/>
        <v>0</v>
      </c>
      <c r="AF199" s="197">
        <f t="shared" si="85"/>
        <v>0</v>
      </c>
      <c r="AG199" s="197">
        <f t="shared" si="86"/>
        <v>0</v>
      </c>
      <c r="AH199" s="197">
        <f t="shared" si="87"/>
        <v>0</v>
      </c>
      <c r="AI199" s="202">
        <f t="shared" si="88"/>
        <v>0</v>
      </c>
      <c r="AK199" s="71">
        <v>194</v>
      </c>
      <c r="AL199" s="33"/>
      <c r="AM199" s="33"/>
      <c r="AN199" s="33"/>
      <c r="AO199" s="33"/>
      <c r="AP199" s="33"/>
      <c r="AQ199" s="197"/>
      <c r="AR199" s="197"/>
      <c r="AS199" s="197"/>
      <c r="AT199" s="197"/>
      <c r="AU199" s="33"/>
      <c r="AV199" s="33"/>
      <c r="AW199" s="33"/>
      <c r="AX199" s="33"/>
      <c r="AY199" s="76"/>
    </row>
    <row r="200" spans="3:51">
      <c r="E200" s="24"/>
      <c r="I200" s="55">
        <v>195</v>
      </c>
      <c r="J200" s="33">
        <f t="shared" si="102"/>
        <v>0</v>
      </c>
      <c r="K200" s="33">
        <f t="shared" si="103"/>
        <v>0</v>
      </c>
      <c r="L200" s="33">
        <f t="shared" si="104"/>
        <v>0</v>
      </c>
      <c r="M200" s="33">
        <f t="shared" si="105"/>
        <v>0</v>
      </c>
      <c r="N200" s="33">
        <f t="shared" si="91"/>
        <v>0</v>
      </c>
      <c r="O200" s="34">
        <f t="shared" si="92"/>
        <v>0</v>
      </c>
      <c r="P200" s="55">
        <v>195</v>
      </c>
      <c r="Q200" s="33">
        <f t="shared" si="100"/>
        <v>0</v>
      </c>
      <c r="R200" s="33">
        <f t="shared" si="106"/>
        <v>0</v>
      </c>
      <c r="S200" s="33">
        <f t="shared" si="107"/>
        <v>0</v>
      </c>
      <c r="T200" s="33">
        <f t="shared" si="93"/>
        <v>0</v>
      </c>
      <c r="U200" s="33">
        <f t="shared" si="101"/>
        <v>0</v>
      </c>
      <c r="V200" s="33">
        <f t="shared" si="94"/>
        <v>0</v>
      </c>
      <c r="W200" s="33">
        <v>0</v>
      </c>
      <c r="X200" s="33">
        <f t="shared" si="95"/>
        <v>0</v>
      </c>
      <c r="Y200" s="38">
        <f t="shared" si="96"/>
        <v>0</v>
      </c>
      <c r="AA200" s="71">
        <v>195</v>
      </c>
      <c r="AB200" s="33">
        <f t="shared" si="97"/>
        <v>0</v>
      </c>
      <c r="AC200" s="308">
        <f t="shared" si="89"/>
        <v>0</v>
      </c>
      <c r="AD200" s="101">
        <f t="shared" si="98"/>
        <v>0</v>
      </c>
      <c r="AE200" s="101">
        <f t="shared" si="99"/>
        <v>0</v>
      </c>
      <c r="AF200" s="197">
        <f t="shared" si="85"/>
        <v>0</v>
      </c>
      <c r="AG200" s="197">
        <f t="shared" si="86"/>
        <v>0</v>
      </c>
      <c r="AH200" s="197">
        <f t="shared" si="87"/>
        <v>0</v>
      </c>
      <c r="AI200" s="202">
        <f t="shared" si="88"/>
        <v>0</v>
      </c>
      <c r="AK200" s="71">
        <v>195</v>
      </c>
      <c r="AL200" s="33"/>
      <c r="AM200" s="33"/>
      <c r="AN200" s="33"/>
      <c r="AO200" s="33"/>
      <c r="AP200" s="33"/>
      <c r="AQ200" s="197"/>
      <c r="AR200" s="197"/>
      <c r="AS200" s="197"/>
      <c r="AT200" s="197"/>
      <c r="AU200" s="33"/>
      <c r="AV200" s="33"/>
      <c r="AW200" s="33"/>
      <c r="AX200" s="33"/>
      <c r="AY200" s="76"/>
    </row>
    <row r="201" spans="3:51">
      <c r="E201" s="24"/>
      <c r="I201" s="55">
        <v>196</v>
      </c>
      <c r="J201" s="33">
        <f t="shared" si="102"/>
        <v>0</v>
      </c>
      <c r="K201" s="33">
        <f t="shared" si="103"/>
        <v>0</v>
      </c>
      <c r="L201" s="33">
        <f t="shared" si="104"/>
        <v>0</v>
      </c>
      <c r="M201" s="33">
        <f t="shared" si="105"/>
        <v>0</v>
      </c>
      <c r="N201" s="33">
        <f t="shared" si="91"/>
        <v>0</v>
      </c>
      <c r="O201" s="34">
        <f t="shared" si="92"/>
        <v>0</v>
      </c>
      <c r="P201" s="55">
        <v>196</v>
      </c>
      <c r="Q201" s="33">
        <f t="shared" si="100"/>
        <v>0</v>
      </c>
      <c r="R201" s="33">
        <f t="shared" si="106"/>
        <v>0</v>
      </c>
      <c r="S201" s="33">
        <f t="shared" si="107"/>
        <v>0</v>
      </c>
      <c r="T201" s="33">
        <f t="shared" si="93"/>
        <v>0</v>
      </c>
      <c r="U201" s="33">
        <f t="shared" si="101"/>
        <v>0</v>
      </c>
      <c r="V201" s="33">
        <f t="shared" si="94"/>
        <v>0</v>
      </c>
      <c r="W201" s="33">
        <v>0</v>
      </c>
      <c r="X201" s="33">
        <f t="shared" si="95"/>
        <v>0</v>
      </c>
      <c r="Y201" s="38">
        <f t="shared" si="96"/>
        <v>0</v>
      </c>
      <c r="AA201" s="71">
        <v>196</v>
      </c>
      <c r="AB201" s="33">
        <f t="shared" si="97"/>
        <v>0</v>
      </c>
      <c r="AC201" s="308">
        <f t="shared" si="89"/>
        <v>0</v>
      </c>
      <c r="AD201" s="101">
        <f t="shared" si="98"/>
        <v>0</v>
      </c>
      <c r="AE201" s="101">
        <f t="shared" si="99"/>
        <v>0</v>
      </c>
      <c r="AF201" s="197">
        <f t="shared" si="85"/>
        <v>0</v>
      </c>
      <c r="AG201" s="197">
        <f t="shared" si="86"/>
        <v>0</v>
      </c>
      <c r="AH201" s="197">
        <f t="shared" si="87"/>
        <v>0</v>
      </c>
      <c r="AI201" s="202">
        <f t="shared" si="88"/>
        <v>0</v>
      </c>
      <c r="AK201" s="71">
        <v>196</v>
      </c>
      <c r="AL201" s="33"/>
      <c r="AM201" s="33"/>
      <c r="AN201" s="33"/>
      <c r="AO201" s="33"/>
      <c r="AP201" s="33"/>
      <c r="AQ201" s="197"/>
      <c r="AR201" s="197"/>
      <c r="AS201" s="197"/>
      <c r="AT201" s="197"/>
      <c r="AU201" s="33"/>
      <c r="AV201" s="33"/>
      <c r="AW201" s="33"/>
      <c r="AX201" s="33"/>
      <c r="AY201" s="76"/>
    </row>
    <row r="202" spans="3:51">
      <c r="E202" s="24"/>
      <c r="I202" s="55">
        <v>197</v>
      </c>
      <c r="J202" s="33">
        <f t="shared" si="102"/>
        <v>0</v>
      </c>
      <c r="K202" s="33">
        <f t="shared" si="103"/>
        <v>0</v>
      </c>
      <c r="L202" s="33">
        <f t="shared" si="104"/>
        <v>0</v>
      </c>
      <c r="M202" s="33">
        <f t="shared" si="105"/>
        <v>0</v>
      </c>
      <c r="N202" s="33">
        <f t="shared" si="91"/>
        <v>0</v>
      </c>
      <c r="O202" s="34">
        <f t="shared" si="92"/>
        <v>0</v>
      </c>
      <c r="P202" s="55">
        <v>197</v>
      </c>
      <c r="Q202" s="33">
        <f t="shared" si="100"/>
        <v>0</v>
      </c>
      <c r="R202" s="33">
        <f t="shared" si="106"/>
        <v>0</v>
      </c>
      <c r="S202" s="33">
        <f t="shared" si="107"/>
        <v>0</v>
      </c>
      <c r="T202" s="33">
        <f t="shared" si="93"/>
        <v>0</v>
      </c>
      <c r="U202" s="33">
        <f t="shared" si="101"/>
        <v>0</v>
      </c>
      <c r="V202" s="33">
        <f t="shared" si="94"/>
        <v>0</v>
      </c>
      <c r="W202" s="33">
        <v>0</v>
      </c>
      <c r="X202" s="33">
        <f t="shared" si="95"/>
        <v>0</v>
      </c>
      <c r="Y202" s="38">
        <f t="shared" si="96"/>
        <v>0</v>
      </c>
      <c r="AA202" s="71">
        <v>197</v>
      </c>
      <c r="AB202" s="33">
        <f t="shared" si="97"/>
        <v>0</v>
      </c>
      <c r="AC202" s="308">
        <f t="shared" si="89"/>
        <v>0</v>
      </c>
      <c r="AD202" s="101">
        <f t="shared" si="98"/>
        <v>0</v>
      </c>
      <c r="AE202" s="101">
        <f t="shared" si="99"/>
        <v>0</v>
      </c>
      <c r="AF202" s="197">
        <f t="shared" si="85"/>
        <v>0</v>
      </c>
      <c r="AG202" s="197">
        <f t="shared" si="86"/>
        <v>0</v>
      </c>
      <c r="AH202" s="197">
        <f t="shared" si="87"/>
        <v>0</v>
      </c>
      <c r="AI202" s="202">
        <f t="shared" si="88"/>
        <v>0</v>
      </c>
      <c r="AK202" s="71">
        <v>197</v>
      </c>
      <c r="AL202" s="33"/>
      <c r="AM202" s="33"/>
      <c r="AN202" s="33"/>
      <c r="AO202" s="33"/>
      <c r="AP202" s="33"/>
      <c r="AQ202" s="197"/>
      <c r="AR202" s="197"/>
      <c r="AS202" s="197"/>
      <c r="AT202" s="197"/>
      <c r="AU202" s="33"/>
      <c r="AV202" s="33"/>
      <c r="AW202" s="33"/>
      <c r="AX202" s="33"/>
      <c r="AY202" s="76"/>
    </row>
    <row r="203" spans="3:51">
      <c r="E203" s="24"/>
      <c r="I203" s="55">
        <v>198</v>
      </c>
      <c r="J203" s="33">
        <f t="shared" si="102"/>
        <v>0</v>
      </c>
      <c r="K203" s="33">
        <f t="shared" si="103"/>
        <v>0</v>
      </c>
      <c r="L203" s="33">
        <f t="shared" si="104"/>
        <v>0</v>
      </c>
      <c r="M203" s="33">
        <f t="shared" si="105"/>
        <v>0</v>
      </c>
      <c r="N203" s="33">
        <f t="shared" si="91"/>
        <v>0</v>
      </c>
      <c r="O203" s="34">
        <f t="shared" si="92"/>
        <v>0</v>
      </c>
      <c r="P203" s="55">
        <v>198</v>
      </c>
      <c r="Q203" s="33">
        <f t="shared" si="100"/>
        <v>0</v>
      </c>
      <c r="R203" s="33">
        <f t="shared" si="106"/>
        <v>0</v>
      </c>
      <c r="S203" s="33">
        <f t="shared" si="107"/>
        <v>0</v>
      </c>
      <c r="T203" s="33">
        <f t="shared" si="93"/>
        <v>0</v>
      </c>
      <c r="U203" s="33">
        <f t="shared" si="101"/>
        <v>0</v>
      </c>
      <c r="V203" s="33">
        <f t="shared" si="94"/>
        <v>0</v>
      </c>
      <c r="W203" s="33">
        <v>0</v>
      </c>
      <c r="X203" s="33">
        <f t="shared" si="95"/>
        <v>0</v>
      </c>
      <c r="Y203" s="38">
        <f t="shared" si="96"/>
        <v>0</v>
      </c>
      <c r="AA203" s="71">
        <v>198</v>
      </c>
      <c r="AB203" s="33">
        <f t="shared" si="97"/>
        <v>0</v>
      </c>
      <c r="AC203" s="308">
        <f t="shared" si="89"/>
        <v>0</v>
      </c>
      <c r="AD203" s="101">
        <f t="shared" si="98"/>
        <v>0</v>
      </c>
      <c r="AE203" s="101">
        <f t="shared" si="99"/>
        <v>0</v>
      </c>
      <c r="AF203" s="197">
        <f t="shared" si="85"/>
        <v>0</v>
      </c>
      <c r="AG203" s="197">
        <f t="shared" si="86"/>
        <v>0</v>
      </c>
      <c r="AH203" s="197">
        <f t="shared" si="87"/>
        <v>0</v>
      </c>
      <c r="AI203" s="202">
        <f t="shared" si="88"/>
        <v>0</v>
      </c>
      <c r="AK203" s="71">
        <v>198</v>
      </c>
      <c r="AL203" s="33"/>
      <c r="AM203" s="33"/>
      <c r="AN203" s="33"/>
      <c r="AO203" s="33"/>
      <c r="AP203" s="33"/>
      <c r="AQ203" s="197"/>
      <c r="AR203" s="197"/>
      <c r="AS203" s="197"/>
      <c r="AT203" s="197"/>
      <c r="AU203" s="33"/>
      <c r="AV203" s="33"/>
      <c r="AW203" s="33"/>
      <c r="AX203" s="33"/>
      <c r="AY203" s="76"/>
    </row>
    <row r="204" spans="3:51">
      <c r="E204" s="24"/>
      <c r="I204" s="55">
        <v>199</v>
      </c>
      <c r="J204" s="33">
        <f t="shared" si="102"/>
        <v>0</v>
      </c>
      <c r="K204" s="33">
        <f t="shared" si="103"/>
        <v>0</v>
      </c>
      <c r="L204" s="33">
        <f t="shared" si="104"/>
        <v>0</v>
      </c>
      <c r="M204" s="33">
        <f t="shared" si="105"/>
        <v>0</v>
      </c>
      <c r="N204" s="33">
        <f t="shared" si="91"/>
        <v>0</v>
      </c>
      <c r="O204" s="34">
        <f t="shared" si="92"/>
        <v>0</v>
      </c>
      <c r="P204" s="55">
        <v>199</v>
      </c>
      <c r="Q204" s="33">
        <f t="shared" si="100"/>
        <v>0</v>
      </c>
      <c r="R204" s="33">
        <f t="shared" si="106"/>
        <v>0</v>
      </c>
      <c r="S204" s="33">
        <f t="shared" si="107"/>
        <v>0</v>
      </c>
      <c r="T204" s="33">
        <f t="shared" si="93"/>
        <v>0</v>
      </c>
      <c r="U204" s="33">
        <f t="shared" si="101"/>
        <v>0</v>
      </c>
      <c r="V204" s="33">
        <f t="shared" si="94"/>
        <v>0</v>
      </c>
      <c r="W204" s="33">
        <v>0</v>
      </c>
      <c r="X204" s="33">
        <f t="shared" si="95"/>
        <v>0</v>
      </c>
      <c r="Y204" s="38">
        <f t="shared" si="96"/>
        <v>0</v>
      </c>
      <c r="AA204" s="71">
        <v>199</v>
      </c>
      <c r="AB204" s="33">
        <f t="shared" si="97"/>
        <v>0</v>
      </c>
      <c r="AC204" s="308">
        <f t="shared" si="89"/>
        <v>0</v>
      </c>
      <c r="AD204" s="101">
        <f t="shared" si="98"/>
        <v>0</v>
      </c>
      <c r="AE204" s="101">
        <f t="shared" si="99"/>
        <v>0</v>
      </c>
      <c r="AF204" s="197">
        <f t="shared" si="85"/>
        <v>0</v>
      </c>
      <c r="AG204" s="197">
        <f t="shared" si="86"/>
        <v>0</v>
      </c>
      <c r="AH204" s="197">
        <f t="shared" si="87"/>
        <v>0</v>
      </c>
      <c r="AI204" s="202">
        <f t="shared" si="88"/>
        <v>0</v>
      </c>
      <c r="AK204" s="71">
        <v>199</v>
      </c>
      <c r="AL204" s="33"/>
      <c r="AM204" s="33"/>
      <c r="AN204" s="33"/>
      <c r="AO204" s="33"/>
      <c r="AP204" s="33"/>
      <c r="AQ204" s="197"/>
      <c r="AR204" s="197"/>
      <c r="AS204" s="197"/>
      <c r="AT204" s="197"/>
      <c r="AU204" s="33"/>
      <c r="AV204" s="33"/>
      <c r="AW204" s="33"/>
      <c r="AX204" s="33"/>
      <c r="AY204" s="76"/>
    </row>
    <row r="205" spans="3:51">
      <c r="E205" s="24"/>
      <c r="I205" s="56">
        <v>200</v>
      </c>
      <c r="J205" s="33">
        <f t="shared" si="102"/>
        <v>0</v>
      </c>
      <c r="K205" s="33">
        <f t="shared" si="103"/>
        <v>0</v>
      </c>
      <c r="L205" s="33">
        <f t="shared" si="104"/>
        <v>0</v>
      </c>
      <c r="M205" s="33">
        <f t="shared" si="105"/>
        <v>0</v>
      </c>
      <c r="N205" s="35">
        <f>IF(F208&lt;=$F$18,0,)</f>
        <v>0</v>
      </c>
      <c r="O205" s="34">
        <f t="shared" si="92"/>
        <v>0</v>
      </c>
      <c r="P205" s="56">
        <v>200</v>
      </c>
      <c r="Q205" s="35">
        <f t="shared" si="100"/>
        <v>0</v>
      </c>
      <c r="R205" s="35">
        <f t="shared" si="106"/>
        <v>0</v>
      </c>
      <c r="S205" s="35">
        <f t="shared" si="107"/>
        <v>0</v>
      </c>
      <c r="T205" s="35">
        <f t="shared" si="93"/>
        <v>0</v>
      </c>
      <c r="U205" s="35">
        <f t="shared" si="101"/>
        <v>0</v>
      </c>
      <c r="V205" s="35">
        <f t="shared" si="94"/>
        <v>0</v>
      </c>
      <c r="W205" s="35">
        <v>0</v>
      </c>
      <c r="X205" s="158">
        <f t="shared" si="95"/>
        <v>0</v>
      </c>
      <c r="Y205" s="39">
        <f t="shared" si="96"/>
        <v>0</v>
      </c>
      <c r="AA205" s="72">
        <v>200</v>
      </c>
      <c r="AB205" s="146">
        <f t="shared" si="97"/>
        <v>0</v>
      </c>
      <c r="AC205" s="308">
        <f t="shared" si="89"/>
        <v>0</v>
      </c>
      <c r="AD205" s="102">
        <f t="shared" si="98"/>
        <v>0</v>
      </c>
      <c r="AE205" s="102">
        <f t="shared" si="99"/>
        <v>0</v>
      </c>
      <c r="AF205" s="199">
        <f t="shared" si="85"/>
        <v>0</v>
      </c>
      <c r="AG205" s="199">
        <f t="shared" si="86"/>
        <v>0</v>
      </c>
      <c r="AH205" s="199">
        <f t="shared" si="87"/>
        <v>0</v>
      </c>
      <c r="AI205" s="206">
        <f t="shared" si="88"/>
        <v>0</v>
      </c>
      <c r="AK205" s="72">
        <v>200</v>
      </c>
      <c r="AL205" s="146"/>
      <c r="AM205" s="35"/>
      <c r="AN205" s="35"/>
      <c r="AO205" s="35"/>
      <c r="AP205" s="35"/>
      <c r="AQ205" s="199"/>
      <c r="AR205" s="199"/>
      <c r="AS205" s="199"/>
      <c r="AT205" s="199"/>
      <c r="AU205" s="35"/>
      <c r="AV205" s="35"/>
      <c r="AW205" s="35"/>
      <c r="AX205" s="35"/>
      <c r="AY205" s="77"/>
    </row>
    <row r="206" spans="3:51">
      <c r="E206" s="24"/>
    </row>
    <row r="207" spans="3:51">
      <c r="E207" s="24"/>
    </row>
  </sheetData>
  <mergeCells count="29">
    <mergeCell ref="P3:X3"/>
    <mergeCell ref="B80:G80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5">
    <dataValidation type="list" allowBlank="1" showInputMessage="1" showErrorMessage="1" sqref="D81:G81" xr:uid="{00000000-0002-0000-0500-000000000000}">
      <formula1>$B$104:$B$108</formula1>
    </dataValidation>
    <dataValidation type="list" allowBlank="1" showInputMessage="1" showErrorMessage="1" sqref="D8:E8 D5:E5 D15" xr:uid="{00000000-0002-0000-0500-000001000000}">
      <formula1>$B$97:$B$100</formula1>
    </dataValidation>
    <dataValidation type="list" allowBlank="1" showInputMessage="1" showErrorMessage="1" sqref="F17" xr:uid="{00000000-0002-0000-0500-000002000000}">
      <formula1>$C$130:$C$195</formula1>
    </dataValidation>
    <dataValidation type="list" allowBlank="1" showInputMessage="1" showErrorMessage="1" sqref="F12" xr:uid="{00000000-0002-0000-0500-000003000000}">
      <formula1>$C$194:$C$195</formula1>
    </dataValidation>
    <dataValidation type="list" allowBlank="1" showInputMessage="1" showErrorMessage="1" sqref="F20" xr:uid="{00000000-0002-0000-0500-000004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79998168889431442"/>
  </sheetPr>
  <dimension ref="B3:AY207"/>
  <sheetViews>
    <sheetView topLeftCell="A7" zoomScale="85" zoomScaleNormal="85" workbookViewId="0">
      <selection activeCell="F21" sqref="F21"/>
    </sheetView>
  </sheetViews>
  <sheetFormatPr baseColWidth="10" defaultRowHeight="15"/>
  <cols>
    <col min="3" max="5" width="13.6640625" customWidth="1"/>
    <col min="6" max="6" width="16.5" style="26" customWidth="1"/>
    <col min="7" max="7" width="14.5" style="24" customWidth="1"/>
    <col min="8" max="8" width="11.5" style="24"/>
    <col min="9" max="9" width="10.5" style="24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4" customWidth="1"/>
    <col min="47" max="51" width="10.5" customWidth="1"/>
    <col min="54" max="54" width="19.33203125" customWidth="1"/>
  </cols>
  <sheetData>
    <row r="3" spans="2:51" ht="16">
      <c r="I3" s="381" t="s">
        <v>172</v>
      </c>
      <c r="J3" s="382"/>
      <c r="K3" s="382"/>
      <c r="L3" s="382"/>
      <c r="M3" s="382"/>
      <c r="N3" s="382"/>
      <c r="O3" s="383"/>
      <c r="P3" s="384" t="s">
        <v>144</v>
      </c>
      <c r="Q3" s="385"/>
      <c r="R3" s="385"/>
      <c r="S3" s="385"/>
      <c r="T3" s="385"/>
      <c r="U3" s="385"/>
      <c r="V3" s="385"/>
      <c r="W3" s="385"/>
      <c r="X3" s="386"/>
      <c r="Y3" s="90"/>
      <c r="Z3" s="90"/>
      <c r="AA3" s="372" t="s">
        <v>159</v>
      </c>
      <c r="AB3" s="373"/>
      <c r="AC3" s="373"/>
      <c r="AD3" s="373"/>
      <c r="AE3" s="373"/>
      <c r="AF3" s="373"/>
      <c r="AG3" s="373"/>
      <c r="AH3" s="373"/>
      <c r="AI3" s="374"/>
      <c r="AJ3" s="90"/>
      <c r="AK3" s="372" t="s">
        <v>171</v>
      </c>
      <c r="AL3" s="373"/>
      <c r="AM3" s="373"/>
      <c r="AN3" s="373"/>
      <c r="AO3" s="373"/>
      <c r="AP3" s="373"/>
      <c r="AQ3" s="373"/>
      <c r="AR3" s="373"/>
      <c r="AS3" s="373"/>
      <c r="AT3" s="373"/>
      <c r="AU3" s="373"/>
      <c r="AV3" s="373"/>
      <c r="AW3" s="373"/>
      <c r="AX3" s="373"/>
      <c r="AY3" s="374"/>
    </row>
    <row r="4" spans="2:51" ht="45" customHeight="1">
      <c r="B4" s="376" t="s">
        <v>173</v>
      </c>
      <c r="C4" s="376"/>
      <c r="D4" s="376"/>
      <c r="E4" s="376"/>
      <c r="F4" s="376"/>
      <c r="I4" s="59" t="s">
        <v>76</v>
      </c>
      <c r="J4" s="60" t="s">
        <v>108</v>
      </c>
      <c r="K4" s="60" t="s">
        <v>109</v>
      </c>
      <c r="L4" s="60" t="s">
        <v>72</v>
      </c>
      <c r="M4" s="60" t="s">
        <v>110</v>
      </c>
      <c r="N4" s="60" t="s">
        <v>111</v>
      </c>
      <c r="O4" s="88" t="s">
        <v>113</v>
      </c>
      <c r="P4" s="59" t="s">
        <v>76</v>
      </c>
      <c r="Q4" s="61" t="s">
        <v>118</v>
      </c>
      <c r="R4" s="61" t="s">
        <v>119</v>
      </c>
      <c r="S4" s="62" t="s">
        <v>105</v>
      </c>
      <c r="T4" s="63" t="s">
        <v>104</v>
      </c>
      <c r="U4" s="60" t="s">
        <v>3</v>
      </c>
      <c r="V4" s="60" t="s">
        <v>106</v>
      </c>
      <c r="W4" s="60" t="s">
        <v>107</v>
      </c>
      <c r="X4" s="89" t="s">
        <v>112</v>
      </c>
      <c r="Y4" s="66" t="s">
        <v>120</v>
      </c>
      <c r="AA4" s="70" t="s">
        <v>76</v>
      </c>
      <c r="AB4" s="61" t="s">
        <v>146</v>
      </c>
      <c r="AC4" s="62" t="s">
        <v>147</v>
      </c>
      <c r="AD4" s="68" t="s">
        <v>148</v>
      </c>
      <c r="AE4" s="64" t="s">
        <v>149</v>
      </c>
      <c r="AF4" s="64" t="s">
        <v>150</v>
      </c>
      <c r="AG4" s="64" t="s">
        <v>151</v>
      </c>
      <c r="AH4" s="64" t="s">
        <v>152</v>
      </c>
      <c r="AI4" s="75" t="s">
        <v>153</v>
      </c>
      <c r="AK4" s="70" t="s">
        <v>76</v>
      </c>
      <c r="AL4" s="61" t="s">
        <v>146</v>
      </c>
      <c r="AM4" s="62" t="s">
        <v>147</v>
      </c>
      <c r="AN4" s="68" t="s">
        <v>148</v>
      </c>
      <c r="AO4" s="64" t="s">
        <v>149</v>
      </c>
      <c r="AP4" s="64" t="s">
        <v>161</v>
      </c>
      <c r="AQ4" s="196" t="s">
        <v>187</v>
      </c>
      <c r="AR4" s="196" t="s">
        <v>188</v>
      </c>
      <c r="AS4" s="196" t="s">
        <v>189</v>
      </c>
      <c r="AT4" s="196" t="s">
        <v>190</v>
      </c>
      <c r="AU4" s="64" t="s">
        <v>162</v>
      </c>
      <c r="AV4" s="64" t="s">
        <v>163</v>
      </c>
      <c r="AW4" s="64" t="s">
        <v>164</v>
      </c>
      <c r="AX4" s="64" t="s">
        <v>165</v>
      </c>
      <c r="AY4" s="75" t="s">
        <v>153</v>
      </c>
    </row>
    <row r="5" spans="2:51">
      <c r="B5" s="365" t="s">
        <v>133</v>
      </c>
      <c r="C5" s="91" t="s">
        <v>73</v>
      </c>
      <c r="D5" s="377" t="s">
        <v>1</v>
      </c>
      <c r="E5" s="377"/>
      <c r="F5" s="92">
        <f>IF(D5="","",VLOOKUP(D5,$B$97:$C$100,2,0))</f>
        <v>45</v>
      </c>
      <c r="I5" s="55">
        <v>0</v>
      </c>
      <c r="J5" s="33">
        <v>0</v>
      </c>
      <c r="K5" s="33">
        <v>0</v>
      </c>
      <c r="L5" s="33">
        <v>0</v>
      </c>
      <c r="M5" s="33">
        <f>IF(I5&lt;=$F$10,IF(I5&lt;=30,I5*($F$9-$F$6)/30,$F$9-$F$6),)</f>
        <v>0</v>
      </c>
      <c r="N5" s="33">
        <f t="shared" ref="N5:N68" si="0">IF(P6&lt;=$F$18,0,)</f>
        <v>0</v>
      </c>
      <c r="O5" s="34">
        <f t="shared" ref="O5:O68" si="1">((J5+K5)*0.475+L5+M5+N5)*44/12</f>
        <v>0</v>
      </c>
      <c r="P5" s="55">
        <v>0</v>
      </c>
      <c r="Q5" s="33">
        <v>0</v>
      </c>
      <c r="R5" s="33">
        <v>0</v>
      </c>
      <c r="S5" s="33">
        <f>$F$19*R5</f>
        <v>0</v>
      </c>
      <c r="T5" s="33">
        <f t="shared" ref="T5:T68" si="2">IF(S5=0,0,EXP(-1.0587+0.8836*LN(S5)+0.284))</f>
        <v>0</v>
      </c>
      <c r="U5" s="33">
        <v>0</v>
      </c>
      <c r="V5" s="33">
        <f t="shared" ref="V5:V68" si="3">IF(P5&lt;=$F$18,IF(P5&lt;=30,P5*($F$16-$F$6)/30,$F$16-$F$6),)</f>
        <v>0</v>
      </c>
      <c r="W5" s="33">
        <v>0</v>
      </c>
      <c r="X5" s="33">
        <f t="shared" ref="X5:X68" si="4">((S5+T5)*0.475+U5+V5+W5)*44/12</f>
        <v>0</v>
      </c>
      <c r="Y5" s="38">
        <f t="shared" ref="Y5:Y68" si="5">IF(P5&lt;=$F$18,X5-O5,)</f>
        <v>0</v>
      </c>
      <c r="AA5" s="71">
        <v>0</v>
      </c>
      <c r="AB5" s="33">
        <f t="shared" ref="AB5:AB68" si="6">IF(AA5&lt;=$F$18,IFERROR(VLOOKUP($AA5,$B$82:$G$94,2,FALSE),0),)</f>
        <v>0</v>
      </c>
      <c r="AC5" s="308">
        <f t="shared" ref="AC5:AC29" si="7">IF(AA5&lt;=$F$18,IFERROR(VLOOKUP($AA5,$B$82:$G$94,3,FALSE),0),)*50%</f>
        <v>0</v>
      </c>
      <c r="AD5" s="101">
        <f t="shared" ref="AD5:AD68" si="8">IF(AA5&lt;=$F$18,IFERROR(VLOOKUP($AA5,$B$82:$G$94,4,FALSE),0),)</f>
        <v>0</v>
      </c>
      <c r="AE5" s="101">
        <f t="shared" ref="AE5:AE68" si="9">IF(AA5&lt;=$F$18,IFERROR(VLOOKUP($AA5,$B$82:$G$94,5,FALSE),0),)</f>
        <v>0</v>
      </c>
      <c r="AF5" s="33">
        <v>0</v>
      </c>
      <c r="AG5" s="33">
        <v>0</v>
      </c>
      <c r="AH5" s="33">
        <v>0</v>
      </c>
      <c r="AI5" s="76">
        <f>SUM(AF5:AH5)</f>
        <v>0</v>
      </c>
      <c r="AK5" s="71">
        <v>0</v>
      </c>
      <c r="AL5" s="33">
        <f t="shared" ref="AL5:AL35" si="10">IF(AK5&lt;=$F$18,IFERROR(VLOOKUP($AA5,$B$82:$G$94,2,FALSE),0),)</f>
        <v>0</v>
      </c>
      <c r="AM5" s="33">
        <f t="shared" ref="AM5:AM35" si="11">IF(AK5&lt;=$F$18,IFERROR(VLOOKUP($AA5,$B$82:$G$94,3,FALSE),0),)</f>
        <v>0</v>
      </c>
      <c r="AN5" s="33">
        <f t="shared" ref="AN5:AN35" si="12">IF(AK5&lt;=$F$18,IFERROR(VLOOKUP($AA5,$B$82:$G$94,4,FALSE),0),)</f>
        <v>0</v>
      </c>
      <c r="AO5" s="33">
        <f t="shared" ref="AO5:AO35" si="13">IF(AK5&lt;=$F$18,IFERROR(VLOOKUP($AA5,$B$82:$G$94,5,FALSE),0),)</f>
        <v>0</v>
      </c>
      <c r="AP5" s="33">
        <f t="shared" ref="AP5:AP35" si="14">IF(AK5&lt;=$F$18,IFERROR(VLOOKUP($AA5,$B$82:$G$94,6,FALSE),0),)</f>
        <v>0</v>
      </c>
      <c r="AQ5" s="197">
        <v>0</v>
      </c>
      <c r="AR5" s="197">
        <v>0</v>
      </c>
      <c r="AS5" s="197">
        <v>0</v>
      </c>
      <c r="AT5" s="197">
        <v>0</v>
      </c>
      <c r="AU5" s="33"/>
      <c r="AV5" s="33"/>
      <c r="AW5" s="33"/>
      <c r="AX5" s="33"/>
      <c r="AY5" s="167">
        <v>0</v>
      </c>
    </row>
    <row r="6" spans="2:51">
      <c r="B6" s="366"/>
      <c r="C6" s="99" t="s">
        <v>74</v>
      </c>
      <c r="D6" s="368" t="s">
        <v>260</v>
      </c>
      <c r="E6" s="368"/>
      <c r="F6" s="100">
        <f>VLOOKUP(D5,$B$97:$D$100,3,FALSE)</f>
        <v>0</v>
      </c>
      <c r="I6" s="55">
        <v>1</v>
      </c>
      <c r="J6" s="33">
        <f>IF(D8&lt;&gt;"Cultures",IF($I6&lt;=$F$10,$F$11*$F$13+J5,),5)</f>
        <v>5</v>
      </c>
      <c r="K6" s="33">
        <f>IF(J6=0,0,EXP(-1.0587+0.8836*LN(J6)+0.284))</f>
        <v>1.910565629709926</v>
      </c>
      <c r="L6" s="33">
        <f>IF(I6&lt;=$F$10,$F$5+($F$8-$F$5)*(1-EXP(-0.0175*I6)),)</f>
        <v>45</v>
      </c>
      <c r="M6" s="33">
        <f>IF(I6&lt;=$F$10,IF(I6&lt;=30,I6*($F$9-$F$6)/30,$F$9-$F$6),)</f>
        <v>0</v>
      </c>
      <c r="N6" s="33">
        <f t="shared" si="0"/>
        <v>0</v>
      </c>
      <c r="O6" s="34">
        <f t="shared" si="1"/>
        <v>177.03590180507811</v>
      </c>
      <c r="P6" s="55">
        <v>1</v>
      </c>
      <c r="Q6" s="33">
        <f t="shared" ref="Q6:Q69" si="15">IF(P6&lt;=$F$18,LOOKUP(P6-1,$B$25:$B$78,$G$25:$G$78),)</f>
        <v>7.9733333333333336</v>
      </c>
      <c r="R6" s="33">
        <f>IF(P6&lt;=$F$18,Q6+R5,)</f>
        <v>7.9733333333333336</v>
      </c>
      <c r="S6" s="33">
        <f>$F$19*R6</f>
        <v>3.6677333333333335</v>
      </c>
      <c r="T6" s="33">
        <f t="shared" si="2"/>
        <v>1.4529608713540312</v>
      </c>
      <c r="U6" s="33">
        <f t="shared" ref="U6:U69" si="16">IF(P6&lt;=$F$18,$F$5+($F$15-$F$5)*(1-EXP(-0.0175*P6)),)</f>
        <v>45.433694108373167</v>
      </c>
      <c r="V6" s="33">
        <f t="shared" si="3"/>
        <v>0.33333333333333331</v>
      </c>
      <c r="W6" s="33">
        <v>0</v>
      </c>
      <c r="X6" s="33">
        <f t="shared" si="4"/>
        <v>176.73097635942099</v>
      </c>
      <c r="Y6" s="38">
        <f t="shared" si="5"/>
        <v>-0.3049254456571191</v>
      </c>
      <c r="AA6" s="71">
        <v>1</v>
      </c>
      <c r="AB6" s="33">
        <f t="shared" si="6"/>
        <v>0</v>
      </c>
      <c r="AC6" s="308">
        <f t="shared" si="7"/>
        <v>0</v>
      </c>
      <c r="AD6" s="101">
        <f t="shared" si="8"/>
        <v>0</v>
      </c>
      <c r="AE6" s="101">
        <f t="shared" si="9"/>
        <v>0</v>
      </c>
      <c r="AF6" s="197">
        <f>IF(OR(AA6&lt;=$F$18,AA6&lt;=30),EXP(-LN(2)/$D$104)*AF5+((1-EXP(-LN(2)/$D$104))/(LN(2)/$D$104))*$AB6*AC6*0.475*$F$19*44/12,)</f>
        <v>0</v>
      </c>
      <c r="AG6" s="197">
        <f>IF(OR(AA6&lt;=$F$18,AA6&lt;=30),EXP(-LN(2)/$D$106)*AG5+((1-EXP(-LN(2)/$D$106))/(LN(2)/$D$106))*$AB6*AD6*0.475*$F$19*44/12,)</f>
        <v>0</v>
      </c>
      <c r="AH6" s="197">
        <f>IF(OR(AA6&lt;=$F$18,AA6&lt;=30),EXP(-LN(2)/$D$105)*AH5+((1-EXP(-LN(2)/$D$105))/(LN(2)/$D$105))*$AB6*AE6*0.475*$F$19*44/12,)</f>
        <v>0</v>
      </c>
      <c r="AI6" s="202">
        <f>IF(OR(AA6&lt;=$F$18,AA6&lt;=30),SUM(AF6:AH6),)</f>
        <v>0</v>
      </c>
      <c r="AK6" s="71">
        <v>1</v>
      </c>
      <c r="AL6" s="33">
        <f t="shared" si="10"/>
        <v>0</v>
      </c>
      <c r="AM6" s="33">
        <f t="shared" si="11"/>
        <v>0</v>
      </c>
      <c r="AN6" s="33">
        <f t="shared" si="12"/>
        <v>0</v>
      </c>
      <c r="AO6" s="33">
        <f t="shared" si="13"/>
        <v>0</v>
      </c>
      <c r="AP6" s="33">
        <f t="shared" si="14"/>
        <v>0</v>
      </c>
      <c r="AQ6" s="197">
        <f t="shared" ref="AQ6:AT24" si="17">IF($AK6&lt;=$F$18,$AL6*AM6,)</f>
        <v>0</v>
      </c>
      <c r="AR6" s="197">
        <f t="shared" si="17"/>
        <v>0</v>
      </c>
      <c r="AS6" s="197">
        <f t="shared" si="17"/>
        <v>0</v>
      </c>
      <c r="AT6" s="197">
        <f t="shared" si="17"/>
        <v>0</v>
      </c>
      <c r="AU6" s="33"/>
      <c r="AV6" s="33"/>
      <c r="AW6" s="33"/>
      <c r="AX6" s="33"/>
      <c r="AY6" s="167">
        <f>IF(OR($AK6&lt;=$F$18,$AK6&lt;=30),AL6*$G$108+AY5,)</f>
        <v>0</v>
      </c>
    </row>
    <row r="7" spans="2:51">
      <c r="B7" s="365" t="s">
        <v>134</v>
      </c>
      <c r="C7" s="378"/>
      <c r="D7" s="379"/>
      <c r="E7" s="379"/>
      <c r="F7" s="380"/>
      <c r="I7" s="55">
        <v>2</v>
      </c>
      <c r="J7" s="33">
        <f t="shared" ref="J7:J70" si="18">IF($I7&lt;=$F$10,$F$11*$F$13+J6,)</f>
        <v>5</v>
      </c>
      <c r="K7" s="33">
        <f t="shared" ref="K7:K70" si="19">IF(J7=0,0,EXP(-1.0587+0.8836*LN(J7)+0.284))</f>
        <v>1.910565629709926</v>
      </c>
      <c r="L7" s="33">
        <f t="shared" ref="L7:L70" si="20">IF(I7&lt;=$F$10,$F$5+($F$8-$F$5)*(1-EXP(-0.0175*I7)),)</f>
        <v>45</v>
      </c>
      <c r="M7" s="33">
        <f t="shared" ref="M7:M70" si="21">IF(I7&lt;=$F$10,IF(I7&lt;=30,I7*($F$9-$F$6)/30,$F$9-$F$6),)</f>
        <v>0</v>
      </c>
      <c r="N7" s="33">
        <f t="shared" si="0"/>
        <v>0</v>
      </c>
      <c r="O7" s="34">
        <f t="shared" si="1"/>
        <v>177.03590180507811</v>
      </c>
      <c r="P7" s="55">
        <v>2</v>
      </c>
      <c r="Q7" s="33">
        <f t="shared" si="15"/>
        <v>7.9733333333333336</v>
      </c>
      <c r="R7" s="33">
        <f t="shared" ref="R7:R70" si="22">IF(P7&lt;=$F$18,Q7+R6,)</f>
        <v>15.946666666666667</v>
      </c>
      <c r="S7" s="33">
        <f t="shared" ref="S7:S70" si="23">$F$19*R7</f>
        <v>7.335466666666667</v>
      </c>
      <c r="T7" s="33">
        <f t="shared" si="2"/>
        <v>2.6806741285930533</v>
      </c>
      <c r="U7" s="33">
        <f t="shared" si="16"/>
        <v>45.859864593560836</v>
      </c>
      <c r="V7" s="33">
        <f t="shared" si="3"/>
        <v>0.66666666666666663</v>
      </c>
      <c r="W7" s="33">
        <v>0</v>
      </c>
      <c r="X7" s="33">
        <f t="shared" si="4"/>
        <v>188.04205983924487</v>
      </c>
      <c r="Y7" s="38">
        <f t="shared" si="5"/>
        <v>11.006158034166759</v>
      </c>
      <c r="AA7" s="71">
        <v>2</v>
      </c>
      <c r="AB7" s="33">
        <f t="shared" si="6"/>
        <v>0</v>
      </c>
      <c r="AC7" s="308">
        <f t="shared" si="7"/>
        <v>0</v>
      </c>
      <c r="AD7" s="101">
        <f t="shared" si="8"/>
        <v>0</v>
      </c>
      <c r="AE7" s="101">
        <f t="shared" si="9"/>
        <v>0</v>
      </c>
      <c r="AF7" s="197">
        <f>IF(OR(AA7&lt;=$F$18,AA7&lt;=30),EXP(-LN(2)/$D$104)*AF6+((1-EXP(-LN(2)/$D$104))/(LN(2)/$D$104))*$AB7*AC7*0.475*$F$19*44/12,)</f>
        <v>0</v>
      </c>
      <c r="AG7" s="197">
        <f>IF(OR(AA7&lt;=$F$18,AA7&lt;=30),EXP(-LN(2)/$D$106)*AG6+((1-EXP(-LN(2)/$D$106))/(LN(2)/$D$106))*$AB7*AD7*0.475*$F$19*44/12,)</f>
        <v>0</v>
      </c>
      <c r="AH7" s="197">
        <f>IF(OR(AA7&lt;=$F$18,AA7&lt;=30),EXP(-LN(2)/$D$105)*AH6+((1-EXP(-LN(2)/$D$105))/(LN(2)/$D$105))*$AB7*AE7*0.475*$F$19*44/12,)</f>
        <v>0</v>
      </c>
      <c r="AI7" s="202">
        <f>IF(OR(AA7&lt;=$F$18,AA7&lt;=30),SUM(AF7:AH7),)</f>
        <v>0</v>
      </c>
      <c r="AK7" s="71">
        <v>2</v>
      </c>
      <c r="AL7" s="33">
        <f t="shared" si="10"/>
        <v>0</v>
      </c>
      <c r="AM7" s="33">
        <f t="shared" si="11"/>
        <v>0</v>
      </c>
      <c r="AN7" s="33">
        <f t="shared" si="12"/>
        <v>0</v>
      </c>
      <c r="AO7" s="33">
        <f t="shared" si="13"/>
        <v>0</v>
      </c>
      <c r="AP7" s="33">
        <f t="shared" si="14"/>
        <v>0</v>
      </c>
      <c r="AQ7" s="197">
        <f t="shared" si="17"/>
        <v>0</v>
      </c>
      <c r="AR7" s="197">
        <f t="shared" si="17"/>
        <v>0</v>
      </c>
      <c r="AS7" s="197">
        <f t="shared" si="17"/>
        <v>0</v>
      </c>
      <c r="AT7" s="197">
        <f t="shared" si="17"/>
        <v>0</v>
      </c>
      <c r="AU7" s="33"/>
      <c r="AV7" s="33"/>
      <c r="AW7" s="33"/>
      <c r="AX7" s="33"/>
      <c r="AY7" s="167">
        <f t="shared" ref="AY7:AY35" si="24">IF(OR($AK7&lt;=$F$18,$AK7&lt;=30),AL7*$G$108+AY6,)</f>
        <v>0</v>
      </c>
    </row>
    <row r="8" spans="2:51">
      <c r="B8" s="375"/>
      <c r="C8" s="93" t="s">
        <v>73</v>
      </c>
      <c r="D8" s="371" t="s">
        <v>1</v>
      </c>
      <c r="E8" s="371"/>
      <c r="F8" s="94">
        <f>IF(D8="","",VLOOKUP(D8,$B$97:$C$100,2,0))</f>
        <v>45</v>
      </c>
      <c r="I8" s="55">
        <v>3</v>
      </c>
      <c r="J8" s="33">
        <f t="shared" si="18"/>
        <v>5</v>
      </c>
      <c r="K8" s="33">
        <f t="shared" si="19"/>
        <v>1.910565629709926</v>
      </c>
      <c r="L8" s="33">
        <f t="shared" si="20"/>
        <v>45</v>
      </c>
      <c r="M8" s="33">
        <f t="shared" si="21"/>
        <v>0</v>
      </c>
      <c r="N8" s="33">
        <f t="shared" si="0"/>
        <v>0</v>
      </c>
      <c r="O8" s="34">
        <f t="shared" si="1"/>
        <v>177.03590180507811</v>
      </c>
      <c r="P8" s="55">
        <v>3</v>
      </c>
      <c r="Q8" s="33">
        <f t="shared" si="15"/>
        <v>7.9733333333333336</v>
      </c>
      <c r="R8" s="33">
        <f t="shared" si="22"/>
        <v>23.92</v>
      </c>
      <c r="S8" s="33">
        <f t="shared" si="23"/>
        <v>11.003200000000001</v>
      </c>
      <c r="T8" s="33">
        <f t="shared" si="2"/>
        <v>3.8356437131958532</v>
      </c>
      <c r="U8" s="33">
        <f t="shared" si="16"/>
        <v>46.278641973604969</v>
      </c>
      <c r="V8" s="33">
        <f t="shared" si="3"/>
        <v>1</v>
      </c>
      <c r="W8" s="33">
        <v>0</v>
      </c>
      <c r="X8" s="33">
        <f t="shared" si="4"/>
        <v>199.19934003703432</v>
      </c>
      <c r="Y8" s="38">
        <f t="shared" si="5"/>
        <v>22.163438231956206</v>
      </c>
      <c r="AA8" s="71">
        <v>3</v>
      </c>
      <c r="AB8" s="33">
        <f t="shared" si="6"/>
        <v>0</v>
      </c>
      <c r="AC8" s="308">
        <f t="shared" si="7"/>
        <v>0</v>
      </c>
      <c r="AD8" s="101">
        <f t="shared" si="8"/>
        <v>0</v>
      </c>
      <c r="AE8" s="101">
        <f t="shared" si="9"/>
        <v>0</v>
      </c>
      <c r="AF8" s="197">
        <f>IF(OR(AA8&lt;=$F$18,AA8&lt;=30),EXP(-LN(2)/$D$104)*AF7+((1-EXP(-LN(2)/$D$104))/(LN(2)/$D$104))*$AB8*AC8*0.475*$F$19*44/12,)</f>
        <v>0</v>
      </c>
      <c r="AG8" s="197">
        <f>IF(OR(AA8&lt;=$F$18,AA8&lt;=30),EXP(-LN(2)/$D$106)*AG7+((1-EXP(-LN(2)/$D$106))/(LN(2)/$D$106))*$AB8*AD8*0.475*$F$19*44/12,)</f>
        <v>0</v>
      </c>
      <c r="AH8" s="197">
        <f>IF(OR(AA8&lt;=$F$18,AA8&lt;=30),EXP(-LN(2)/$D$105)*AH7+((1-EXP(-LN(2)/$D$105))/(LN(2)/$D$105))*$AB8*AE8*0.475*$F$19*44/12,)</f>
        <v>0</v>
      </c>
      <c r="AI8" s="202">
        <f>IF(OR(AA8&lt;=$F$18,AA8&lt;=30),SUM(AF8:AH8),)</f>
        <v>0</v>
      </c>
      <c r="AK8" s="71">
        <v>3</v>
      </c>
      <c r="AL8" s="33">
        <f t="shared" si="10"/>
        <v>0</v>
      </c>
      <c r="AM8" s="33">
        <f t="shared" si="11"/>
        <v>0</v>
      </c>
      <c r="AN8" s="33">
        <f t="shared" si="12"/>
        <v>0</v>
      </c>
      <c r="AO8" s="33">
        <f t="shared" si="13"/>
        <v>0</v>
      </c>
      <c r="AP8" s="33">
        <f t="shared" si="14"/>
        <v>0</v>
      </c>
      <c r="AQ8" s="197">
        <f t="shared" si="17"/>
        <v>0</v>
      </c>
      <c r="AR8" s="197">
        <f t="shared" si="17"/>
        <v>0</v>
      </c>
      <c r="AS8" s="197">
        <f t="shared" si="17"/>
        <v>0</v>
      </c>
      <c r="AT8" s="197">
        <f t="shared" si="17"/>
        <v>0</v>
      </c>
      <c r="AU8" s="33"/>
      <c r="AV8" s="33"/>
      <c r="AW8" s="33"/>
      <c r="AX8" s="33"/>
      <c r="AY8" s="167">
        <f t="shared" si="24"/>
        <v>0</v>
      </c>
    </row>
    <row r="9" spans="2:51">
      <c r="B9" s="375"/>
      <c r="C9" s="93" t="s">
        <v>74</v>
      </c>
      <c r="D9" s="367" t="str">
        <f>IF(D8=$B$100,"totale","néant")</f>
        <v>néant</v>
      </c>
      <c r="E9" s="367"/>
      <c r="F9" s="94">
        <f>IF(D8=B100,10,VLOOKUP(D8,$B$97:$D$100,3,FALSE))</f>
        <v>0</v>
      </c>
      <c r="I9" s="55">
        <v>4</v>
      </c>
      <c r="J9" s="33">
        <f t="shared" si="18"/>
        <v>5</v>
      </c>
      <c r="K9" s="33">
        <f t="shared" si="19"/>
        <v>1.910565629709926</v>
      </c>
      <c r="L9" s="33">
        <f t="shared" si="20"/>
        <v>45</v>
      </c>
      <c r="M9" s="33">
        <f t="shared" si="21"/>
        <v>0</v>
      </c>
      <c r="N9" s="33">
        <f t="shared" si="0"/>
        <v>0</v>
      </c>
      <c r="O9" s="34">
        <f t="shared" si="1"/>
        <v>177.03590180507811</v>
      </c>
      <c r="P9" s="55">
        <v>4</v>
      </c>
      <c r="Q9" s="33">
        <f t="shared" si="15"/>
        <v>7.9733333333333336</v>
      </c>
      <c r="R9" s="33">
        <f t="shared" si="22"/>
        <v>31.893333333333334</v>
      </c>
      <c r="S9" s="33">
        <f t="shared" si="23"/>
        <v>14.670933333333334</v>
      </c>
      <c r="T9" s="33">
        <f t="shared" si="2"/>
        <v>4.9457724054271299</v>
      </c>
      <c r="U9" s="33">
        <f t="shared" si="16"/>
        <v>46.690154502351291</v>
      </c>
      <c r="V9" s="33">
        <f t="shared" si="3"/>
        <v>1.3333333333333333</v>
      </c>
      <c r="W9" s="33">
        <v>0</v>
      </c>
      <c r="X9" s="33">
        <f t="shared" si="4"/>
        <v>210.25188455918476</v>
      </c>
      <c r="Y9" s="38">
        <f t="shared" si="5"/>
        <v>33.215982754106648</v>
      </c>
      <c r="AA9" s="71">
        <v>4</v>
      </c>
      <c r="AB9" s="33">
        <f t="shared" si="6"/>
        <v>0</v>
      </c>
      <c r="AC9" s="308">
        <f t="shared" si="7"/>
        <v>0</v>
      </c>
      <c r="AD9" s="101">
        <f t="shared" si="8"/>
        <v>0</v>
      </c>
      <c r="AE9" s="101">
        <f t="shared" si="9"/>
        <v>0</v>
      </c>
      <c r="AF9" s="197">
        <f>IF(OR(AA9&lt;=$F$18,AA9&lt;=30),EXP(-LN(2)/$D$104)*AF8+((1-EXP(-LN(2)/$D$104))/(LN(2)/$D$104))*$AB9*AC9*0.475*$F$19*44/12,)</f>
        <v>0</v>
      </c>
      <c r="AG9" s="197">
        <f>IF(OR(AA9&lt;=$F$18,AA9&lt;=30),EXP(-LN(2)/$D$106)*AG8+((1-EXP(-LN(2)/$D$106))/(LN(2)/$D$106))*$AB9*AD9*0.475*$F$19*44/12,)</f>
        <v>0</v>
      </c>
      <c r="AH9" s="197">
        <f>IF(OR(AA9&lt;=$F$18,AA9&lt;=30),EXP(-LN(2)/$D$105)*AH8+((1-EXP(-LN(2)/$D$105))/(LN(2)/$D$105))*$AB9*AE9*0.475*$F$19*44/12,)</f>
        <v>0</v>
      </c>
      <c r="AI9" s="202">
        <f>IF(OR(AA9&lt;=$F$18,AA9&lt;=30),SUM(AF9:AH9),)</f>
        <v>0</v>
      </c>
      <c r="AK9" s="71">
        <v>4</v>
      </c>
      <c r="AL9" s="33">
        <f t="shared" si="10"/>
        <v>0</v>
      </c>
      <c r="AM9" s="33">
        <f t="shared" si="11"/>
        <v>0</v>
      </c>
      <c r="AN9" s="33">
        <f t="shared" si="12"/>
        <v>0</v>
      </c>
      <c r="AO9" s="33">
        <f t="shared" si="13"/>
        <v>0</v>
      </c>
      <c r="AP9" s="33">
        <f t="shared" si="14"/>
        <v>0</v>
      </c>
      <c r="AQ9" s="197">
        <f t="shared" si="17"/>
        <v>0</v>
      </c>
      <c r="AR9" s="197">
        <f t="shared" si="17"/>
        <v>0</v>
      </c>
      <c r="AS9" s="197">
        <f t="shared" si="17"/>
        <v>0</v>
      </c>
      <c r="AT9" s="197">
        <f t="shared" si="17"/>
        <v>0</v>
      </c>
      <c r="AU9" s="33"/>
      <c r="AV9" s="33"/>
      <c r="AW9" s="33"/>
      <c r="AX9" s="33"/>
      <c r="AY9" s="167">
        <f t="shared" si="24"/>
        <v>0</v>
      </c>
    </row>
    <row r="10" spans="2:51">
      <c r="B10" s="375"/>
      <c r="C10" s="369" t="s">
        <v>124</v>
      </c>
      <c r="D10" s="364" t="s">
        <v>136</v>
      </c>
      <c r="E10" s="364"/>
      <c r="F10" s="95">
        <f>F18</f>
        <v>50</v>
      </c>
      <c r="I10" s="55">
        <v>5</v>
      </c>
      <c r="J10" s="33">
        <f t="shared" si="18"/>
        <v>5</v>
      </c>
      <c r="K10" s="33">
        <f t="shared" si="19"/>
        <v>1.910565629709926</v>
      </c>
      <c r="L10" s="33">
        <f t="shared" si="20"/>
        <v>45</v>
      </c>
      <c r="M10" s="33">
        <f t="shared" si="21"/>
        <v>0</v>
      </c>
      <c r="N10" s="33">
        <f t="shared" si="0"/>
        <v>0</v>
      </c>
      <c r="O10" s="34">
        <f t="shared" si="1"/>
        <v>177.03590180507811</v>
      </c>
      <c r="P10" s="55">
        <v>5</v>
      </c>
      <c r="Q10" s="33">
        <f t="shared" si="15"/>
        <v>7.9733333333333336</v>
      </c>
      <c r="R10" s="33">
        <f t="shared" si="22"/>
        <v>39.866666666666667</v>
      </c>
      <c r="S10" s="33">
        <f t="shared" si="23"/>
        <v>18.338666666666668</v>
      </c>
      <c r="T10" s="33">
        <f t="shared" si="2"/>
        <v>6.0237066600164706</v>
      </c>
      <c r="U10" s="33">
        <f t="shared" si="16"/>
        <v>47.094528208728065</v>
      </c>
      <c r="V10" s="33">
        <f t="shared" si="3"/>
        <v>1.6666666666666667</v>
      </c>
      <c r="W10" s="33">
        <v>0</v>
      </c>
      <c r="X10" s="33">
        <f t="shared" si="4"/>
        <v>221.22218142042047</v>
      </c>
      <c r="Y10" s="38">
        <f t="shared" si="5"/>
        <v>44.186279615342357</v>
      </c>
      <c r="AA10" s="71">
        <v>5</v>
      </c>
      <c r="AB10" s="33">
        <f t="shared" si="6"/>
        <v>0</v>
      </c>
      <c r="AC10" s="308">
        <f t="shared" si="7"/>
        <v>0</v>
      </c>
      <c r="AD10" s="101">
        <f t="shared" si="8"/>
        <v>0</v>
      </c>
      <c r="AE10" s="101">
        <f t="shared" si="9"/>
        <v>0</v>
      </c>
      <c r="AF10" s="197">
        <f t="shared" ref="AF10:AF24" si="25">IF(OR(AA10&lt;=$F$18,AA10&lt;=30),EXP(-LN(2)/$D$104)*AF9+((1-EXP(-LN(2)/$D$104))/(LN(2)/$D$104))*$AB10*AC10*0.475*$F$19*44/12,)</f>
        <v>0</v>
      </c>
      <c r="AG10" s="197">
        <f t="shared" ref="AG10:AG24" si="26">IF(OR(AA10&lt;=$F$18,AA10&lt;=30),EXP(-LN(2)/$D$106)*AG9+((1-EXP(-LN(2)/$D$106))/(LN(2)/$D$106))*$AB10*AD10*0.475*$F$19*44/12,)</f>
        <v>0</v>
      </c>
      <c r="AH10" s="197">
        <f t="shared" ref="AH10:AH24" si="27">IF(OR(AA10&lt;=$F$18,AA10&lt;=30),EXP(-LN(2)/$D$105)*AH9+((1-EXP(-LN(2)/$D$105))/(LN(2)/$D$105))*$AB10*AE10*0.475*$F$19*44/12,)</f>
        <v>0</v>
      </c>
      <c r="AI10" s="202">
        <f t="shared" ref="AI10:AI24" si="28">IF(OR(AA10&lt;=$F$18,AA10&lt;=30),SUM(AF10:AH10),)</f>
        <v>0</v>
      </c>
      <c r="AK10" s="71">
        <v>5</v>
      </c>
      <c r="AL10" s="33">
        <f t="shared" si="10"/>
        <v>0</v>
      </c>
      <c r="AM10" s="33">
        <f t="shared" si="11"/>
        <v>0</v>
      </c>
      <c r="AN10" s="33">
        <f t="shared" si="12"/>
        <v>0</v>
      </c>
      <c r="AO10" s="33">
        <f t="shared" si="13"/>
        <v>0</v>
      </c>
      <c r="AP10" s="33">
        <f t="shared" si="14"/>
        <v>0</v>
      </c>
      <c r="AQ10" s="197">
        <f t="shared" si="17"/>
        <v>0</v>
      </c>
      <c r="AR10" s="197">
        <f t="shared" si="17"/>
        <v>0</v>
      </c>
      <c r="AS10" s="197">
        <f t="shared" si="17"/>
        <v>0</v>
      </c>
      <c r="AT10" s="197">
        <f t="shared" si="17"/>
        <v>0</v>
      </c>
      <c r="AU10" s="33"/>
      <c r="AV10" s="33"/>
      <c r="AW10" s="33"/>
      <c r="AX10" s="33"/>
      <c r="AY10" s="167">
        <f t="shared" si="24"/>
        <v>0</v>
      </c>
    </row>
    <row r="11" spans="2:51">
      <c r="B11" s="375"/>
      <c r="C11" s="369"/>
      <c r="D11" s="367" t="s">
        <v>139</v>
      </c>
      <c r="E11" s="367"/>
      <c r="F11" s="36">
        <f>IF(D8=$B$100,1,0)</f>
        <v>0</v>
      </c>
      <c r="I11" s="55">
        <v>6</v>
      </c>
      <c r="J11" s="33">
        <f t="shared" si="18"/>
        <v>5</v>
      </c>
      <c r="K11" s="33">
        <f t="shared" si="19"/>
        <v>1.910565629709926</v>
      </c>
      <c r="L11" s="33">
        <f t="shared" si="20"/>
        <v>45</v>
      </c>
      <c r="M11" s="33">
        <f t="shared" si="21"/>
        <v>0</v>
      </c>
      <c r="N11" s="33">
        <f t="shared" si="0"/>
        <v>0</v>
      </c>
      <c r="O11" s="34">
        <f t="shared" si="1"/>
        <v>177.03590180507811</v>
      </c>
      <c r="P11" s="55">
        <v>6</v>
      </c>
      <c r="Q11" s="33">
        <f t="shared" si="15"/>
        <v>7.9733333333333336</v>
      </c>
      <c r="R11" s="33">
        <f t="shared" si="22"/>
        <v>47.84</v>
      </c>
      <c r="S11" s="33">
        <f t="shared" si="23"/>
        <v>22.006400000000003</v>
      </c>
      <c r="T11" s="33">
        <f t="shared" si="2"/>
        <v>7.0766605427458575</v>
      </c>
      <c r="U11" s="33">
        <f t="shared" si="16"/>
        <v>47.491886935343359</v>
      </c>
      <c r="V11" s="33">
        <f t="shared" si="3"/>
        <v>2</v>
      </c>
      <c r="W11" s="33">
        <v>0</v>
      </c>
      <c r="X11" s="33">
        <f t="shared" si="4"/>
        <v>232.12324920820802</v>
      </c>
      <c r="Y11" s="38">
        <f t="shared" si="5"/>
        <v>55.087347403129911</v>
      </c>
      <c r="AA11" s="71">
        <v>6</v>
      </c>
      <c r="AB11" s="33">
        <f t="shared" si="6"/>
        <v>0</v>
      </c>
      <c r="AC11" s="308">
        <f t="shared" si="7"/>
        <v>0</v>
      </c>
      <c r="AD11" s="101">
        <f t="shared" si="8"/>
        <v>0</v>
      </c>
      <c r="AE11" s="101">
        <f t="shared" si="9"/>
        <v>0</v>
      </c>
      <c r="AF11" s="197">
        <f t="shared" si="25"/>
        <v>0</v>
      </c>
      <c r="AG11" s="197">
        <f t="shared" si="26"/>
        <v>0</v>
      </c>
      <c r="AH11" s="197">
        <f t="shared" si="27"/>
        <v>0</v>
      </c>
      <c r="AI11" s="202">
        <f t="shared" si="28"/>
        <v>0</v>
      </c>
      <c r="AK11" s="71">
        <v>6</v>
      </c>
      <c r="AL11" s="33">
        <f t="shared" si="10"/>
        <v>0</v>
      </c>
      <c r="AM11" s="33">
        <f t="shared" si="11"/>
        <v>0</v>
      </c>
      <c r="AN11" s="33">
        <f t="shared" si="12"/>
        <v>0</v>
      </c>
      <c r="AO11" s="33">
        <f t="shared" si="13"/>
        <v>0</v>
      </c>
      <c r="AP11" s="33">
        <f t="shared" si="14"/>
        <v>0</v>
      </c>
      <c r="AQ11" s="197">
        <f t="shared" si="17"/>
        <v>0</v>
      </c>
      <c r="AR11" s="197">
        <f t="shared" si="17"/>
        <v>0</v>
      </c>
      <c r="AS11" s="197">
        <f t="shared" si="17"/>
        <v>0</v>
      </c>
      <c r="AT11" s="197">
        <f t="shared" si="17"/>
        <v>0</v>
      </c>
      <c r="AU11" s="33"/>
      <c r="AV11" s="33"/>
      <c r="AW11" s="33"/>
      <c r="AX11" s="33"/>
      <c r="AY11" s="167">
        <f t="shared" si="24"/>
        <v>0</v>
      </c>
    </row>
    <row r="12" spans="2:51" ht="16">
      <c r="B12" s="375"/>
      <c r="C12" s="369"/>
      <c r="D12" s="364" t="s">
        <v>131</v>
      </c>
      <c r="E12" s="364"/>
      <c r="F12" s="96" t="s">
        <v>70</v>
      </c>
      <c r="I12" s="55">
        <v>7</v>
      </c>
      <c r="J12" s="33">
        <f t="shared" si="18"/>
        <v>5</v>
      </c>
      <c r="K12" s="33">
        <f t="shared" si="19"/>
        <v>1.910565629709926</v>
      </c>
      <c r="L12" s="33">
        <f t="shared" si="20"/>
        <v>45</v>
      </c>
      <c r="M12" s="33">
        <f t="shared" si="21"/>
        <v>0</v>
      </c>
      <c r="N12" s="33">
        <f t="shared" si="0"/>
        <v>0</v>
      </c>
      <c r="O12" s="34">
        <f t="shared" si="1"/>
        <v>177.03590180507811</v>
      </c>
      <c r="P12" s="55">
        <v>7</v>
      </c>
      <c r="Q12" s="33">
        <f t="shared" si="15"/>
        <v>7.9733333333333336</v>
      </c>
      <c r="R12" s="33">
        <f t="shared" si="22"/>
        <v>55.81333333333334</v>
      </c>
      <c r="S12" s="33">
        <f t="shared" si="23"/>
        <v>25.674133333333337</v>
      </c>
      <c r="T12" s="33">
        <f t="shared" si="2"/>
        <v>8.1092846828890224</v>
      </c>
      <c r="U12" s="33">
        <f t="shared" si="16"/>
        <v>47.882352376412911</v>
      </c>
      <c r="V12" s="33">
        <f t="shared" si="3"/>
        <v>2.3333333333333335</v>
      </c>
      <c r="W12" s="33">
        <v>0</v>
      </c>
      <c r="X12" s="33">
        <f t="shared" si="4"/>
        <v>242.96363398065682</v>
      </c>
      <c r="Y12" s="38">
        <f t="shared" si="5"/>
        <v>65.927732175578711</v>
      </c>
      <c r="AA12" s="71">
        <v>7</v>
      </c>
      <c r="AB12" s="33">
        <f t="shared" si="6"/>
        <v>0</v>
      </c>
      <c r="AC12" s="308">
        <f t="shared" si="7"/>
        <v>0</v>
      </c>
      <c r="AD12" s="101">
        <f t="shared" si="8"/>
        <v>0</v>
      </c>
      <c r="AE12" s="101">
        <f t="shared" si="9"/>
        <v>0</v>
      </c>
      <c r="AF12" s="197">
        <f t="shared" si="25"/>
        <v>0</v>
      </c>
      <c r="AG12" s="197">
        <f t="shared" si="26"/>
        <v>0</v>
      </c>
      <c r="AH12" s="197">
        <f t="shared" si="27"/>
        <v>0</v>
      </c>
      <c r="AI12" s="202">
        <f t="shared" si="28"/>
        <v>0</v>
      </c>
      <c r="AK12" s="71">
        <v>7</v>
      </c>
      <c r="AL12" s="33">
        <f t="shared" si="10"/>
        <v>0</v>
      </c>
      <c r="AM12" s="33">
        <f t="shared" si="11"/>
        <v>0</v>
      </c>
      <c r="AN12" s="33">
        <f t="shared" si="12"/>
        <v>0</v>
      </c>
      <c r="AO12" s="33">
        <f t="shared" si="13"/>
        <v>0</v>
      </c>
      <c r="AP12" s="33">
        <f t="shared" si="14"/>
        <v>0</v>
      </c>
      <c r="AQ12" s="197">
        <f t="shared" si="17"/>
        <v>0</v>
      </c>
      <c r="AR12" s="197">
        <f t="shared" si="17"/>
        <v>0</v>
      </c>
      <c r="AS12" s="197">
        <f t="shared" si="17"/>
        <v>0</v>
      </c>
      <c r="AT12" s="197">
        <f t="shared" si="17"/>
        <v>0</v>
      </c>
      <c r="AU12" s="33"/>
      <c r="AV12" s="33"/>
      <c r="AW12" s="33"/>
      <c r="AX12" s="33"/>
      <c r="AY12" s="167">
        <f t="shared" si="24"/>
        <v>0</v>
      </c>
    </row>
    <row r="13" spans="2:51">
      <c r="B13" s="366"/>
      <c r="C13" s="370"/>
      <c r="D13" s="368" t="s">
        <v>155</v>
      </c>
      <c r="E13" s="368"/>
      <c r="F13" s="37">
        <f>IF(ISBLANK(F$12),,VLOOKUP(F$12,C131:D195,2,FALSE))</f>
        <v>0.56999999999999995</v>
      </c>
      <c r="I13" s="55">
        <v>8</v>
      </c>
      <c r="J13" s="33">
        <f t="shared" si="18"/>
        <v>5</v>
      </c>
      <c r="K13" s="33">
        <f t="shared" si="19"/>
        <v>1.910565629709926</v>
      </c>
      <c r="L13" s="33">
        <f t="shared" si="20"/>
        <v>45</v>
      </c>
      <c r="M13" s="33">
        <f t="shared" si="21"/>
        <v>0</v>
      </c>
      <c r="N13" s="33">
        <f t="shared" si="0"/>
        <v>0</v>
      </c>
      <c r="O13" s="34">
        <f t="shared" si="1"/>
        <v>177.03590180507811</v>
      </c>
      <c r="P13" s="55">
        <v>8</v>
      </c>
      <c r="Q13" s="33">
        <f t="shared" si="15"/>
        <v>7.9733333333333336</v>
      </c>
      <c r="R13" s="33">
        <f t="shared" si="22"/>
        <v>63.786666666666676</v>
      </c>
      <c r="S13" s="33">
        <f t="shared" si="23"/>
        <v>29.341866666666672</v>
      </c>
      <c r="T13" s="33">
        <f t="shared" si="2"/>
        <v>9.124818427341852</v>
      </c>
      <c r="U13" s="33">
        <f t="shared" si="16"/>
        <v>48.266044115029857</v>
      </c>
      <c r="V13" s="33">
        <f t="shared" si="3"/>
        <v>2.6666666666666665</v>
      </c>
      <c r="W13" s="33">
        <v>0</v>
      </c>
      <c r="X13" s="33">
        <f t="shared" si="4"/>
        <v>253.74941607161875</v>
      </c>
      <c r="Y13" s="38">
        <f t="shared" si="5"/>
        <v>76.713514266540642</v>
      </c>
      <c r="AA13" s="71">
        <v>8</v>
      </c>
      <c r="AB13" s="33">
        <f t="shared" si="6"/>
        <v>0</v>
      </c>
      <c r="AC13" s="308">
        <f t="shared" si="7"/>
        <v>0</v>
      </c>
      <c r="AD13" s="101">
        <f t="shared" si="8"/>
        <v>0</v>
      </c>
      <c r="AE13" s="101">
        <f t="shared" si="9"/>
        <v>0</v>
      </c>
      <c r="AF13" s="197">
        <f t="shared" si="25"/>
        <v>0</v>
      </c>
      <c r="AG13" s="197">
        <f t="shared" si="26"/>
        <v>0</v>
      </c>
      <c r="AH13" s="197">
        <f t="shared" si="27"/>
        <v>0</v>
      </c>
      <c r="AI13" s="202">
        <f t="shared" si="28"/>
        <v>0</v>
      </c>
      <c r="AK13" s="71">
        <v>8</v>
      </c>
      <c r="AL13" s="33">
        <f t="shared" si="10"/>
        <v>0</v>
      </c>
      <c r="AM13" s="33">
        <f t="shared" si="11"/>
        <v>0</v>
      </c>
      <c r="AN13" s="33">
        <f t="shared" si="12"/>
        <v>0</v>
      </c>
      <c r="AO13" s="33">
        <f t="shared" si="13"/>
        <v>0</v>
      </c>
      <c r="AP13" s="33">
        <f t="shared" si="14"/>
        <v>0</v>
      </c>
      <c r="AQ13" s="197">
        <f t="shared" si="17"/>
        <v>0</v>
      </c>
      <c r="AR13" s="197">
        <f t="shared" si="17"/>
        <v>0</v>
      </c>
      <c r="AS13" s="197">
        <f t="shared" si="17"/>
        <v>0</v>
      </c>
      <c r="AT13" s="197">
        <f t="shared" si="17"/>
        <v>0</v>
      </c>
      <c r="AU13" s="33"/>
      <c r="AV13" s="33"/>
      <c r="AW13" s="33"/>
      <c r="AX13" s="33"/>
      <c r="AY13" s="167">
        <f t="shared" si="24"/>
        <v>0</v>
      </c>
    </row>
    <row r="14" spans="2:51">
      <c r="B14" s="365" t="s">
        <v>132</v>
      </c>
      <c r="C14" s="361"/>
      <c r="D14" s="362"/>
      <c r="E14" s="362"/>
      <c r="F14" s="363"/>
      <c r="I14" s="55">
        <v>9</v>
      </c>
      <c r="J14" s="33">
        <f t="shared" si="18"/>
        <v>5</v>
      </c>
      <c r="K14" s="33">
        <f t="shared" si="19"/>
        <v>1.910565629709926</v>
      </c>
      <c r="L14" s="33">
        <f t="shared" si="20"/>
        <v>45</v>
      </c>
      <c r="M14" s="33">
        <f t="shared" si="21"/>
        <v>0</v>
      </c>
      <c r="N14" s="33">
        <f t="shared" si="0"/>
        <v>0</v>
      </c>
      <c r="O14" s="34">
        <f t="shared" si="1"/>
        <v>177.03590180507811</v>
      </c>
      <c r="P14" s="55">
        <v>9</v>
      </c>
      <c r="Q14" s="33">
        <f t="shared" si="15"/>
        <v>7.9733333333333336</v>
      </c>
      <c r="R14" s="33">
        <f t="shared" si="22"/>
        <v>71.760000000000005</v>
      </c>
      <c r="S14" s="33">
        <f t="shared" si="23"/>
        <v>33.009600000000006</v>
      </c>
      <c r="T14" s="33">
        <f t="shared" si="2"/>
        <v>10.125642737280618</v>
      </c>
      <c r="U14" s="33">
        <f t="shared" si="16"/>
        <v>48.643079659788015</v>
      </c>
      <c r="V14" s="33">
        <f t="shared" si="3"/>
        <v>3</v>
      </c>
      <c r="W14" s="33">
        <v>0</v>
      </c>
      <c r="X14" s="33">
        <f t="shared" si="4"/>
        <v>264.48517318665313</v>
      </c>
      <c r="Y14" s="38">
        <f t="shared" si="5"/>
        <v>87.449271381575016</v>
      </c>
      <c r="AA14" s="71">
        <v>9</v>
      </c>
      <c r="AB14" s="33">
        <f t="shared" si="6"/>
        <v>0</v>
      </c>
      <c r="AC14" s="308">
        <f t="shared" si="7"/>
        <v>0</v>
      </c>
      <c r="AD14" s="101">
        <f t="shared" si="8"/>
        <v>0</v>
      </c>
      <c r="AE14" s="101">
        <f t="shared" si="9"/>
        <v>0</v>
      </c>
      <c r="AF14" s="197">
        <f t="shared" si="25"/>
        <v>0</v>
      </c>
      <c r="AG14" s="197">
        <f t="shared" si="26"/>
        <v>0</v>
      </c>
      <c r="AH14" s="197">
        <f t="shared" si="27"/>
        <v>0</v>
      </c>
      <c r="AI14" s="202">
        <f t="shared" si="28"/>
        <v>0</v>
      </c>
      <c r="AK14" s="71">
        <v>9</v>
      </c>
      <c r="AL14" s="33">
        <f t="shared" si="10"/>
        <v>0</v>
      </c>
      <c r="AM14" s="33">
        <f t="shared" si="11"/>
        <v>0</v>
      </c>
      <c r="AN14" s="33">
        <f t="shared" si="12"/>
        <v>0</v>
      </c>
      <c r="AO14" s="33">
        <f t="shared" si="13"/>
        <v>0</v>
      </c>
      <c r="AP14" s="33">
        <f t="shared" si="14"/>
        <v>0</v>
      </c>
      <c r="AQ14" s="197">
        <f t="shared" si="17"/>
        <v>0</v>
      </c>
      <c r="AR14" s="197">
        <f t="shared" si="17"/>
        <v>0</v>
      </c>
      <c r="AS14" s="197">
        <f t="shared" si="17"/>
        <v>0</v>
      </c>
      <c r="AT14" s="197">
        <f t="shared" si="17"/>
        <v>0</v>
      </c>
      <c r="AU14" s="33"/>
      <c r="AV14" s="33"/>
      <c r="AW14" s="33"/>
      <c r="AX14" s="33"/>
      <c r="AY14" s="167">
        <f t="shared" si="24"/>
        <v>0</v>
      </c>
    </row>
    <row r="15" spans="2:51">
      <c r="B15" s="375"/>
      <c r="C15" s="93" t="s">
        <v>73</v>
      </c>
      <c r="D15" s="371" t="s">
        <v>135</v>
      </c>
      <c r="E15" s="371"/>
      <c r="F15" s="94">
        <f>IF(D15="","",VLOOKUP(D15,$B$97:$C$100,2,0))</f>
        <v>70</v>
      </c>
      <c r="I15" s="55">
        <v>10</v>
      </c>
      <c r="J15" s="33">
        <f t="shared" si="18"/>
        <v>5</v>
      </c>
      <c r="K15" s="33">
        <f t="shared" si="19"/>
        <v>1.910565629709926</v>
      </c>
      <c r="L15" s="33">
        <f t="shared" si="20"/>
        <v>45</v>
      </c>
      <c r="M15" s="33">
        <f t="shared" si="21"/>
        <v>0</v>
      </c>
      <c r="N15" s="33">
        <f t="shared" si="0"/>
        <v>0</v>
      </c>
      <c r="O15" s="34">
        <f t="shared" si="1"/>
        <v>177.03590180507811</v>
      </c>
      <c r="P15" s="55">
        <v>10</v>
      </c>
      <c r="Q15" s="33">
        <f t="shared" si="15"/>
        <v>7.9733333333333336</v>
      </c>
      <c r="R15" s="33">
        <f t="shared" si="22"/>
        <v>79.733333333333334</v>
      </c>
      <c r="S15" s="33">
        <f t="shared" si="23"/>
        <v>36.677333333333337</v>
      </c>
      <c r="T15" s="33">
        <f t="shared" si="2"/>
        <v>11.113578431531806</v>
      </c>
      <c r="U15" s="33">
        <f t="shared" si="16"/>
        <v>49.013574480769819</v>
      </c>
      <c r="V15" s="33">
        <f t="shared" si="3"/>
        <v>3.3333333333333335</v>
      </c>
      <c r="W15" s="33">
        <v>0</v>
      </c>
      <c r="X15" s="33">
        <f t="shared" si="4"/>
        <v>275.1744999755183</v>
      </c>
      <c r="Y15" s="38">
        <f t="shared" si="5"/>
        <v>98.13859817044019</v>
      </c>
      <c r="AA15" s="71">
        <v>10</v>
      </c>
      <c r="AB15" s="33">
        <f t="shared" si="6"/>
        <v>0</v>
      </c>
      <c r="AC15" s="308">
        <f t="shared" si="7"/>
        <v>0</v>
      </c>
      <c r="AD15" s="101">
        <f t="shared" si="8"/>
        <v>0</v>
      </c>
      <c r="AE15" s="101">
        <f t="shared" si="9"/>
        <v>0</v>
      </c>
      <c r="AF15" s="197">
        <f t="shared" si="25"/>
        <v>0</v>
      </c>
      <c r="AG15" s="197">
        <f t="shared" si="26"/>
        <v>0</v>
      </c>
      <c r="AH15" s="197">
        <f t="shared" si="27"/>
        <v>0</v>
      </c>
      <c r="AI15" s="202">
        <f t="shared" si="28"/>
        <v>0</v>
      </c>
      <c r="AK15" s="71">
        <v>10</v>
      </c>
      <c r="AL15" s="33">
        <f t="shared" si="10"/>
        <v>0</v>
      </c>
      <c r="AM15" s="33">
        <f t="shared" si="11"/>
        <v>0</v>
      </c>
      <c r="AN15" s="33">
        <f t="shared" si="12"/>
        <v>0</v>
      </c>
      <c r="AO15" s="33">
        <f t="shared" si="13"/>
        <v>0</v>
      </c>
      <c r="AP15" s="33">
        <f t="shared" si="14"/>
        <v>0</v>
      </c>
      <c r="AQ15" s="197">
        <f t="shared" si="17"/>
        <v>0</v>
      </c>
      <c r="AR15" s="197">
        <f t="shared" si="17"/>
        <v>0</v>
      </c>
      <c r="AS15" s="197">
        <f t="shared" si="17"/>
        <v>0</v>
      </c>
      <c r="AT15" s="197">
        <f t="shared" si="17"/>
        <v>0</v>
      </c>
      <c r="AU15" s="33"/>
      <c r="AV15" s="33"/>
      <c r="AW15" s="33"/>
      <c r="AX15" s="33"/>
      <c r="AY15" s="167">
        <f t="shared" si="24"/>
        <v>0</v>
      </c>
    </row>
    <row r="16" spans="2:51">
      <c r="B16" s="375"/>
      <c r="C16" s="93" t="s">
        <v>74</v>
      </c>
      <c r="D16" s="367" t="s">
        <v>138</v>
      </c>
      <c r="E16" s="367"/>
      <c r="F16" s="94">
        <v>10</v>
      </c>
      <c r="I16" s="55">
        <v>11</v>
      </c>
      <c r="J16" s="33">
        <f t="shared" si="18"/>
        <v>5</v>
      </c>
      <c r="K16" s="33">
        <f t="shared" si="19"/>
        <v>1.910565629709926</v>
      </c>
      <c r="L16" s="33">
        <f t="shared" si="20"/>
        <v>45</v>
      </c>
      <c r="M16" s="33">
        <f t="shared" si="21"/>
        <v>0</v>
      </c>
      <c r="N16" s="33">
        <f t="shared" si="0"/>
        <v>0</v>
      </c>
      <c r="O16" s="34">
        <f t="shared" si="1"/>
        <v>177.03590180507811</v>
      </c>
      <c r="P16" s="55">
        <v>11</v>
      </c>
      <c r="Q16" s="33">
        <f t="shared" si="15"/>
        <v>7.9733333333333336</v>
      </c>
      <c r="R16" s="33">
        <f t="shared" si="22"/>
        <v>87.706666666666663</v>
      </c>
      <c r="S16" s="33">
        <f t="shared" si="23"/>
        <v>40.345066666666668</v>
      </c>
      <c r="T16" s="33">
        <f t="shared" si="2"/>
        <v>12.090061091972798</v>
      </c>
      <c r="U16" s="33">
        <f t="shared" si="16"/>
        <v>49.377642044909919</v>
      </c>
      <c r="V16" s="33">
        <f t="shared" si="3"/>
        <v>3.6666666666666665</v>
      </c>
      <c r="W16" s="33">
        <v>0</v>
      </c>
      <c r="X16" s="33">
        <f t="shared" si="4"/>
        <v>285.82031278874462</v>
      </c>
      <c r="Y16" s="38">
        <f t="shared" si="5"/>
        <v>108.7844109836665</v>
      </c>
      <c r="AA16" s="71">
        <v>11</v>
      </c>
      <c r="AB16" s="33">
        <f t="shared" si="6"/>
        <v>0</v>
      </c>
      <c r="AC16" s="308">
        <f t="shared" si="7"/>
        <v>0</v>
      </c>
      <c r="AD16" s="101">
        <f t="shared" si="8"/>
        <v>0</v>
      </c>
      <c r="AE16" s="101">
        <f t="shared" si="9"/>
        <v>0</v>
      </c>
      <c r="AF16" s="197">
        <f t="shared" si="25"/>
        <v>0</v>
      </c>
      <c r="AG16" s="197">
        <f t="shared" si="26"/>
        <v>0</v>
      </c>
      <c r="AH16" s="197">
        <f t="shared" si="27"/>
        <v>0</v>
      </c>
      <c r="AI16" s="202">
        <f t="shared" si="28"/>
        <v>0</v>
      </c>
      <c r="AK16" s="71">
        <v>11</v>
      </c>
      <c r="AL16" s="33">
        <f t="shared" si="10"/>
        <v>0</v>
      </c>
      <c r="AM16" s="33">
        <f t="shared" si="11"/>
        <v>0</v>
      </c>
      <c r="AN16" s="33">
        <f t="shared" si="12"/>
        <v>0</v>
      </c>
      <c r="AO16" s="33">
        <f t="shared" si="13"/>
        <v>0</v>
      </c>
      <c r="AP16" s="33">
        <f t="shared" si="14"/>
        <v>0</v>
      </c>
      <c r="AQ16" s="197">
        <f t="shared" si="17"/>
        <v>0</v>
      </c>
      <c r="AR16" s="197">
        <f t="shared" si="17"/>
        <v>0</v>
      </c>
      <c r="AS16" s="197">
        <f t="shared" si="17"/>
        <v>0</v>
      </c>
      <c r="AT16" s="197">
        <f t="shared" si="17"/>
        <v>0</v>
      </c>
      <c r="AU16" s="33"/>
      <c r="AV16" s="33"/>
      <c r="AW16" s="33"/>
      <c r="AX16" s="33"/>
      <c r="AY16" s="167">
        <f t="shared" si="24"/>
        <v>0</v>
      </c>
    </row>
    <row r="17" spans="2:51" ht="16">
      <c r="B17" s="375"/>
      <c r="C17" s="369" t="s">
        <v>124</v>
      </c>
      <c r="D17" s="364" t="s">
        <v>131</v>
      </c>
      <c r="E17" s="364"/>
      <c r="F17" s="96" t="s">
        <v>52</v>
      </c>
      <c r="I17" s="55">
        <v>12</v>
      </c>
      <c r="J17" s="33">
        <f t="shared" si="18"/>
        <v>5</v>
      </c>
      <c r="K17" s="33">
        <f t="shared" si="19"/>
        <v>1.910565629709926</v>
      </c>
      <c r="L17" s="33">
        <f t="shared" si="20"/>
        <v>45</v>
      </c>
      <c r="M17" s="33">
        <f t="shared" si="21"/>
        <v>0</v>
      </c>
      <c r="N17" s="33">
        <f t="shared" si="0"/>
        <v>0</v>
      </c>
      <c r="O17" s="34">
        <f t="shared" si="1"/>
        <v>177.03590180507811</v>
      </c>
      <c r="P17" s="55">
        <v>12</v>
      </c>
      <c r="Q17" s="33">
        <f t="shared" si="15"/>
        <v>7.9733333333333336</v>
      </c>
      <c r="R17" s="33">
        <f t="shared" si="22"/>
        <v>95.679999999999993</v>
      </c>
      <c r="S17" s="33">
        <f t="shared" si="23"/>
        <v>44.012799999999999</v>
      </c>
      <c r="T17" s="33">
        <f t="shared" si="2"/>
        <v>13.056250314638907</v>
      </c>
      <c r="U17" s="33">
        <f t="shared" si="16"/>
        <v>49.735393850745325</v>
      </c>
      <c r="V17" s="33">
        <f t="shared" si="3"/>
        <v>4</v>
      </c>
      <c r="W17" s="33">
        <v>0</v>
      </c>
      <c r="X17" s="33">
        <f t="shared" si="4"/>
        <v>296.42504008406229</v>
      </c>
      <c r="Y17" s="38">
        <f t="shared" si="5"/>
        <v>119.38913827898418</v>
      </c>
      <c r="AA17" s="71">
        <v>12</v>
      </c>
      <c r="AB17" s="33">
        <f t="shared" si="6"/>
        <v>0</v>
      </c>
      <c r="AC17" s="308">
        <f t="shared" si="7"/>
        <v>0</v>
      </c>
      <c r="AD17" s="101">
        <f t="shared" si="8"/>
        <v>0</v>
      </c>
      <c r="AE17" s="101">
        <f t="shared" si="9"/>
        <v>0</v>
      </c>
      <c r="AF17" s="197">
        <f t="shared" si="25"/>
        <v>0</v>
      </c>
      <c r="AG17" s="197">
        <f t="shared" si="26"/>
        <v>0</v>
      </c>
      <c r="AH17" s="197">
        <f t="shared" si="27"/>
        <v>0</v>
      </c>
      <c r="AI17" s="202">
        <f t="shared" si="28"/>
        <v>0</v>
      </c>
      <c r="AK17" s="71">
        <v>12</v>
      </c>
      <c r="AL17" s="33">
        <f t="shared" si="10"/>
        <v>0</v>
      </c>
      <c r="AM17" s="33">
        <f t="shared" si="11"/>
        <v>0</v>
      </c>
      <c r="AN17" s="33">
        <f t="shared" si="12"/>
        <v>0</v>
      </c>
      <c r="AO17" s="33">
        <f t="shared" si="13"/>
        <v>0</v>
      </c>
      <c r="AP17" s="33">
        <f t="shared" si="14"/>
        <v>0</v>
      </c>
      <c r="AQ17" s="197">
        <f t="shared" si="17"/>
        <v>0</v>
      </c>
      <c r="AR17" s="197">
        <f t="shared" si="17"/>
        <v>0</v>
      </c>
      <c r="AS17" s="197">
        <f t="shared" si="17"/>
        <v>0</v>
      </c>
      <c r="AT17" s="197">
        <f t="shared" si="17"/>
        <v>0</v>
      </c>
      <c r="AU17" s="33"/>
      <c r="AV17" s="33"/>
      <c r="AW17" s="33"/>
      <c r="AX17" s="33"/>
      <c r="AY17" s="167">
        <f t="shared" si="24"/>
        <v>0</v>
      </c>
    </row>
    <row r="18" spans="2:51">
      <c r="B18" s="375"/>
      <c r="C18" s="369"/>
      <c r="D18" s="364" t="s">
        <v>136</v>
      </c>
      <c r="E18" s="364"/>
      <c r="F18" s="97">
        <v>50</v>
      </c>
      <c r="I18" s="55">
        <v>13</v>
      </c>
      <c r="J18" s="33">
        <f t="shared" si="18"/>
        <v>5</v>
      </c>
      <c r="K18" s="33">
        <f t="shared" si="19"/>
        <v>1.910565629709926</v>
      </c>
      <c r="L18" s="33">
        <f t="shared" si="20"/>
        <v>45</v>
      </c>
      <c r="M18" s="33">
        <f t="shared" si="21"/>
        <v>0</v>
      </c>
      <c r="N18" s="33">
        <f t="shared" si="0"/>
        <v>0</v>
      </c>
      <c r="O18" s="34">
        <f t="shared" si="1"/>
        <v>177.03590180507811</v>
      </c>
      <c r="P18" s="55">
        <v>13</v>
      </c>
      <c r="Q18" s="33">
        <f t="shared" si="15"/>
        <v>7.9733333333333336</v>
      </c>
      <c r="R18" s="33">
        <f t="shared" si="22"/>
        <v>103.65333333333332</v>
      </c>
      <c r="S18" s="33">
        <f t="shared" si="23"/>
        <v>47.680533333333329</v>
      </c>
      <c r="T18" s="33">
        <f t="shared" si="2"/>
        <v>14.013101408716476</v>
      </c>
      <c r="U18" s="33">
        <f t="shared" si="16"/>
        <v>50.086939462562704</v>
      </c>
      <c r="V18" s="33">
        <f t="shared" si="3"/>
        <v>4.333333333333333</v>
      </c>
      <c r="W18" s="33">
        <v>0</v>
      </c>
      <c r="X18" s="33">
        <f t="shared" si="4"/>
        <v>306.99074742735553</v>
      </c>
      <c r="Y18" s="38">
        <f t="shared" si="5"/>
        <v>129.95484562227742</v>
      </c>
      <c r="AA18" s="71">
        <v>13</v>
      </c>
      <c r="AB18" s="33">
        <f t="shared" si="6"/>
        <v>0</v>
      </c>
      <c r="AC18" s="308">
        <f t="shared" si="7"/>
        <v>0</v>
      </c>
      <c r="AD18" s="101">
        <f t="shared" si="8"/>
        <v>0</v>
      </c>
      <c r="AE18" s="101">
        <f t="shared" si="9"/>
        <v>0</v>
      </c>
      <c r="AF18" s="197">
        <f t="shared" si="25"/>
        <v>0</v>
      </c>
      <c r="AG18" s="197">
        <f t="shared" si="26"/>
        <v>0</v>
      </c>
      <c r="AH18" s="197">
        <f t="shared" si="27"/>
        <v>0</v>
      </c>
      <c r="AI18" s="202">
        <f t="shared" si="28"/>
        <v>0</v>
      </c>
      <c r="AK18" s="71">
        <v>13</v>
      </c>
      <c r="AL18" s="33">
        <f t="shared" si="10"/>
        <v>0</v>
      </c>
      <c r="AM18" s="33">
        <f t="shared" si="11"/>
        <v>0</v>
      </c>
      <c r="AN18" s="33">
        <f t="shared" si="12"/>
        <v>0</v>
      </c>
      <c r="AO18" s="33">
        <f t="shared" si="13"/>
        <v>0</v>
      </c>
      <c r="AP18" s="33">
        <f t="shared" si="14"/>
        <v>0</v>
      </c>
      <c r="AQ18" s="197">
        <f t="shared" si="17"/>
        <v>0</v>
      </c>
      <c r="AR18" s="197">
        <f t="shared" si="17"/>
        <v>0</v>
      </c>
      <c r="AS18" s="197">
        <f t="shared" si="17"/>
        <v>0</v>
      </c>
      <c r="AT18" s="197">
        <f t="shared" si="17"/>
        <v>0</v>
      </c>
      <c r="AU18" s="33"/>
      <c r="AV18" s="33"/>
      <c r="AW18" s="33"/>
      <c r="AX18" s="33"/>
      <c r="AY18" s="167">
        <f t="shared" si="24"/>
        <v>0</v>
      </c>
    </row>
    <row r="19" spans="2:51">
      <c r="B19" s="375"/>
      <c r="C19" s="369"/>
      <c r="D19" s="367" t="s">
        <v>155</v>
      </c>
      <c r="E19" s="367"/>
      <c r="F19" s="36">
        <f>IF(ISBLANK(F$17),,VLOOKUP(F$17,C131:D195,2,FALSE))</f>
        <v>0.46</v>
      </c>
      <c r="I19" s="55">
        <v>14</v>
      </c>
      <c r="J19" s="33">
        <f t="shared" si="18"/>
        <v>5</v>
      </c>
      <c r="K19" s="33">
        <f t="shared" si="19"/>
        <v>1.910565629709926</v>
      </c>
      <c r="L19" s="33">
        <f t="shared" si="20"/>
        <v>45</v>
      </c>
      <c r="M19" s="33">
        <f t="shared" si="21"/>
        <v>0</v>
      </c>
      <c r="N19" s="33">
        <f t="shared" si="0"/>
        <v>0</v>
      </c>
      <c r="O19" s="34">
        <f t="shared" si="1"/>
        <v>177.03590180507811</v>
      </c>
      <c r="P19" s="55">
        <v>14</v>
      </c>
      <c r="Q19" s="33">
        <f t="shared" si="15"/>
        <v>7.9733333333333336</v>
      </c>
      <c r="R19" s="33">
        <f t="shared" si="22"/>
        <v>111.62666666666665</v>
      </c>
      <c r="S19" s="33">
        <f t="shared" si="23"/>
        <v>51.34826666666666</v>
      </c>
      <c r="T19" s="33">
        <f t="shared" si="2"/>
        <v>14.961414363869483</v>
      </c>
      <c r="U19" s="33">
        <f t="shared" si="16"/>
        <v>50.432386543953299</v>
      </c>
      <c r="V19" s="33">
        <f t="shared" si="3"/>
        <v>4.666666666666667</v>
      </c>
      <c r="W19" s="33">
        <v>0</v>
      </c>
      <c r="X19" s="33">
        <f t="shared" si="4"/>
        <v>317.51922290045701</v>
      </c>
      <c r="Y19" s="38">
        <f t="shared" si="5"/>
        <v>140.4833210953789</v>
      </c>
      <c r="AA19" s="71">
        <v>14</v>
      </c>
      <c r="AB19" s="33">
        <f t="shared" si="6"/>
        <v>0</v>
      </c>
      <c r="AC19" s="308">
        <f t="shared" si="7"/>
        <v>0</v>
      </c>
      <c r="AD19" s="101">
        <f t="shared" si="8"/>
        <v>0</v>
      </c>
      <c r="AE19" s="101">
        <f t="shared" si="9"/>
        <v>0</v>
      </c>
      <c r="AF19" s="197">
        <f t="shared" si="25"/>
        <v>0</v>
      </c>
      <c r="AG19" s="197">
        <f t="shared" si="26"/>
        <v>0</v>
      </c>
      <c r="AH19" s="197">
        <f t="shared" si="27"/>
        <v>0</v>
      </c>
      <c r="AI19" s="202">
        <f t="shared" si="28"/>
        <v>0</v>
      </c>
      <c r="AK19" s="71">
        <v>14</v>
      </c>
      <c r="AL19" s="33">
        <f t="shared" si="10"/>
        <v>0</v>
      </c>
      <c r="AM19" s="33">
        <f t="shared" si="11"/>
        <v>0</v>
      </c>
      <c r="AN19" s="33">
        <f t="shared" si="12"/>
        <v>0</v>
      </c>
      <c r="AO19" s="33">
        <f t="shared" si="13"/>
        <v>0</v>
      </c>
      <c r="AP19" s="33">
        <f t="shared" si="14"/>
        <v>0</v>
      </c>
      <c r="AQ19" s="197">
        <f t="shared" si="17"/>
        <v>0</v>
      </c>
      <c r="AR19" s="197">
        <f t="shared" si="17"/>
        <v>0</v>
      </c>
      <c r="AS19" s="197">
        <f t="shared" si="17"/>
        <v>0</v>
      </c>
      <c r="AT19" s="197">
        <f t="shared" si="17"/>
        <v>0</v>
      </c>
      <c r="AU19" s="33"/>
      <c r="AV19" s="33"/>
      <c r="AW19" s="33"/>
      <c r="AX19" s="33"/>
      <c r="AY19" s="167">
        <f t="shared" si="24"/>
        <v>0</v>
      </c>
    </row>
    <row r="20" spans="2:51">
      <c r="B20" s="375"/>
      <c r="C20" s="369"/>
      <c r="D20" s="367" t="s">
        <v>140</v>
      </c>
      <c r="E20" s="367"/>
      <c r="F20" s="98">
        <v>1.3</v>
      </c>
      <c r="I20" s="55">
        <v>15</v>
      </c>
      <c r="J20" s="33">
        <f t="shared" si="18"/>
        <v>5</v>
      </c>
      <c r="K20" s="33">
        <f t="shared" si="19"/>
        <v>1.910565629709926</v>
      </c>
      <c r="L20" s="33">
        <f t="shared" si="20"/>
        <v>45</v>
      </c>
      <c r="M20" s="33">
        <f t="shared" si="21"/>
        <v>0</v>
      </c>
      <c r="N20" s="33">
        <f t="shared" si="0"/>
        <v>0</v>
      </c>
      <c r="O20" s="34">
        <f t="shared" si="1"/>
        <v>177.03590180507811</v>
      </c>
      <c r="P20" s="55">
        <v>15</v>
      </c>
      <c r="Q20" s="33">
        <f t="shared" si="15"/>
        <v>7.9733333333333336</v>
      </c>
      <c r="R20" s="33">
        <f t="shared" si="22"/>
        <v>119.59999999999998</v>
      </c>
      <c r="S20" s="33">
        <f t="shared" si="23"/>
        <v>55.015999999999991</v>
      </c>
      <c r="T20" s="33">
        <f t="shared" si="2"/>
        <v>15.901868409640327</v>
      </c>
      <c r="U20" s="33">
        <f t="shared" si="16"/>
        <v>50.771840890785739</v>
      </c>
      <c r="V20" s="33">
        <f t="shared" si="3"/>
        <v>5</v>
      </c>
      <c r="W20" s="33">
        <v>0</v>
      </c>
      <c r="X20" s="33">
        <f t="shared" si="4"/>
        <v>328.01203741300463</v>
      </c>
      <c r="Y20" s="38">
        <f t="shared" si="5"/>
        <v>150.97613560792652</v>
      </c>
      <c r="AA20" s="71">
        <v>15</v>
      </c>
      <c r="AB20" s="33">
        <f t="shared" si="6"/>
        <v>0</v>
      </c>
      <c r="AC20" s="308">
        <f t="shared" si="7"/>
        <v>0</v>
      </c>
      <c r="AD20" s="101">
        <f t="shared" si="8"/>
        <v>0</v>
      </c>
      <c r="AE20" s="101">
        <f t="shared" si="9"/>
        <v>0</v>
      </c>
      <c r="AF20" s="197">
        <f t="shared" si="25"/>
        <v>0</v>
      </c>
      <c r="AG20" s="197">
        <f t="shared" si="26"/>
        <v>0</v>
      </c>
      <c r="AH20" s="197">
        <f t="shared" si="27"/>
        <v>0</v>
      </c>
      <c r="AI20" s="202">
        <f t="shared" si="28"/>
        <v>0</v>
      </c>
      <c r="AK20" s="71">
        <v>15</v>
      </c>
      <c r="AL20" s="33">
        <f t="shared" si="10"/>
        <v>0</v>
      </c>
      <c r="AM20" s="33">
        <f t="shared" si="11"/>
        <v>0</v>
      </c>
      <c r="AN20" s="33">
        <f t="shared" si="12"/>
        <v>0</v>
      </c>
      <c r="AO20" s="33">
        <f t="shared" si="13"/>
        <v>0</v>
      </c>
      <c r="AP20" s="33">
        <f t="shared" si="14"/>
        <v>0</v>
      </c>
      <c r="AQ20" s="197">
        <f t="shared" si="17"/>
        <v>0</v>
      </c>
      <c r="AR20" s="197">
        <f t="shared" si="17"/>
        <v>0</v>
      </c>
      <c r="AS20" s="197">
        <f t="shared" si="17"/>
        <v>0</v>
      </c>
      <c r="AT20" s="197">
        <f t="shared" si="17"/>
        <v>0</v>
      </c>
      <c r="AU20" s="33"/>
      <c r="AV20" s="33"/>
      <c r="AW20" s="33"/>
      <c r="AX20" s="33"/>
      <c r="AY20" s="167">
        <f t="shared" si="24"/>
        <v>0</v>
      </c>
    </row>
    <row r="21" spans="2:51">
      <c r="B21" s="366"/>
      <c r="C21" s="370"/>
      <c r="D21" s="368" t="s">
        <v>143</v>
      </c>
      <c r="E21" s="368"/>
      <c r="F21" s="103">
        <v>5.0536000000000003</v>
      </c>
      <c r="I21" s="55">
        <v>16</v>
      </c>
      <c r="J21" s="33">
        <f t="shared" si="18"/>
        <v>5</v>
      </c>
      <c r="K21" s="33">
        <f t="shared" si="19"/>
        <v>1.910565629709926</v>
      </c>
      <c r="L21" s="33">
        <f t="shared" si="20"/>
        <v>45</v>
      </c>
      <c r="M21" s="33">
        <f t="shared" si="21"/>
        <v>0</v>
      </c>
      <c r="N21" s="33">
        <f t="shared" si="0"/>
        <v>0</v>
      </c>
      <c r="O21" s="34">
        <f t="shared" si="1"/>
        <v>177.03590180507811</v>
      </c>
      <c r="P21" s="55">
        <v>16</v>
      </c>
      <c r="Q21" s="33">
        <f t="shared" si="15"/>
        <v>-5.2000000000000028</v>
      </c>
      <c r="R21" s="33">
        <f t="shared" si="22"/>
        <v>114.39999999999998</v>
      </c>
      <c r="S21" s="33">
        <f t="shared" si="23"/>
        <v>52.623999999999995</v>
      </c>
      <c r="T21" s="33">
        <f t="shared" si="2"/>
        <v>15.289388641788765</v>
      </c>
      <c r="U21" s="33">
        <f t="shared" si="16"/>
        <v>51.105406463606862</v>
      </c>
      <c r="V21" s="33">
        <f t="shared" si="3"/>
        <v>5.333333333333333</v>
      </c>
      <c r="W21" s="33">
        <v>0</v>
      </c>
      <c r="X21" s="33">
        <f t="shared" si="4"/>
        <v>325.2245311398961</v>
      </c>
      <c r="Y21" s="38">
        <f t="shared" si="5"/>
        <v>148.18862933481799</v>
      </c>
      <c r="AA21" s="71">
        <v>16</v>
      </c>
      <c r="AB21" s="33">
        <f t="shared" si="6"/>
        <v>4</v>
      </c>
      <c r="AC21" s="308">
        <f t="shared" si="7"/>
        <v>0</v>
      </c>
      <c r="AD21" s="101">
        <f t="shared" si="8"/>
        <v>0.56000000000000005</v>
      </c>
      <c r="AE21" s="101">
        <f t="shared" si="9"/>
        <v>0.44</v>
      </c>
      <c r="AF21" s="197">
        <f t="shared" si="25"/>
        <v>0</v>
      </c>
      <c r="AG21" s="197">
        <f t="shared" si="26"/>
        <v>1.769963052254294</v>
      </c>
      <c r="AH21" s="197">
        <f t="shared" si="27"/>
        <v>1.1916518485006549</v>
      </c>
      <c r="AI21" s="202">
        <f t="shared" si="28"/>
        <v>2.9616149007549488</v>
      </c>
      <c r="AK21" s="71">
        <v>16</v>
      </c>
      <c r="AL21" s="33">
        <f t="shared" si="10"/>
        <v>4</v>
      </c>
      <c r="AM21" s="33">
        <f t="shared" si="11"/>
        <v>0</v>
      </c>
      <c r="AN21" s="33">
        <f t="shared" si="12"/>
        <v>0.56000000000000005</v>
      </c>
      <c r="AO21" s="33">
        <f t="shared" si="13"/>
        <v>0.44</v>
      </c>
      <c r="AP21" s="33">
        <f t="shared" si="14"/>
        <v>0</v>
      </c>
      <c r="AQ21" s="197">
        <f t="shared" si="17"/>
        <v>0</v>
      </c>
      <c r="AR21" s="197">
        <f t="shared" si="17"/>
        <v>2.2400000000000002</v>
      </c>
      <c r="AS21" s="197">
        <f t="shared" si="17"/>
        <v>1.76</v>
      </c>
      <c r="AT21" s="197">
        <f t="shared" si="17"/>
        <v>0</v>
      </c>
      <c r="AU21" s="33"/>
      <c r="AV21" s="33"/>
      <c r="AW21" s="33"/>
      <c r="AX21" s="33"/>
      <c r="AY21" s="167">
        <f t="shared" si="24"/>
        <v>1.72</v>
      </c>
    </row>
    <row r="22" spans="2:51">
      <c r="E22" s="6"/>
      <c r="I22" s="55">
        <v>17</v>
      </c>
      <c r="J22" s="33">
        <f t="shared" si="18"/>
        <v>5</v>
      </c>
      <c r="K22" s="33">
        <f t="shared" si="19"/>
        <v>1.910565629709926</v>
      </c>
      <c r="L22" s="33">
        <f t="shared" si="20"/>
        <v>45</v>
      </c>
      <c r="M22" s="33">
        <f t="shared" si="21"/>
        <v>0</v>
      </c>
      <c r="N22" s="33">
        <f t="shared" si="0"/>
        <v>0</v>
      </c>
      <c r="O22" s="34">
        <f t="shared" si="1"/>
        <v>177.03590180507811</v>
      </c>
      <c r="P22" s="55">
        <v>17</v>
      </c>
      <c r="Q22" s="33">
        <f t="shared" si="15"/>
        <v>29.9</v>
      </c>
      <c r="R22" s="33">
        <f t="shared" si="22"/>
        <v>144.29999999999998</v>
      </c>
      <c r="S22" s="33">
        <f t="shared" si="23"/>
        <v>66.378</v>
      </c>
      <c r="T22" s="33">
        <f t="shared" si="2"/>
        <v>18.771224988253085</v>
      </c>
      <c r="U22" s="33">
        <f t="shared" si="16"/>
        <v>51.433185419480445</v>
      </c>
      <c r="V22" s="33">
        <f t="shared" si="3"/>
        <v>5.666666666666667</v>
      </c>
      <c r="W22" s="33">
        <v>0</v>
      </c>
      <c r="X22" s="33">
        <f t="shared" si="4"/>
        <v>357.66769117041355</v>
      </c>
      <c r="Y22" s="38">
        <f t="shared" si="5"/>
        <v>180.63178936533544</v>
      </c>
      <c r="AA22" s="71">
        <v>17</v>
      </c>
      <c r="AB22" s="33">
        <f t="shared" si="6"/>
        <v>0</v>
      </c>
      <c r="AC22" s="308">
        <f t="shared" si="7"/>
        <v>0</v>
      </c>
      <c r="AD22" s="101">
        <f t="shared" si="8"/>
        <v>0</v>
      </c>
      <c r="AE22" s="101">
        <f t="shared" si="9"/>
        <v>0</v>
      </c>
      <c r="AF22" s="197">
        <f t="shared" si="25"/>
        <v>0</v>
      </c>
      <c r="AG22" s="197">
        <f t="shared" si="26"/>
        <v>1.7215633195120887</v>
      </c>
      <c r="AH22" s="197">
        <f t="shared" si="27"/>
        <v>0.84262510288829751</v>
      </c>
      <c r="AI22" s="202">
        <f t="shared" si="28"/>
        <v>2.5641884224003864</v>
      </c>
      <c r="AK22" s="71">
        <v>17</v>
      </c>
      <c r="AL22" s="33">
        <f t="shared" si="10"/>
        <v>0</v>
      </c>
      <c r="AM22" s="33">
        <f t="shared" si="11"/>
        <v>0</v>
      </c>
      <c r="AN22" s="33">
        <f t="shared" si="12"/>
        <v>0</v>
      </c>
      <c r="AO22" s="33">
        <f t="shared" si="13"/>
        <v>0</v>
      </c>
      <c r="AP22" s="33">
        <f t="shared" si="14"/>
        <v>0</v>
      </c>
      <c r="AQ22" s="197">
        <f t="shared" si="17"/>
        <v>0</v>
      </c>
      <c r="AR22" s="197">
        <f t="shared" si="17"/>
        <v>0</v>
      </c>
      <c r="AS22" s="197">
        <f t="shared" si="17"/>
        <v>0</v>
      </c>
      <c r="AT22" s="197">
        <f t="shared" si="17"/>
        <v>0</v>
      </c>
      <c r="AU22" s="33"/>
      <c r="AV22" s="33"/>
      <c r="AW22" s="33"/>
      <c r="AX22" s="33"/>
      <c r="AY22" s="167">
        <f t="shared" si="24"/>
        <v>1.72</v>
      </c>
    </row>
    <row r="23" spans="2:51">
      <c r="B23" s="387" t="s">
        <v>142</v>
      </c>
      <c r="C23" s="388"/>
      <c r="D23" s="388"/>
      <c r="E23" s="388"/>
      <c r="F23" s="388"/>
      <c r="G23" s="389"/>
      <c r="I23" s="55">
        <v>18</v>
      </c>
      <c r="J23" s="33">
        <f t="shared" si="18"/>
        <v>5</v>
      </c>
      <c r="K23" s="33">
        <f t="shared" si="19"/>
        <v>1.910565629709926</v>
      </c>
      <c r="L23" s="33">
        <f t="shared" si="20"/>
        <v>45</v>
      </c>
      <c r="M23" s="33">
        <f t="shared" si="21"/>
        <v>0</v>
      </c>
      <c r="N23" s="33">
        <f t="shared" si="0"/>
        <v>0</v>
      </c>
      <c r="O23" s="34">
        <f t="shared" si="1"/>
        <v>177.03590180507811</v>
      </c>
      <c r="P23" s="55">
        <v>18</v>
      </c>
      <c r="Q23" s="33">
        <f t="shared" si="15"/>
        <v>29.9</v>
      </c>
      <c r="R23" s="33">
        <f t="shared" si="22"/>
        <v>174.2</v>
      </c>
      <c r="S23" s="33">
        <f t="shared" si="23"/>
        <v>80.132000000000005</v>
      </c>
      <c r="T23" s="33">
        <f t="shared" si="2"/>
        <v>22.169455717453161</v>
      </c>
      <c r="U23" s="33">
        <f t="shared" si="16"/>
        <v>51.755278143273578</v>
      </c>
      <c r="V23" s="33">
        <f t="shared" si="3"/>
        <v>6</v>
      </c>
      <c r="W23" s="33">
        <v>0</v>
      </c>
      <c r="X23" s="33">
        <f t="shared" si="4"/>
        <v>389.94438856656734</v>
      </c>
      <c r="Y23" s="38">
        <f t="shared" si="5"/>
        <v>212.90848676148923</v>
      </c>
      <c r="AA23" s="71">
        <v>18</v>
      </c>
      <c r="AB23" s="33">
        <f t="shared" si="6"/>
        <v>0</v>
      </c>
      <c r="AC23" s="308">
        <f t="shared" si="7"/>
        <v>0</v>
      </c>
      <c r="AD23" s="101">
        <f t="shared" si="8"/>
        <v>0</v>
      </c>
      <c r="AE23" s="101">
        <f t="shared" si="9"/>
        <v>0</v>
      </c>
      <c r="AF23" s="197">
        <f t="shared" si="25"/>
        <v>0</v>
      </c>
      <c r="AG23" s="197">
        <f t="shared" si="26"/>
        <v>1.6744870800069505</v>
      </c>
      <c r="AH23" s="197">
        <f t="shared" si="27"/>
        <v>0.59582592425032754</v>
      </c>
      <c r="AI23" s="202">
        <f t="shared" si="28"/>
        <v>2.2703130042572779</v>
      </c>
      <c r="AK23" s="71">
        <v>18</v>
      </c>
      <c r="AL23" s="33">
        <f t="shared" si="10"/>
        <v>0</v>
      </c>
      <c r="AM23" s="33">
        <f t="shared" si="11"/>
        <v>0</v>
      </c>
      <c r="AN23" s="33">
        <f t="shared" si="12"/>
        <v>0</v>
      </c>
      <c r="AO23" s="33">
        <f t="shared" si="13"/>
        <v>0</v>
      </c>
      <c r="AP23" s="33">
        <f t="shared" si="14"/>
        <v>0</v>
      </c>
      <c r="AQ23" s="197">
        <f t="shared" si="17"/>
        <v>0</v>
      </c>
      <c r="AR23" s="197">
        <f t="shared" si="17"/>
        <v>0</v>
      </c>
      <c r="AS23" s="197">
        <f t="shared" si="17"/>
        <v>0</v>
      </c>
      <c r="AT23" s="197">
        <f t="shared" si="17"/>
        <v>0</v>
      </c>
      <c r="AU23" s="33"/>
      <c r="AV23" s="33"/>
      <c r="AW23" s="33"/>
      <c r="AX23" s="33"/>
      <c r="AY23" s="167">
        <f t="shared" si="24"/>
        <v>1.72</v>
      </c>
    </row>
    <row r="24" spans="2:51">
      <c r="B24" s="47" t="s">
        <v>114</v>
      </c>
      <c r="C24" s="48" t="s">
        <v>115</v>
      </c>
      <c r="D24" s="48" t="s">
        <v>83</v>
      </c>
      <c r="E24" s="48" t="s">
        <v>117</v>
      </c>
      <c r="F24" s="48" t="s">
        <v>116</v>
      </c>
      <c r="G24" s="49" t="s">
        <v>141</v>
      </c>
      <c r="I24" s="55">
        <v>19</v>
      </c>
      <c r="J24" s="33">
        <f t="shared" si="18"/>
        <v>5</v>
      </c>
      <c r="K24" s="33">
        <f t="shared" si="19"/>
        <v>1.910565629709926</v>
      </c>
      <c r="L24" s="33">
        <f t="shared" si="20"/>
        <v>45</v>
      </c>
      <c r="M24" s="33">
        <f t="shared" si="21"/>
        <v>0</v>
      </c>
      <c r="N24" s="33">
        <f t="shared" si="0"/>
        <v>0</v>
      </c>
      <c r="O24" s="34">
        <f t="shared" si="1"/>
        <v>177.03590180507811</v>
      </c>
      <c r="P24" s="55">
        <v>19</v>
      </c>
      <c r="Q24" s="33">
        <f t="shared" si="15"/>
        <v>29.9</v>
      </c>
      <c r="R24" s="33">
        <f t="shared" si="22"/>
        <v>204.1</v>
      </c>
      <c r="S24" s="33">
        <f t="shared" si="23"/>
        <v>93.885999999999996</v>
      </c>
      <c r="T24" s="33">
        <f t="shared" si="2"/>
        <v>25.500116461916402</v>
      </c>
      <c r="U24" s="33">
        <f t="shared" si="16"/>
        <v>52.07178327840036</v>
      </c>
      <c r="V24" s="33">
        <f t="shared" si="3"/>
        <v>6.333333333333333</v>
      </c>
      <c r="W24" s="33">
        <v>0</v>
      </c>
      <c r="X24" s="33">
        <f t="shared" si="4"/>
        <v>422.08291374752793</v>
      </c>
      <c r="Y24" s="38">
        <f t="shared" si="5"/>
        <v>245.04701194244981</v>
      </c>
      <c r="AA24" s="71">
        <v>19</v>
      </c>
      <c r="AB24" s="33">
        <f t="shared" si="6"/>
        <v>0</v>
      </c>
      <c r="AC24" s="308">
        <f t="shared" si="7"/>
        <v>0</v>
      </c>
      <c r="AD24" s="101">
        <f t="shared" si="8"/>
        <v>0</v>
      </c>
      <c r="AE24" s="101">
        <f t="shared" si="9"/>
        <v>0</v>
      </c>
      <c r="AF24" s="197">
        <f t="shared" si="25"/>
        <v>0</v>
      </c>
      <c r="AG24" s="197">
        <f t="shared" si="26"/>
        <v>1.628698142746712</v>
      </c>
      <c r="AH24" s="197">
        <f t="shared" si="27"/>
        <v>0.42131255144414881</v>
      </c>
      <c r="AI24" s="202">
        <f t="shared" si="28"/>
        <v>2.0500106941908607</v>
      </c>
      <c r="AK24" s="71">
        <v>19</v>
      </c>
      <c r="AL24" s="33">
        <f t="shared" si="10"/>
        <v>0</v>
      </c>
      <c r="AM24" s="33">
        <f t="shared" si="11"/>
        <v>0</v>
      </c>
      <c r="AN24" s="33">
        <f t="shared" si="12"/>
        <v>0</v>
      </c>
      <c r="AO24" s="33">
        <f t="shared" si="13"/>
        <v>0</v>
      </c>
      <c r="AP24" s="33">
        <f t="shared" si="14"/>
        <v>0</v>
      </c>
      <c r="AQ24" s="197">
        <f t="shared" si="17"/>
        <v>0</v>
      </c>
      <c r="AR24" s="197">
        <f t="shared" si="17"/>
        <v>0</v>
      </c>
      <c r="AS24" s="197">
        <f t="shared" si="17"/>
        <v>0</v>
      </c>
      <c r="AT24" s="197">
        <f t="shared" si="17"/>
        <v>0</v>
      </c>
      <c r="AU24" s="33"/>
      <c r="AV24" s="33"/>
      <c r="AW24" s="33"/>
      <c r="AX24" s="33"/>
      <c r="AY24" s="167">
        <f t="shared" si="24"/>
        <v>1.72</v>
      </c>
    </row>
    <row r="25" spans="2:51">
      <c r="B25" s="45">
        <v>0</v>
      </c>
      <c r="C25" s="337">
        <v>15</v>
      </c>
      <c r="D25" s="139">
        <f>D26+4</f>
        <v>92</v>
      </c>
      <c r="E25" s="143">
        <f t="shared" ref="E25:E52" si="29">$F$20</f>
        <v>1.3</v>
      </c>
      <c r="F25" s="46">
        <f t="shared" ref="F25:F52" si="30">D25*E25</f>
        <v>119.60000000000001</v>
      </c>
      <c r="G25" s="50">
        <f>F25/(C25-B25)</f>
        <v>7.9733333333333336</v>
      </c>
      <c r="I25" s="55">
        <v>20</v>
      </c>
      <c r="J25" s="33">
        <f t="shared" si="18"/>
        <v>5</v>
      </c>
      <c r="K25" s="33">
        <f t="shared" si="19"/>
        <v>1.910565629709926</v>
      </c>
      <c r="L25" s="33">
        <f t="shared" si="20"/>
        <v>45</v>
      </c>
      <c r="M25" s="33">
        <f t="shared" si="21"/>
        <v>0</v>
      </c>
      <c r="N25" s="33">
        <f t="shared" si="0"/>
        <v>0</v>
      </c>
      <c r="O25" s="34">
        <f t="shared" si="1"/>
        <v>177.03590180507811</v>
      </c>
      <c r="P25" s="55">
        <v>20</v>
      </c>
      <c r="Q25" s="33">
        <f t="shared" si="15"/>
        <v>29.9</v>
      </c>
      <c r="R25" s="33">
        <f t="shared" si="22"/>
        <v>234</v>
      </c>
      <c r="S25" s="33">
        <f t="shared" si="23"/>
        <v>107.64</v>
      </c>
      <c r="T25" s="33">
        <f t="shared" si="2"/>
        <v>28.774250263353583</v>
      </c>
      <c r="U25" s="33">
        <f t="shared" si="16"/>
        <v>52.382797757032165</v>
      </c>
      <c r="V25" s="33">
        <f t="shared" si="3"/>
        <v>6.666666666666667</v>
      </c>
      <c r="W25" s="33">
        <v>0</v>
      </c>
      <c r="X25" s="33">
        <f t="shared" si="4"/>
        <v>454.10285542890324</v>
      </c>
      <c r="Y25" s="38">
        <f t="shared" si="5"/>
        <v>277.06695362382516</v>
      </c>
      <c r="AA25" s="71">
        <v>20</v>
      </c>
      <c r="AB25" s="33">
        <f t="shared" si="6"/>
        <v>0</v>
      </c>
      <c r="AC25" s="308">
        <f t="shared" si="7"/>
        <v>0</v>
      </c>
      <c r="AD25" s="101">
        <f t="shared" si="8"/>
        <v>0</v>
      </c>
      <c r="AE25" s="101">
        <f t="shared" si="9"/>
        <v>0</v>
      </c>
      <c r="AF25" s="197">
        <f>IF(OR(AA25&lt;=$F$18,AA25&lt;=30),EXP(-LN(2)/$D$104)*AF24+((1-EXP(-LN(2)/$D$104))/(LN(2)/$D$104))*$AB25*AC25*0.475*$F$19*44/12,)</f>
        <v>0</v>
      </c>
      <c r="AG25" s="197">
        <f>IF(OR(AA25&lt;=$F$18,AA25&lt;=30),EXP(-LN(2)/$D$106)*AG24+((1-EXP(-LN(2)/$D$106))/(LN(2)/$D$106))*$AB25*AD25*0.475*$F$19*44/12,)</f>
        <v>1.5841613063837903</v>
      </c>
      <c r="AH25" s="197">
        <f>IF(OR(AA25&lt;=$F$18,AA25&lt;=30),EXP(-LN(2)/$D$105)*AH24+((1-EXP(-LN(2)/$D$105))/(LN(2)/$D$105))*$AB25*AE25*0.475*$F$19*44/12,)</f>
        <v>0.29791296212516377</v>
      </c>
      <c r="AI25" s="202">
        <f>IF(OR(AA25&lt;=$F$18,AA25&lt;=30),SUM(AF25:AH25),)</f>
        <v>1.882074268508954</v>
      </c>
      <c r="AK25" s="71">
        <v>20</v>
      </c>
      <c r="AL25" s="33">
        <f t="shared" si="10"/>
        <v>0</v>
      </c>
      <c r="AM25" s="33">
        <f t="shared" si="11"/>
        <v>0</v>
      </c>
      <c r="AN25" s="33">
        <f t="shared" si="12"/>
        <v>0</v>
      </c>
      <c r="AO25" s="33">
        <f t="shared" si="13"/>
        <v>0</v>
      </c>
      <c r="AP25" s="33">
        <f t="shared" si="14"/>
        <v>0</v>
      </c>
      <c r="AQ25" s="197">
        <f>IF($AK25&lt;=$F$18,$AL25*AM25,)</f>
        <v>0</v>
      </c>
      <c r="AR25" s="197">
        <f>IF($AK25&lt;=$F$18,$AL25*AN25,)</f>
        <v>0</v>
      </c>
      <c r="AS25" s="197">
        <f>IF($AK25&lt;=$F$18,$AL25*AO25,)</f>
        <v>0</v>
      </c>
      <c r="AT25" s="197">
        <f>IF($AK25&lt;=$F$18,$AL25*AP25,)</f>
        <v>0</v>
      </c>
      <c r="AU25" s="33"/>
      <c r="AV25" s="33"/>
      <c r="AW25" s="33"/>
      <c r="AX25" s="33"/>
      <c r="AY25" s="167">
        <f t="shared" si="24"/>
        <v>1.72</v>
      </c>
    </row>
    <row r="26" spans="2:51">
      <c r="B26" s="40">
        <f t="shared" ref="B26:B52" si="31">C25</f>
        <v>15</v>
      </c>
      <c r="C26" s="41">
        <f>B26+1</f>
        <v>16</v>
      </c>
      <c r="D26" s="139">
        <v>88</v>
      </c>
      <c r="E26" s="144">
        <f t="shared" si="29"/>
        <v>1.3</v>
      </c>
      <c r="F26" s="42">
        <f t="shared" si="30"/>
        <v>114.4</v>
      </c>
      <c r="G26" s="145">
        <f>(F26-F25)/(C26-B26)</f>
        <v>-5.2000000000000028</v>
      </c>
      <c r="I26" s="55">
        <v>21</v>
      </c>
      <c r="J26" s="33">
        <f t="shared" si="18"/>
        <v>5</v>
      </c>
      <c r="K26" s="33">
        <f t="shared" si="19"/>
        <v>1.910565629709926</v>
      </c>
      <c r="L26" s="33">
        <f t="shared" si="20"/>
        <v>45</v>
      </c>
      <c r="M26" s="33">
        <f t="shared" si="21"/>
        <v>0</v>
      </c>
      <c r="N26" s="33">
        <f t="shared" si="0"/>
        <v>0</v>
      </c>
      <c r="O26" s="34">
        <f t="shared" si="1"/>
        <v>177.03590180507811</v>
      </c>
      <c r="P26" s="55">
        <v>21</v>
      </c>
      <c r="Q26" s="33">
        <f t="shared" si="15"/>
        <v>-72.799999999999983</v>
      </c>
      <c r="R26" s="33">
        <f t="shared" si="22"/>
        <v>161.20000000000002</v>
      </c>
      <c r="S26" s="33">
        <f t="shared" si="23"/>
        <v>74.152000000000015</v>
      </c>
      <c r="T26" s="33">
        <f t="shared" si="2"/>
        <v>20.701062284590879</v>
      </c>
      <c r="U26" s="33">
        <f t="shared" si="16"/>
        <v>52.688416829783918</v>
      </c>
      <c r="V26" s="33">
        <f t="shared" si="3"/>
        <v>7</v>
      </c>
      <c r="W26" s="33">
        <v>0</v>
      </c>
      <c r="X26" s="33">
        <f t="shared" si="4"/>
        <v>384.05994518820353</v>
      </c>
      <c r="Y26" s="38">
        <f t="shared" si="5"/>
        <v>207.02404338312542</v>
      </c>
      <c r="AA26" s="71">
        <v>21</v>
      </c>
      <c r="AB26" s="33">
        <f t="shared" si="6"/>
        <v>56</v>
      </c>
      <c r="AC26" s="308">
        <f t="shared" si="7"/>
        <v>0</v>
      </c>
      <c r="AD26" s="101">
        <f t="shared" si="8"/>
        <v>0.56000000000000005</v>
      </c>
      <c r="AE26" s="101">
        <f t="shared" si="9"/>
        <v>0.44</v>
      </c>
      <c r="AF26" s="197">
        <f>IF(OR(AA26&lt;=$F$18,AA26&lt;=30),EXP(-LN(2)/$D$104)*AF25+((1-EXP(-LN(2)/$D$104))/(LN(2)/$D$104))*$AB26*AC26*0.475*$F$19*44/12,)</f>
        <v>0</v>
      </c>
      <c r="AG26" s="197">
        <f>IF(OR(AA26&lt;=$F$18,AA26&lt;=30),EXP(-LN(2)/$D$106)*AG25+((1-EXP(-LN(2)/$D$106))/(LN(2)/$D$106))*$AB26*AD26*0.475*$F$19*44/12,)</f>
        <v>26.320325063713415</v>
      </c>
      <c r="AH26" s="197">
        <f>IF(OR(AA26&lt;=$F$18,AA26&lt;=30),EXP(-LN(2)/$D$105)*AH25+((1-EXP(-LN(2)/$D$105))/(LN(2)/$D$105))*$AB26*AE26*0.475*$F$19*44/12,)</f>
        <v>16.893782154731245</v>
      </c>
      <c r="AI26" s="202">
        <f>IF(OR(AA26&lt;=$F$18,AA26&lt;=30),SUM(AF26:AH26),)</f>
        <v>43.21410721844466</v>
      </c>
      <c r="AK26" s="71">
        <v>21</v>
      </c>
      <c r="AL26" s="33">
        <f t="shared" si="10"/>
        <v>56</v>
      </c>
      <c r="AM26" s="33">
        <f t="shared" si="11"/>
        <v>0</v>
      </c>
      <c r="AN26" s="33">
        <f t="shared" si="12"/>
        <v>0.56000000000000005</v>
      </c>
      <c r="AO26" s="33">
        <f t="shared" si="13"/>
        <v>0.44</v>
      </c>
      <c r="AP26" s="33">
        <f t="shared" si="14"/>
        <v>0</v>
      </c>
      <c r="AQ26" s="197">
        <f t="shared" ref="AQ26:AT35" si="32">IF($AK26&lt;=$F$18,$AL26*AM26,)</f>
        <v>0</v>
      </c>
      <c r="AR26" s="197">
        <f t="shared" si="32"/>
        <v>31.360000000000003</v>
      </c>
      <c r="AS26" s="197">
        <f t="shared" si="32"/>
        <v>24.64</v>
      </c>
      <c r="AT26" s="197">
        <f t="shared" si="32"/>
        <v>0</v>
      </c>
      <c r="AU26" s="33"/>
      <c r="AV26" s="33"/>
      <c r="AW26" s="33"/>
      <c r="AX26" s="33"/>
      <c r="AY26" s="167">
        <f t="shared" si="24"/>
        <v>25.799999999999997</v>
      </c>
    </row>
    <row r="27" spans="2:51">
      <c r="B27" s="40">
        <f t="shared" si="31"/>
        <v>16</v>
      </c>
      <c r="C27" s="155">
        <f>C25+5</f>
        <v>20</v>
      </c>
      <c r="D27" s="139">
        <f>D28+56</f>
        <v>180</v>
      </c>
      <c r="E27" s="144">
        <f t="shared" si="29"/>
        <v>1.3</v>
      </c>
      <c r="F27" s="42">
        <f t="shared" si="30"/>
        <v>234</v>
      </c>
      <c r="G27" s="51">
        <f t="shared" ref="G27:G52" si="33">(F27-F26)/(C27-B27)</f>
        <v>29.9</v>
      </c>
      <c r="I27" s="55">
        <v>22</v>
      </c>
      <c r="J27" s="33">
        <f t="shared" si="18"/>
        <v>5</v>
      </c>
      <c r="K27" s="33">
        <f t="shared" si="19"/>
        <v>1.910565629709926</v>
      </c>
      <c r="L27" s="33">
        <f t="shared" si="20"/>
        <v>45</v>
      </c>
      <c r="M27" s="33">
        <f t="shared" si="21"/>
        <v>0</v>
      </c>
      <c r="N27" s="33">
        <f t="shared" si="0"/>
        <v>0</v>
      </c>
      <c r="O27" s="34">
        <f t="shared" si="1"/>
        <v>177.03590180507811</v>
      </c>
      <c r="P27" s="55">
        <v>22</v>
      </c>
      <c r="Q27" s="33">
        <f t="shared" si="15"/>
        <v>32.824999999999996</v>
      </c>
      <c r="R27" s="33">
        <f t="shared" si="22"/>
        <v>194.02500000000001</v>
      </c>
      <c r="S27" s="33">
        <f t="shared" si="23"/>
        <v>89.251500000000007</v>
      </c>
      <c r="T27" s="33">
        <f t="shared" si="2"/>
        <v>24.384617168949575</v>
      </c>
      <c r="U27" s="33">
        <f t="shared" si="16"/>
        <v>52.988734094885309</v>
      </c>
      <c r="V27" s="33">
        <f t="shared" si="3"/>
        <v>7.333333333333333</v>
      </c>
      <c r="W27" s="33">
        <v>0</v>
      </c>
      <c r="X27" s="33">
        <f t="shared" si="4"/>
        <v>419.09715130605554</v>
      </c>
      <c r="Y27" s="38">
        <f t="shared" si="5"/>
        <v>242.06124950097742</v>
      </c>
      <c r="AA27" s="71">
        <v>22</v>
      </c>
      <c r="AB27" s="33">
        <f t="shared" si="6"/>
        <v>0</v>
      </c>
      <c r="AC27" s="308">
        <f t="shared" si="7"/>
        <v>0</v>
      </c>
      <c r="AD27" s="101">
        <f t="shared" si="8"/>
        <v>0</v>
      </c>
      <c r="AE27" s="101">
        <f t="shared" si="9"/>
        <v>0</v>
      </c>
      <c r="AF27" s="197">
        <f t="shared" ref="AF27:AF90" si="34">IF(OR(AA27&lt;=$F$18,AA27&lt;=30),EXP(-LN(2)/$D$104)*AF26+((1-EXP(-LN(2)/$D$104))/(LN(2)/$D$104))*$AB27*AC27*0.475*$F$19*44/12,)</f>
        <v>0</v>
      </c>
      <c r="AG27" s="197">
        <f t="shared" ref="AG27:AG90" si="35">IF(OR(AA27&lt;=$F$18,AA27&lt;=30),EXP(-LN(2)/$D$106)*AG26+((1-EXP(-LN(2)/$D$106))/(LN(2)/$D$106))*$AB27*AD27*0.475*$F$19*44/12,)</f>
        <v>25.600594390720431</v>
      </c>
      <c r="AH27" s="197">
        <f t="shared" ref="AH27:AH90" si="36">IF(OR(AA27&lt;=$F$18,AA27&lt;=30),EXP(-LN(2)/$D$105)*AH26+((1-EXP(-LN(2)/$D$105))/(LN(2)/$D$105))*$AB27*AE27*0.475*$F$19*44/12,)</f>
        <v>11.945707921498748</v>
      </c>
      <c r="AI27" s="202">
        <f t="shared" ref="AI27:AI90" si="37">IF(OR(AA27&lt;=$F$18,AA27&lt;=30),SUM(AF27:AH27),)</f>
        <v>37.546302312219183</v>
      </c>
      <c r="AK27" s="71">
        <v>22</v>
      </c>
      <c r="AL27" s="33">
        <f t="shared" si="10"/>
        <v>0</v>
      </c>
      <c r="AM27" s="33">
        <f t="shared" si="11"/>
        <v>0</v>
      </c>
      <c r="AN27" s="33">
        <f t="shared" si="12"/>
        <v>0</v>
      </c>
      <c r="AO27" s="33">
        <f t="shared" si="13"/>
        <v>0</v>
      </c>
      <c r="AP27" s="33">
        <f t="shared" si="14"/>
        <v>0</v>
      </c>
      <c r="AQ27" s="197">
        <f t="shared" si="32"/>
        <v>0</v>
      </c>
      <c r="AR27" s="197">
        <f t="shared" si="32"/>
        <v>0</v>
      </c>
      <c r="AS27" s="197">
        <f t="shared" si="32"/>
        <v>0</v>
      </c>
      <c r="AT27" s="197">
        <f t="shared" si="32"/>
        <v>0</v>
      </c>
      <c r="AU27" s="33"/>
      <c r="AV27" s="33"/>
      <c r="AW27" s="33"/>
      <c r="AX27" s="33"/>
      <c r="AY27" s="167">
        <f t="shared" si="24"/>
        <v>25.799999999999997</v>
      </c>
    </row>
    <row r="28" spans="2:51">
      <c r="B28" s="40">
        <f t="shared" si="31"/>
        <v>20</v>
      </c>
      <c r="C28" s="155">
        <f>C26+5</f>
        <v>21</v>
      </c>
      <c r="D28" s="139">
        <v>124</v>
      </c>
      <c r="E28" s="144">
        <f t="shared" si="29"/>
        <v>1.3</v>
      </c>
      <c r="F28" s="42">
        <f t="shared" si="30"/>
        <v>161.20000000000002</v>
      </c>
      <c r="G28" s="51">
        <f t="shared" si="33"/>
        <v>-72.799999999999983</v>
      </c>
      <c r="I28" s="55">
        <v>23</v>
      </c>
      <c r="J28" s="33">
        <f t="shared" si="18"/>
        <v>5</v>
      </c>
      <c r="K28" s="33">
        <f t="shared" si="19"/>
        <v>1.910565629709926</v>
      </c>
      <c r="L28" s="33">
        <f t="shared" si="20"/>
        <v>45</v>
      </c>
      <c r="M28" s="33">
        <f t="shared" si="21"/>
        <v>0</v>
      </c>
      <c r="N28" s="33">
        <f t="shared" si="0"/>
        <v>0</v>
      </c>
      <c r="O28" s="34">
        <f t="shared" si="1"/>
        <v>177.03590180507811</v>
      </c>
      <c r="P28" s="55">
        <v>23</v>
      </c>
      <c r="Q28" s="33">
        <f t="shared" si="15"/>
        <v>32.824999999999996</v>
      </c>
      <c r="R28" s="33">
        <f t="shared" si="22"/>
        <v>226.85</v>
      </c>
      <c r="S28" s="33">
        <f t="shared" si="23"/>
        <v>104.351</v>
      </c>
      <c r="T28" s="33">
        <f t="shared" si="2"/>
        <v>27.995979970833517</v>
      </c>
      <c r="U28" s="33">
        <f t="shared" si="16"/>
        <v>53.283841526846018</v>
      </c>
      <c r="V28" s="33">
        <f t="shared" si="3"/>
        <v>7.666666666666667</v>
      </c>
      <c r="W28" s="33">
        <v>0</v>
      </c>
      <c r="X28" s="33">
        <f t="shared" si="4"/>
        <v>453.98952015874812</v>
      </c>
      <c r="Y28" s="38">
        <f t="shared" si="5"/>
        <v>276.95361835366998</v>
      </c>
      <c r="AA28" s="71">
        <v>23</v>
      </c>
      <c r="AB28" s="33">
        <f t="shared" si="6"/>
        <v>0</v>
      </c>
      <c r="AC28" s="308">
        <f t="shared" si="7"/>
        <v>0</v>
      </c>
      <c r="AD28" s="101">
        <f t="shared" si="8"/>
        <v>0</v>
      </c>
      <c r="AE28" s="101">
        <f t="shared" si="9"/>
        <v>0</v>
      </c>
      <c r="AF28" s="197">
        <f t="shared" si="34"/>
        <v>0</v>
      </c>
      <c r="AG28" s="197">
        <f t="shared" si="35"/>
        <v>24.900544790829432</v>
      </c>
      <c r="AH28" s="197">
        <f t="shared" si="36"/>
        <v>8.4468910773656241</v>
      </c>
      <c r="AI28" s="202">
        <f t="shared" si="37"/>
        <v>33.347435868195056</v>
      </c>
      <c r="AK28" s="71">
        <v>23</v>
      </c>
      <c r="AL28" s="33">
        <f t="shared" si="10"/>
        <v>0</v>
      </c>
      <c r="AM28" s="33">
        <f t="shared" si="11"/>
        <v>0</v>
      </c>
      <c r="AN28" s="33">
        <f t="shared" si="12"/>
        <v>0</v>
      </c>
      <c r="AO28" s="33">
        <f t="shared" si="13"/>
        <v>0</v>
      </c>
      <c r="AP28" s="33">
        <f t="shared" si="14"/>
        <v>0</v>
      </c>
      <c r="AQ28" s="197">
        <f t="shared" si="32"/>
        <v>0</v>
      </c>
      <c r="AR28" s="197">
        <f t="shared" si="32"/>
        <v>0</v>
      </c>
      <c r="AS28" s="197">
        <f t="shared" si="32"/>
        <v>0</v>
      </c>
      <c r="AT28" s="197">
        <f t="shared" si="32"/>
        <v>0</v>
      </c>
      <c r="AU28" s="33"/>
      <c r="AV28" s="33"/>
      <c r="AW28" s="33"/>
      <c r="AX28" s="33"/>
      <c r="AY28" s="167">
        <f t="shared" si="24"/>
        <v>25.799999999999997</v>
      </c>
    </row>
    <row r="29" spans="2:51">
      <c r="B29" s="40">
        <f t="shared" si="31"/>
        <v>21</v>
      </c>
      <c r="C29" s="155">
        <f t="shared" ref="C29:C52" si="38">C27+5</f>
        <v>25</v>
      </c>
      <c r="D29" s="140">
        <f>D30+56</f>
        <v>225</v>
      </c>
      <c r="E29" s="144">
        <f t="shared" si="29"/>
        <v>1.3</v>
      </c>
      <c r="F29" s="42">
        <f t="shared" si="30"/>
        <v>292.5</v>
      </c>
      <c r="G29" s="51">
        <f t="shared" si="33"/>
        <v>32.824999999999996</v>
      </c>
      <c r="I29" s="55">
        <v>24</v>
      </c>
      <c r="J29" s="33">
        <f t="shared" si="18"/>
        <v>5</v>
      </c>
      <c r="K29" s="33">
        <f t="shared" si="19"/>
        <v>1.910565629709926</v>
      </c>
      <c r="L29" s="33">
        <f t="shared" si="20"/>
        <v>45</v>
      </c>
      <c r="M29" s="33">
        <f t="shared" si="21"/>
        <v>0</v>
      </c>
      <c r="N29" s="33">
        <f t="shared" si="0"/>
        <v>0</v>
      </c>
      <c r="O29" s="34">
        <f t="shared" si="1"/>
        <v>177.03590180507811</v>
      </c>
      <c r="P29" s="55">
        <v>24</v>
      </c>
      <c r="Q29" s="33">
        <f t="shared" si="15"/>
        <v>32.824999999999996</v>
      </c>
      <c r="R29" s="33">
        <f t="shared" si="22"/>
        <v>259.67500000000001</v>
      </c>
      <c r="S29" s="33">
        <f t="shared" si="23"/>
        <v>119.45050000000001</v>
      </c>
      <c r="T29" s="33">
        <f t="shared" si="2"/>
        <v>31.546803228497428</v>
      </c>
      <c r="U29" s="33">
        <f t="shared" si="16"/>
        <v>53.573829504623582</v>
      </c>
      <c r="V29" s="33">
        <f t="shared" si="3"/>
        <v>8</v>
      </c>
      <c r="W29" s="33">
        <v>0</v>
      </c>
      <c r="X29" s="33">
        <f t="shared" si="4"/>
        <v>488.75767797325278</v>
      </c>
      <c r="Y29" s="38">
        <f t="shared" si="5"/>
        <v>311.72177616817464</v>
      </c>
      <c r="AA29" s="71">
        <v>24</v>
      </c>
      <c r="AB29" s="33">
        <f t="shared" si="6"/>
        <v>0</v>
      </c>
      <c r="AC29" s="308">
        <f t="shared" si="7"/>
        <v>0</v>
      </c>
      <c r="AD29" s="101">
        <f t="shared" si="8"/>
        <v>0</v>
      </c>
      <c r="AE29" s="101">
        <f t="shared" si="9"/>
        <v>0</v>
      </c>
      <c r="AF29" s="197">
        <f t="shared" si="34"/>
        <v>0</v>
      </c>
      <c r="AG29" s="197">
        <f t="shared" si="35"/>
        <v>24.219638084061462</v>
      </c>
      <c r="AH29" s="197">
        <f t="shared" si="36"/>
        <v>5.9728539607493758</v>
      </c>
      <c r="AI29" s="202">
        <f t="shared" si="37"/>
        <v>30.192492044810837</v>
      </c>
      <c r="AK29" s="71">
        <v>24</v>
      </c>
      <c r="AL29" s="33">
        <f t="shared" si="10"/>
        <v>0</v>
      </c>
      <c r="AM29" s="33">
        <f t="shared" si="11"/>
        <v>0</v>
      </c>
      <c r="AN29" s="33">
        <f t="shared" si="12"/>
        <v>0</v>
      </c>
      <c r="AO29" s="33">
        <f t="shared" si="13"/>
        <v>0</v>
      </c>
      <c r="AP29" s="33">
        <f t="shared" si="14"/>
        <v>0</v>
      </c>
      <c r="AQ29" s="197">
        <f t="shared" si="32"/>
        <v>0</v>
      </c>
      <c r="AR29" s="197">
        <f t="shared" si="32"/>
        <v>0</v>
      </c>
      <c r="AS29" s="197">
        <f t="shared" si="32"/>
        <v>0</v>
      </c>
      <c r="AT29" s="197">
        <f t="shared" si="32"/>
        <v>0</v>
      </c>
      <c r="AU29" s="33"/>
      <c r="AV29" s="33"/>
      <c r="AW29" s="33"/>
      <c r="AX29" s="33"/>
      <c r="AY29" s="167">
        <f t="shared" si="24"/>
        <v>25.799999999999997</v>
      </c>
    </row>
    <row r="30" spans="2:51">
      <c r="B30" s="40">
        <f t="shared" si="31"/>
        <v>25</v>
      </c>
      <c r="C30" s="155">
        <f t="shared" si="38"/>
        <v>26</v>
      </c>
      <c r="D30" s="140">
        <v>169</v>
      </c>
      <c r="E30" s="144">
        <f t="shared" si="29"/>
        <v>1.3</v>
      </c>
      <c r="F30" s="42">
        <f t="shared" si="30"/>
        <v>219.70000000000002</v>
      </c>
      <c r="G30" s="51">
        <f t="shared" si="33"/>
        <v>-72.799999999999983</v>
      </c>
      <c r="I30" s="55">
        <v>25</v>
      </c>
      <c r="J30" s="33">
        <f t="shared" si="18"/>
        <v>5</v>
      </c>
      <c r="K30" s="33">
        <f t="shared" si="19"/>
        <v>1.910565629709926</v>
      </c>
      <c r="L30" s="33">
        <f t="shared" si="20"/>
        <v>45</v>
      </c>
      <c r="M30" s="33">
        <f t="shared" si="21"/>
        <v>0</v>
      </c>
      <c r="N30" s="33">
        <f t="shared" si="0"/>
        <v>0</v>
      </c>
      <c r="O30" s="34">
        <f t="shared" si="1"/>
        <v>177.03590180507811</v>
      </c>
      <c r="P30" s="55">
        <v>25</v>
      </c>
      <c r="Q30" s="33">
        <f t="shared" si="15"/>
        <v>32.824999999999996</v>
      </c>
      <c r="R30" s="33">
        <f t="shared" si="22"/>
        <v>292.5</v>
      </c>
      <c r="S30" s="33">
        <f t="shared" si="23"/>
        <v>134.55000000000001</v>
      </c>
      <c r="T30" s="33">
        <f t="shared" si="2"/>
        <v>35.045616486142094</v>
      </c>
      <c r="U30" s="33">
        <f t="shared" si="16"/>
        <v>53.858786839302695</v>
      </c>
      <c r="V30" s="33">
        <f t="shared" si="3"/>
        <v>8.3333333333333339</v>
      </c>
      <c r="W30" s="33">
        <v>0</v>
      </c>
      <c r="X30" s="33">
        <f t="shared" si="4"/>
        <v>523.4168060130296</v>
      </c>
      <c r="Y30" s="38">
        <f t="shared" si="5"/>
        <v>346.38090420795152</v>
      </c>
      <c r="AA30" s="71">
        <v>25</v>
      </c>
      <c r="AB30" s="33">
        <f t="shared" si="6"/>
        <v>0</v>
      </c>
      <c r="AC30" s="308">
        <f>IF(AA30&lt;=$F$18,IFERROR(VLOOKUP($AA30,$B$82:$G$94,3,FALSE),0),)*50%</f>
        <v>0</v>
      </c>
      <c r="AD30" s="101">
        <f t="shared" si="8"/>
        <v>0</v>
      </c>
      <c r="AE30" s="101">
        <f t="shared" si="9"/>
        <v>0</v>
      </c>
      <c r="AF30" s="197">
        <f t="shared" si="34"/>
        <v>0</v>
      </c>
      <c r="AG30" s="197">
        <f t="shared" si="35"/>
        <v>23.557350806997388</v>
      </c>
      <c r="AH30" s="197">
        <f t="shared" si="36"/>
        <v>4.2234455386828129</v>
      </c>
      <c r="AI30" s="202">
        <f t="shared" si="37"/>
        <v>27.780796345680201</v>
      </c>
      <c r="AK30" s="71">
        <v>25</v>
      </c>
      <c r="AL30" s="33">
        <f t="shared" si="10"/>
        <v>0</v>
      </c>
      <c r="AM30" s="33">
        <f t="shared" si="11"/>
        <v>0</v>
      </c>
      <c r="AN30" s="33">
        <f t="shared" si="12"/>
        <v>0</v>
      </c>
      <c r="AO30" s="33">
        <f t="shared" si="13"/>
        <v>0</v>
      </c>
      <c r="AP30" s="33">
        <f t="shared" si="14"/>
        <v>0</v>
      </c>
      <c r="AQ30" s="197">
        <f t="shared" si="32"/>
        <v>0</v>
      </c>
      <c r="AR30" s="197">
        <f t="shared" si="32"/>
        <v>0</v>
      </c>
      <c r="AS30" s="197">
        <f t="shared" si="32"/>
        <v>0</v>
      </c>
      <c r="AT30" s="197">
        <f t="shared" si="32"/>
        <v>0</v>
      </c>
      <c r="AU30" s="33"/>
      <c r="AV30" s="33"/>
      <c r="AW30" s="33"/>
      <c r="AX30" s="33"/>
      <c r="AY30" s="167">
        <f t="shared" si="24"/>
        <v>25.799999999999997</v>
      </c>
    </row>
    <row r="31" spans="2:51">
      <c r="B31" s="40">
        <f t="shared" si="31"/>
        <v>26</v>
      </c>
      <c r="C31" s="155">
        <f t="shared" si="38"/>
        <v>30</v>
      </c>
      <c r="D31" s="140">
        <f>D32+56</f>
        <v>277</v>
      </c>
      <c r="E31" s="144">
        <f t="shared" si="29"/>
        <v>1.3</v>
      </c>
      <c r="F31" s="42">
        <f t="shared" si="30"/>
        <v>360.1</v>
      </c>
      <c r="G31" s="51">
        <f t="shared" si="33"/>
        <v>35.1</v>
      </c>
      <c r="I31" s="55">
        <v>26</v>
      </c>
      <c r="J31" s="33">
        <f t="shared" si="18"/>
        <v>5</v>
      </c>
      <c r="K31" s="33">
        <f t="shared" si="19"/>
        <v>1.910565629709926</v>
      </c>
      <c r="L31" s="33">
        <f t="shared" si="20"/>
        <v>45</v>
      </c>
      <c r="M31" s="33">
        <f t="shared" si="21"/>
        <v>0</v>
      </c>
      <c r="N31" s="33">
        <f t="shared" si="0"/>
        <v>0</v>
      </c>
      <c r="O31" s="34">
        <f t="shared" si="1"/>
        <v>177.03590180507811</v>
      </c>
      <c r="P31" s="55">
        <v>26</v>
      </c>
      <c r="Q31" s="33">
        <f t="shared" si="15"/>
        <v>-72.799999999999983</v>
      </c>
      <c r="R31" s="33">
        <f t="shared" si="22"/>
        <v>219.70000000000002</v>
      </c>
      <c r="S31" s="33">
        <f t="shared" si="23"/>
        <v>101.06200000000001</v>
      </c>
      <c r="T31" s="33">
        <f t="shared" si="2"/>
        <v>27.214848638810562</v>
      </c>
      <c r="U31" s="33">
        <f t="shared" si="16"/>
        <v>54.138800801294295</v>
      </c>
      <c r="V31" s="33">
        <f t="shared" si="3"/>
        <v>8.6666666666666661</v>
      </c>
      <c r="W31" s="33">
        <v>0</v>
      </c>
      <c r="X31" s="33">
        <f t="shared" si="4"/>
        <v>453.70222542845198</v>
      </c>
      <c r="Y31" s="38">
        <f t="shared" si="5"/>
        <v>276.66632362337384</v>
      </c>
      <c r="AA31" s="71">
        <v>26</v>
      </c>
      <c r="AB31" s="33">
        <f t="shared" si="6"/>
        <v>56</v>
      </c>
      <c r="AC31" s="308">
        <f t="shared" ref="AC31:AC94" si="39">IF(AA31&lt;=$F$18,IFERROR(VLOOKUP($AA31,$B$82:$G$94,3,FALSE),0),)*50%</f>
        <v>0</v>
      </c>
      <c r="AD31" s="101">
        <f t="shared" si="8"/>
        <v>0.56000000000000005</v>
      </c>
      <c r="AE31" s="101">
        <f t="shared" si="9"/>
        <v>0.44</v>
      </c>
      <c r="AF31" s="197">
        <f t="shared" si="34"/>
        <v>0</v>
      </c>
      <c r="AG31" s="197">
        <f t="shared" si="35"/>
        <v>47.692656541912918</v>
      </c>
      <c r="AH31" s="197">
        <f t="shared" si="36"/>
        <v>19.66955285938386</v>
      </c>
      <c r="AI31" s="202">
        <f t="shared" si="37"/>
        <v>67.362209401296781</v>
      </c>
      <c r="AK31" s="71">
        <v>26</v>
      </c>
      <c r="AL31" s="33">
        <f t="shared" si="10"/>
        <v>56</v>
      </c>
      <c r="AM31" s="33">
        <f t="shared" si="11"/>
        <v>0</v>
      </c>
      <c r="AN31" s="33">
        <f t="shared" si="12"/>
        <v>0.56000000000000005</v>
      </c>
      <c r="AO31" s="33">
        <f t="shared" si="13"/>
        <v>0.44</v>
      </c>
      <c r="AP31" s="33">
        <f t="shared" si="14"/>
        <v>0</v>
      </c>
      <c r="AQ31" s="197">
        <f t="shared" si="32"/>
        <v>0</v>
      </c>
      <c r="AR31" s="197">
        <f t="shared" si="32"/>
        <v>31.360000000000003</v>
      </c>
      <c r="AS31" s="197">
        <f t="shared" si="32"/>
        <v>24.64</v>
      </c>
      <c r="AT31" s="197">
        <f t="shared" si="32"/>
        <v>0</v>
      </c>
      <c r="AU31" s="33"/>
      <c r="AV31" s="33"/>
      <c r="AW31" s="33"/>
      <c r="AX31" s="33"/>
      <c r="AY31" s="167">
        <f t="shared" si="24"/>
        <v>49.879999999999995</v>
      </c>
    </row>
    <row r="32" spans="2:51">
      <c r="B32" s="40">
        <f t="shared" si="31"/>
        <v>30</v>
      </c>
      <c r="C32" s="155">
        <f t="shared" si="38"/>
        <v>31</v>
      </c>
      <c r="D32" s="140">
        <v>221</v>
      </c>
      <c r="E32" s="144">
        <f t="shared" si="29"/>
        <v>1.3</v>
      </c>
      <c r="F32" s="42">
        <f t="shared" si="30"/>
        <v>287.3</v>
      </c>
      <c r="G32" s="51">
        <f t="shared" si="33"/>
        <v>-72.800000000000011</v>
      </c>
      <c r="I32" s="55">
        <v>27</v>
      </c>
      <c r="J32" s="33">
        <f t="shared" si="18"/>
        <v>5</v>
      </c>
      <c r="K32" s="33">
        <f t="shared" si="19"/>
        <v>1.910565629709926</v>
      </c>
      <c r="L32" s="33">
        <f t="shared" si="20"/>
        <v>45</v>
      </c>
      <c r="M32" s="33">
        <f t="shared" si="21"/>
        <v>0</v>
      </c>
      <c r="N32" s="33">
        <f t="shared" si="0"/>
        <v>0</v>
      </c>
      <c r="O32" s="34">
        <f t="shared" si="1"/>
        <v>177.03590180507811</v>
      </c>
      <c r="P32" s="55">
        <v>27</v>
      </c>
      <c r="Q32" s="33">
        <f t="shared" si="15"/>
        <v>35.1</v>
      </c>
      <c r="R32" s="33">
        <f t="shared" si="22"/>
        <v>254.8</v>
      </c>
      <c r="S32" s="33">
        <f t="shared" si="23"/>
        <v>117.20800000000001</v>
      </c>
      <c r="T32" s="33">
        <f t="shared" si="2"/>
        <v>31.02292162692056</v>
      </c>
      <c r="U32" s="33">
        <f t="shared" si="16"/>
        <v>54.413957147062774</v>
      </c>
      <c r="V32" s="33">
        <f t="shared" si="3"/>
        <v>9</v>
      </c>
      <c r="W32" s="33">
        <v>0</v>
      </c>
      <c r="X32" s="33">
        <f t="shared" si="4"/>
        <v>490.68669803945016</v>
      </c>
      <c r="Y32" s="38">
        <f t="shared" si="5"/>
        <v>313.65079623437202</v>
      </c>
      <c r="AA32" s="71">
        <v>27</v>
      </c>
      <c r="AB32" s="33">
        <f t="shared" si="6"/>
        <v>0</v>
      </c>
      <c r="AC32" s="308">
        <f t="shared" si="39"/>
        <v>0</v>
      </c>
      <c r="AD32" s="101">
        <f t="shared" si="8"/>
        <v>0</v>
      </c>
      <c r="AE32" s="101">
        <f t="shared" si="9"/>
        <v>0</v>
      </c>
      <c r="AF32" s="197">
        <f t="shared" si="34"/>
        <v>0</v>
      </c>
      <c r="AG32" s="197">
        <f t="shared" si="35"/>
        <v>46.388498340726507</v>
      </c>
      <c r="AH32" s="197">
        <f t="shared" si="36"/>
        <v>13.908474209777573</v>
      </c>
      <c r="AI32" s="202">
        <f t="shared" si="37"/>
        <v>60.29697255050408</v>
      </c>
      <c r="AK32" s="71">
        <v>27</v>
      </c>
      <c r="AL32" s="33">
        <f t="shared" si="10"/>
        <v>0</v>
      </c>
      <c r="AM32" s="33">
        <f t="shared" si="11"/>
        <v>0</v>
      </c>
      <c r="AN32" s="33">
        <f t="shared" si="12"/>
        <v>0</v>
      </c>
      <c r="AO32" s="33">
        <f t="shared" si="13"/>
        <v>0</v>
      </c>
      <c r="AP32" s="33">
        <f t="shared" si="14"/>
        <v>0</v>
      </c>
      <c r="AQ32" s="197">
        <f t="shared" si="32"/>
        <v>0</v>
      </c>
      <c r="AR32" s="197">
        <f t="shared" si="32"/>
        <v>0</v>
      </c>
      <c r="AS32" s="197">
        <f t="shared" si="32"/>
        <v>0</v>
      </c>
      <c r="AT32" s="197">
        <f t="shared" si="32"/>
        <v>0</v>
      </c>
      <c r="AU32" s="33"/>
      <c r="AV32" s="33"/>
      <c r="AW32" s="33"/>
      <c r="AX32" s="33"/>
      <c r="AY32" s="167">
        <f t="shared" si="24"/>
        <v>49.879999999999995</v>
      </c>
    </row>
    <row r="33" spans="2:51">
      <c r="B33" s="40">
        <f t="shared" si="31"/>
        <v>31</v>
      </c>
      <c r="C33" s="155">
        <f t="shared" si="38"/>
        <v>35</v>
      </c>
      <c r="D33" s="140">
        <f>D34+56</f>
        <v>330</v>
      </c>
      <c r="E33" s="144">
        <f t="shared" si="29"/>
        <v>1.3</v>
      </c>
      <c r="F33" s="42">
        <f t="shared" si="30"/>
        <v>429</v>
      </c>
      <c r="G33" s="51">
        <f t="shared" si="33"/>
        <v>35.424999999999997</v>
      </c>
      <c r="I33" s="55">
        <v>28</v>
      </c>
      <c r="J33" s="33">
        <f t="shared" si="18"/>
        <v>5</v>
      </c>
      <c r="K33" s="33">
        <f t="shared" si="19"/>
        <v>1.910565629709926</v>
      </c>
      <c r="L33" s="33">
        <f t="shared" si="20"/>
        <v>45</v>
      </c>
      <c r="M33" s="33">
        <f t="shared" si="21"/>
        <v>0</v>
      </c>
      <c r="N33" s="33">
        <f t="shared" si="0"/>
        <v>0</v>
      </c>
      <c r="O33" s="34">
        <f t="shared" si="1"/>
        <v>177.03590180507811</v>
      </c>
      <c r="P33" s="55">
        <v>28</v>
      </c>
      <c r="Q33" s="33">
        <f t="shared" si="15"/>
        <v>35.1</v>
      </c>
      <c r="R33" s="33">
        <f t="shared" si="22"/>
        <v>289.90000000000003</v>
      </c>
      <c r="S33" s="33">
        <f t="shared" si="23"/>
        <v>133.35400000000001</v>
      </c>
      <c r="T33" s="33">
        <f t="shared" si="2"/>
        <v>34.770217553947298</v>
      </c>
      <c r="U33" s="33">
        <f t="shared" si="16"/>
        <v>54.684340145389598</v>
      </c>
      <c r="V33" s="33">
        <f t="shared" si="3"/>
        <v>9.3333333333333339</v>
      </c>
      <c r="W33" s="33">
        <v>0</v>
      </c>
      <c r="X33" s="33">
        <f t="shared" si="4"/>
        <v>527.54781499510898</v>
      </c>
      <c r="Y33" s="38">
        <f t="shared" si="5"/>
        <v>350.5119131900309</v>
      </c>
      <c r="AA33" s="71">
        <v>28</v>
      </c>
      <c r="AB33" s="33">
        <f t="shared" si="6"/>
        <v>0</v>
      </c>
      <c r="AC33" s="308">
        <f t="shared" si="39"/>
        <v>0</v>
      </c>
      <c r="AD33" s="101">
        <f t="shared" si="8"/>
        <v>0</v>
      </c>
      <c r="AE33" s="101">
        <f t="shared" si="9"/>
        <v>0</v>
      </c>
      <c r="AF33" s="197">
        <f t="shared" si="34"/>
        <v>0</v>
      </c>
      <c r="AG33" s="197">
        <f t="shared" si="35"/>
        <v>45.120002414134234</v>
      </c>
      <c r="AH33" s="197">
        <f t="shared" si="36"/>
        <v>9.8347764296919298</v>
      </c>
      <c r="AI33" s="202">
        <f t="shared" si="37"/>
        <v>54.954778843826162</v>
      </c>
      <c r="AK33" s="71">
        <v>28</v>
      </c>
      <c r="AL33" s="33">
        <f t="shared" si="10"/>
        <v>0</v>
      </c>
      <c r="AM33" s="33">
        <f t="shared" si="11"/>
        <v>0</v>
      </c>
      <c r="AN33" s="33">
        <f t="shared" si="12"/>
        <v>0</v>
      </c>
      <c r="AO33" s="33">
        <f t="shared" si="13"/>
        <v>0</v>
      </c>
      <c r="AP33" s="33">
        <f t="shared" si="14"/>
        <v>0</v>
      </c>
      <c r="AQ33" s="197">
        <f t="shared" si="32"/>
        <v>0</v>
      </c>
      <c r="AR33" s="197">
        <f t="shared" si="32"/>
        <v>0</v>
      </c>
      <c r="AS33" s="197">
        <f t="shared" si="32"/>
        <v>0</v>
      </c>
      <c r="AT33" s="197">
        <f t="shared" si="32"/>
        <v>0</v>
      </c>
      <c r="AU33" s="33"/>
      <c r="AV33" s="33"/>
      <c r="AW33" s="33"/>
      <c r="AX33" s="33"/>
      <c r="AY33" s="167">
        <f t="shared" si="24"/>
        <v>49.879999999999995</v>
      </c>
    </row>
    <row r="34" spans="2:51" ht="16" thickBot="1">
      <c r="B34" s="40">
        <f t="shared" si="31"/>
        <v>35</v>
      </c>
      <c r="C34" s="155">
        <f t="shared" si="38"/>
        <v>36</v>
      </c>
      <c r="D34" s="140">
        <v>274</v>
      </c>
      <c r="E34" s="144">
        <f t="shared" si="29"/>
        <v>1.3</v>
      </c>
      <c r="F34" s="42">
        <f t="shared" si="30"/>
        <v>356.2</v>
      </c>
      <c r="G34" s="51">
        <f t="shared" si="33"/>
        <v>-72.800000000000011</v>
      </c>
      <c r="I34" s="55">
        <v>29</v>
      </c>
      <c r="J34" s="33">
        <f t="shared" si="18"/>
        <v>5</v>
      </c>
      <c r="K34" s="33">
        <f t="shared" si="19"/>
        <v>1.910565629709926</v>
      </c>
      <c r="L34" s="33">
        <f t="shared" si="20"/>
        <v>45</v>
      </c>
      <c r="M34" s="33">
        <f t="shared" si="21"/>
        <v>0</v>
      </c>
      <c r="N34" s="33">
        <f t="shared" si="0"/>
        <v>0</v>
      </c>
      <c r="O34" s="34">
        <f t="shared" si="1"/>
        <v>177.03590180507811</v>
      </c>
      <c r="P34" s="55">
        <v>29</v>
      </c>
      <c r="Q34" s="35">
        <f t="shared" si="15"/>
        <v>35.1</v>
      </c>
      <c r="R34" s="33">
        <f t="shared" si="22"/>
        <v>325.00000000000006</v>
      </c>
      <c r="S34" s="33">
        <f t="shared" si="23"/>
        <v>149.50000000000003</v>
      </c>
      <c r="T34" s="33">
        <f t="shared" si="2"/>
        <v>38.464936755681478</v>
      </c>
      <c r="U34" s="33">
        <f t="shared" si="16"/>
        <v>54.950032603181285</v>
      </c>
      <c r="V34" s="33">
        <f t="shared" si="3"/>
        <v>9.6666666666666661</v>
      </c>
      <c r="W34" s="33">
        <v>0</v>
      </c>
      <c r="X34" s="33">
        <f t="shared" si="4"/>
        <v>564.30016217225432</v>
      </c>
      <c r="Y34" s="38">
        <f t="shared" si="5"/>
        <v>387.26426036717623</v>
      </c>
      <c r="AA34" s="71">
        <v>29</v>
      </c>
      <c r="AB34" s="146">
        <f t="shared" si="6"/>
        <v>0</v>
      </c>
      <c r="AC34" s="308">
        <f t="shared" si="39"/>
        <v>0</v>
      </c>
      <c r="AD34" s="102">
        <f t="shared" si="8"/>
        <v>0</v>
      </c>
      <c r="AE34" s="102">
        <f t="shared" si="9"/>
        <v>0</v>
      </c>
      <c r="AF34" s="199">
        <f t="shared" si="34"/>
        <v>0</v>
      </c>
      <c r="AG34" s="199">
        <f t="shared" si="35"/>
        <v>43.886193575361929</v>
      </c>
      <c r="AH34" s="197">
        <f t="shared" si="36"/>
        <v>6.9542371048887865</v>
      </c>
      <c r="AI34" s="202">
        <f t="shared" si="37"/>
        <v>50.840430680250719</v>
      </c>
      <c r="AK34" s="71">
        <v>29</v>
      </c>
      <c r="AL34" s="146">
        <f t="shared" si="10"/>
        <v>0</v>
      </c>
      <c r="AM34" s="35">
        <f t="shared" si="11"/>
        <v>0</v>
      </c>
      <c r="AN34" s="35">
        <f t="shared" si="12"/>
        <v>0</v>
      </c>
      <c r="AO34" s="35">
        <f t="shared" si="13"/>
        <v>0</v>
      </c>
      <c r="AP34" s="35">
        <f t="shared" si="14"/>
        <v>0</v>
      </c>
      <c r="AQ34" s="197">
        <f t="shared" si="32"/>
        <v>0</v>
      </c>
      <c r="AR34" s="197">
        <f t="shared" si="32"/>
        <v>0</v>
      </c>
      <c r="AS34" s="197">
        <f t="shared" si="32"/>
        <v>0</v>
      </c>
      <c r="AT34" s="197">
        <f t="shared" si="32"/>
        <v>0</v>
      </c>
      <c r="AU34" s="33"/>
      <c r="AV34" s="33"/>
      <c r="AW34" s="33"/>
      <c r="AX34" s="33"/>
      <c r="AY34" s="167">
        <f t="shared" si="24"/>
        <v>49.879999999999995</v>
      </c>
    </row>
    <row r="35" spans="2:51" ht="16" thickBot="1">
      <c r="B35" s="40">
        <f t="shared" si="31"/>
        <v>36</v>
      </c>
      <c r="C35" s="155">
        <f t="shared" si="38"/>
        <v>40</v>
      </c>
      <c r="D35" s="140">
        <f>D36+56</f>
        <v>379</v>
      </c>
      <c r="E35" s="144">
        <f t="shared" si="29"/>
        <v>1.3</v>
      </c>
      <c r="F35" s="42">
        <f t="shared" si="30"/>
        <v>492.7</v>
      </c>
      <c r="G35" s="51">
        <f t="shared" si="33"/>
        <v>34.125</v>
      </c>
      <c r="I35" s="87">
        <v>30</v>
      </c>
      <c r="J35" s="162">
        <f>IF($I35&lt;=$F$10,IF(AND(D8=B100,F12=C194),($F$11*$F$13+J34*50%),$F$11*$F$13+J34),)</f>
        <v>5</v>
      </c>
      <c r="K35" s="53">
        <f t="shared" si="19"/>
        <v>1.910565629709926</v>
      </c>
      <c r="L35" s="53">
        <f t="shared" si="20"/>
        <v>45</v>
      </c>
      <c r="M35" s="53">
        <f t="shared" si="21"/>
        <v>0</v>
      </c>
      <c r="N35" s="54">
        <f t="shared" si="0"/>
        <v>0</v>
      </c>
      <c r="O35" s="69">
        <f t="shared" si="1"/>
        <v>177.03590180507811</v>
      </c>
      <c r="P35" s="87">
        <v>30</v>
      </c>
      <c r="Q35" s="53">
        <f t="shared" si="15"/>
        <v>35.1</v>
      </c>
      <c r="R35" s="54">
        <f t="shared" si="22"/>
        <v>360.10000000000008</v>
      </c>
      <c r="S35" s="53">
        <f t="shared" si="23"/>
        <v>165.64600000000004</v>
      </c>
      <c r="T35" s="54">
        <f t="shared" si="2"/>
        <v>42.113404814327666</v>
      </c>
      <c r="U35" s="54">
        <f t="shared" si="16"/>
        <v>55.211115890829625</v>
      </c>
      <c r="V35" s="53">
        <f t="shared" si="3"/>
        <v>10</v>
      </c>
      <c r="W35" s="54">
        <v>0</v>
      </c>
      <c r="X35" s="69">
        <f t="shared" si="4"/>
        <v>600.95505498466264</v>
      </c>
      <c r="Y35" s="65">
        <f t="shared" si="5"/>
        <v>423.91915317958455</v>
      </c>
      <c r="AA35" s="73">
        <v>30</v>
      </c>
      <c r="AB35" s="146">
        <f t="shared" si="6"/>
        <v>0</v>
      </c>
      <c r="AC35" s="308">
        <f t="shared" si="39"/>
        <v>0</v>
      </c>
      <c r="AD35" s="102">
        <f t="shared" si="8"/>
        <v>0</v>
      </c>
      <c r="AE35" s="102">
        <f t="shared" si="9"/>
        <v>0</v>
      </c>
      <c r="AF35" s="203">
        <f t="shared" si="34"/>
        <v>0</v>
      </c>
      <c r="AG35" s="198">
        <f t="shared" si="35"/>
        <v>42.686123304169037</v>
      </c>
      <c r="AH35" s="204">
        <f t="shared" si="36"/>
        <v>4.9173882148459649</v>
      </c>
      <c r="AI35" s="205">
        <f t="shared" si="37"/>
        <v>47.603511519015001</v>
      </c>
      <c r="AK35" s="73">
        <v>30</v>
      </c>
      <c r="AL35" s="146">
        <f t="shared" si="10"/>
        <v>0</v>
      </c>
      <c r="AM35" s="35">
        <f t="shared" si="11"/>
        <v>0</v>
      </c>
      <c r="AN35" s="35">
        <f t="shared" si="12"/>
        <v>0</v>
      </c>
      <c r="AO35" s="35">
        <f t="shared" si="13"/>
        <v>0</v>
      </c>
      <c r="AP35" s="35">
        <f t="shared" si="14"/>
        <v>0</v>
      </c>
      <c r="AQ35" s="198">
        <f t="shared" si="32"/>
        <v>0</v>
      </c>
      <c r="AR35" s="198">
        <f t="shared" si="32"/>
        <v>0</v>
      </c>
      <c r="AS35" s="198">
        <f t="shared" si="32"/>
        <v>0</v>
      </c>
      <c r="AT35" s="198">
        <f t="shared" si="32"/>
        <v>0</v>
      </c>
      <c r="AU35" s="53"/>
      <c r="AV35" s="53"/>
      <c r="AW35" s="53"/>
      <c r="AX35" s="53"/>
      <c r="AY35" s="168">
        <f t="shared" si="24"/>
        <v>49.879999999999995</v>
      </c>
    </row>
    <row r="36" spans="2:51">
      <c r="B36" s="40">
        <f t="shared" si="31"/>
        <v>40</v>
      </c>
      <c r="C36" s="155">
        <f t="shared" si="38"/>
        <v>41</v>
      </c>
      <c r="D36" s="140">
        <v>323</v>
      </c>
      <c r="E36" s="144">
        <f t="shared" si="29"/>
        <v>1.3</v>
      </c>
      <c r="F36" s="42">
        <f t="shared" si="30"/>
        <v>419.90000000000003</v>
      </c>
      <c r="G36" s="51">
        <f t="shared" si="33"/>
        <v>-72.799999999999955</v>
      </c>
      <c r="I36" s="55">
        <v>31</v>
      </c>
      <c r="J36" s="33">
        <f t="shared" si="18"/>
        <v>5</v>
      </c>
      <c r="K36" s="33">
        <f t="shared" si="19"/>
        <v>1.910565629709926</v>
      </c>
      <c r="L36" s="33">
        <f t="shared" si="20"/>
        <v>45</v>
      </c>
      <c r="M36" s="33">
        <f t="shared" si="21"/>
        <v>0</v>
      </c>
      <c r="N36" s="33">
        <f t="shared" si="0"/>
        <v>0</v>
      </c>
      <c r="O36" s="34">
        <f t="shared" si="1"/>
        <v>177.03590180507811</v>
      </c>
      <c r="P36" s="55">
        <v>31</v>
      </c>
      <c r="Q36" s="33">
        <f t="shared" si="15"/>
        <v>-72.800000000000011</v>
      </c>
      <c r="R36" s="33">
        <f t="shared" si="22"/>
        <v>287.30000000000007</v>
      </c>
      <c r="S36" s="33">
        <f t="shared" si="23"/>
        <v>132.15800000000004</v>
      </c>
      <c r="T36" s="33">
        <f t="shared" si="2"/>
        <v>34.494530965883655</v>
      </c>
      <c r="U36" s="33">
        <f t="shared" si="16"/>
        <v>55.467669967132053</v>
      </c>
      <c r="V36" s="33">
        <f t="shared" si="3"/>
        <v>10</v>
      </c>
      <c r="W36" s="33">
        <v>0</v>
      </c>
      <c r="X36" s="33">
        <f t="shared" si="4"/>
        <v>530.3012813117316</v>
      </c>
      <c r="Y36" s="38">
        <f t="shared" si="5"/>
        <v>353.26537950665352</v>
      </c>
      <c r="AA36" s="71">
        <v>31</v>
      </c>
      <c r="AB36" s="33">
        <f t="shared" si="6"/>
        <v>56</v>
      </c>
      <c r="AC36" s="308">
        <f t="shared" si="39"/>
        <v>0.1</v>
      </c>
      <c r="AD36" s="101">
        <f t="shared" si="8"/>
        <v>0.44800000000000006</v>
      </c>
      <c r="AE36" s="101">
        <f t="shared" si="9"/>
        <v>0.35200000000000004</v>
      </c>
      <c r="AF36" s="197">
        <f t="shared" si="34"/>
        <v>4.4423990483759317</v>
      </c>
      <c r="AG36" s="197">
        <f t="shared" si="35"/>
        <v>61.342455202898961</v>
      </c>
      <c r="AH36" s="197">
        <f t="shared" si="36"/>
        <v>16.823619255651728</v>
      </c>
      <c r="AI36" s="202">
        <f t="shared" si="37"/>
        <v>82.608473506926629</v>
      </c>
      <c r="AK36" s="71">
        <v>31</v>
      </c>
      <c r="AL36" s="33"/>
      <c r="AM36" s="33"/>
      <c r="AN36" s="33"/>
      <c r="AO36" s="33"/>
      <c r="AP36" s="33"/>
      <c r="AQ36" s="197"/>
      <c r="AR36" s="197"/>
      <c r="AS36" s="197"/>
      <c r="AT36" s="197"/>
      <c r="AU36" s="33"/>
      <c r="AV36" s="33"/>
      <c r="AW36" s="33"/>
      <c r="AX36" s="33"/>
      <c r="AY36" s="76"/>
    </row>
    <row r="37" spans="2:51">
      <c r="B37" s="40">
        <f t="shared" si="31"/>
        <v>41</v>
      </c>
      <c r="C37" s="155">
        <f t="shared" si="38"/>
        <v>45</v>
      </c>
      <c r="D37" s="140">
        <f>D38+54</f>
        <v>421</v>
      </c>
      <c r="E37" s="144">
        <f t="shared" si="29"/>
        <v>1.3</v>
      </c>
      <c r="F37" s="42">
        <f t="shared" si="30"/>
        <v>547.30000000000007</v>
      </c>
      <c r="G37" s="51">
        <f t="shared" si="33"/>
        <v>31.850000000000009</v>
      </c>
      <c r="I37" s="55">
        <v>32</v>
      </c>
      <c r="J37" s="33">
        <f t="shared" si="18"/>
        <v>5</v>
      </c>
      <c r="K37" s="33">
        <f t="shared" si="19"/>
        <v>1.910565629709926</v>
      </c>
      <c r="L37" s="33">
        <f t="shared" si="20"/>
        <v>45</v>
      </c>
      <c r="M37" s="33">
        <f t="shared" si="21"/>
        <v>0</v>
      </c>
      <c r="N37" s="33">
        <f t="shared" si="0"/>
        <v>0</v>
      </c>
      <c r="O37" s="34">
        <f t="shared" si="1"/>
        <v>177.03590180507811</v>
      </c>
      <c r="P37" s="55">
        <v>32</v>
      </c>
      <c r="Q37" s="33">
        <f t="shared" si="15"/>
        <v>35.424999999999997</v>
      </c>
      <c r="R37" s="33">
        <f t="shared" si="22"/>
        <v>322.72500000000008</v>
      </c>
      <c r="S37" s="33">
        <f t="shared" si="23"/>
        <v>148.45350000000005</v>
      </c>
      <c r="T37" s="33">
        <f t="shared" si="2"/>
        <v>38.226926249546175</v>
      </c>
      <c r="U37" s="33">
        <f t="shared" si="16"/>
        <v>55.719773403779627</v>
      </c>
      <c r="V37" s="33">
        <f t="shared" si="3"/>
        <v>10</v>
      </c>
      <c r="W37" s="33">
        <v>0</v>
      </c>
      <c r="X37" s="33">
        <f t="shared" si="4"/>
        <v>566.10757819848493</v>
      </c>
      <c r="Y37" s="38">
        <f t="shared" si="5"/>
        <v>389.07167639340685</v>
      </c>
      <c r="AA37" s="71">
        <v>32</v>
      </c>
      <c r="AB37" s="33">
        <f t="shared" si="6"/>
        <v>0</v>
      </c>
      <c r="AC37" s="308">
        <f t="shared" si="39"/>
        <v>0</v>
      </c>
      <c r="AD37" s="101">
        <f t="shared" si="8"/>
        <v>0</v>
      </c>
      <c r="AE37" s="101">
        <f t="shared" si="9"/>
        <v>0</v>
      </c>
      <c r="AF37" s="197">
        <f t="shared" si="34"/>
        <v>4.3552863126331491</v>
      </c>
      <c r="AG37" s="197">
        <f t="shared" si="35"/>
        <v>59.665042539516172</v>
      </c>
      <c r="AH37" s="197">
        <f t="shared" si="36"/>
        <v>11.896095259771915</v>
      </c>
      <c r="AI37" s="202">
        <f t="shared" si="37"/>
        <v>75.916424111921231</v>
      </c>
      <c r="AK37" s="71">
        <v>32</v>
      </c>
      <c r="AL37" s="33"/>
      <c r="AM37" s="33"/>
      <c r="AN37" s="33"/>
      <c r="AO37" s="33"/>
      <c r="AP37" s="33"/>
      <c r="AQ37" s="197"/>
      <c r="AR37" s="197"/>
      <c r="AS37" s="197"/>
      <c r="AT37" s="197"/>
      <c r="AU37" s="33"/>
      <c r="AV37" s="33"/>
      <c r="AW37" s="33"/>
      <c r="AX37" s="33"/>
      <c r="AY37" s="76"/>
    </row>
    <row r="38" spans="2:51">
      <c r="B38" s="40">
        <f t="shared" si="31"/>
        <v>45</v>
      </c>
      <c r="C38" s="155">
        <f t="shared" si="38"/>
        <v>46</v>
      </c>
      <c r="D38" s="140">
        <v>367</v>
      </c>
      <c r="E38" s="144">
        <f t="shared" si="29"/>
        <v>1.3</v>
      </c>
      <c r="F38" s="42">
        <f t="shared" si="30"/>
        <v>477.1</v>
      </c>
      <c r="G38" s="51">
        <f t="shared" si="33"/>
        <v>-70.200000000000045</v>
      </c>
      <c r="I38" s="55">
        <v>33</v>
      </c>
      <c r="J38" s="33">
        <f t="shared" si="18"/>
        <v>5</v>
      </c>
      <c r="K38" s="33">
        <f t="shared" si="19"/>
        <v>1.910565629709926</v>
      </c>
      <c r="L38" s="33">
        <f t="shared" si="20"/>
        <v>45</v>
      </c>
      <c r="M38" s="33">
        <f t="shared" si="21"/>
        <v>0</v>
      </c>
      <c r="N38" s="33">
        <f t="shared" si="0"/>
        <v>0</v>
      </c>
      <c r="O38" s="34">
        <f t="shared" si="1"/>
        <v>177.03590180507811</v>
      </c>
      <c r="P38" s="55">
        <v>33</v>
      </c>
      <c r="Q38" s="33">
        <f t="shared" si="15"/>
        <v>35.424999999999997</v>
      </c>
      <c r="R38" s="33">
        <f t="shared" si="22"/>
        <v>358.15000000000009</v>
      </c>
      <c r="S38" s="33">
        <f t="shared" si="23"/>
        <v>164.74900000000005</v>
      </c>
      <c r="T38" s="33">
        <f t="shared" si="2"/>
        <v>41.911835378411233</v>
      </c>
      <c r="U38" s="33">
        <f t="shared" si="16"/>
        <v>55.96750340942021</v>
      </c>
      <c r="V38" s="33">
        <f t="shared" si="3"/>
        <v>10</v>
      </c>
      <c r="W38" s="33">
        <v>0</v>
      </c>
      <c r="X38" s="33">
        <f t="shared" si="4"/>
        <v>601.81513411860715</v>
      </c>
      <c r="Y38" s="38">
        <f t="shared" si="5"/>
        <v>424.77923231352906</v>
      </c>
      <c r="AA38" s="71">
        <v>33</v>
      </c>
      <c r="AB38" s="33">
        <f t="shared" si="6"/>
        <v>0</v>
      </c>
      <c r="AC38" s="308">
        <f t="shared" si="39"/>
        <v>0</v>
      </c>
      <c r="AD38" s="101">
        <f t="shared" si="8"/>
        <v>0</v>
      </c>
      <c r="AE38" s="101">
        <f t="shared" si="9"/>
        <v>0</v>
      </c>
      <c r="AF38" s="197">
        <f t="shared" si="34"/>
        <v>4.2698818045047595</v>
      </c>
      <c r="AG38" s="197">
        <f t="shared" si="35"/>
        <v>58.033498813624881</v>
      </c>
      <c r="AH38" s="197">
        <f t="shared" si="36"/>
        <v>8.4118096278258658</v>
      </c>
      <c r="AI38" s="202">
        <f t="shared" si="37"/>
        <v>70.715190245955498</v>
      </c>
      <c r="AK38" s="71">
        <v>33</v>
      </c>
      <c r="AL38" s="33"/>
      <c r="AM38" s="33"/>
      <c r="AN38" s="33"/>
      <c r="AO38" s="33"/>
      <c r="AP38" s="33"/>
      <c r="AQ38" s="197"/>
      <c r="AR38" s="197"/>
      <c r="AS38" s="197"/>
      <c r="AT38" s="197"/>
      <c r="AU38" s="33"/>
      <c r="AV38" s="33"/>
      <c r="AW38" s="33"/>
      <c r="AX38" s="33"/>
      <c r="AY38" s="76"/>
    </row>
    <row r="39" spans="2:51">
      <c r="B39" s="40">
        <f t="shared" si="31"/>
        <v>46</v>
      </c>
      <c r="C39" s="155">
        <f t="shared" si="38"/>
        <v>50</v>
      </c>
      <c r="D39" s="140">
        <f>D40+49</f>
        <v>458</v>
      </c>
      <c r="E39" s="144">
        <f t="shared" si="29"/>
        <v>1.3</v>
      </c>
      <c r="F39" s="42">
        <f t="shared" si="30"/>
        <v>595.4</v>
      </c>
      <c r="G39" s="51">
        <f t="shared" si="33"/>
        <v>29.574999999999989</v>
      </c>
      <c r="I39" s="55">
        <v>34</v>
      </c>
      <c r="J39" s="33">
        <f t="shared" si="18"/>
        <v>5</v>
      </c>
      <c r="K39" s="33">
        <f t="shared" si="19"/>
        <v>1.910565629709926</v>
      </c>
      <c r="L39" s="33">
        <f t="shared" si="20"/>
        <v>45</v>
      </c>
      <c r="M39" s="33">
        <f t="shared" si="21"/>
        <v>0</v>
      </c>
      <c r="N39" s="33">
        <f t="shared" si="0"/>
        <v>0</v>
      </c>
      <c r="O39" s="34">
        <f t="shared" si="1"/>
        <v>177.03590180507811</v>
      </c>
      <c r="P39" s="55">
        <v>34</v>
      </c>
      <c r="Q39" s="33">
        <f t="shared" si="15"/>
        <v>35.424999999999997</v>
      </c>
      <c r="R39" s="33">
        <f t="shared" si="22"/>
        <v>393.5750000000001</v>
      </c>
      <c r="S39" s="33">
        <f t="shared" si="23"/>
        <v>181.04450000000006</v>
      </c>
      <c r="T39" s="33">
        <f t="shared" si="2"/>
        <v>45.554489861307673</v>
      </c>
      <c r="U39" s="33">
        <f t="shared" si="16"/>
        <v>56.210935853304257</v>
      </c>
      <c r="V39" s="33">
        <f t="shared" si="3"/>
        <v>10</v>
      </c>
      <c r="W39" s="33">
        <v>0</v>
      </c>
      <c r="X39" s="33">
        <f t="shared" si="4"/>
        <v>637.43333880389321</v>
      </c>
      <c r="Y39" s="38">
        <f t="shared" si="5"/>
        <v>460.39743699881512</v>
      </c>
      <c r="AA39" s="71">
        <v>34</v>
      </c>
      <c r="AB39" s="33">
        <f t="shared" si="6"/>
        <v>0</v>
      </c>
      <c r="AC39" s="308">
        <f t="shared" si="39"/>
        <v>0</v>
      </c>
      <c r="AD39" s="101">
        <f t="shared" si="8"/>
        <v>0</v>
      </c>
      <c r="AE39" s="101">
        <f t="shared" si="9"/>
        <v>0</v>
      </c>
      <c r="AF39" s="197">
        <f t="shared" si="34"/>
        <v>4.1861520266891619</v>
      </c>
      <c r="AG39" s="197">
        <f t="shared" si="35"/>
        <v>56.446569736717244</v>
      </c>
      <c r="AH39" s="197">
        <f t="shared" si="36"/>
        <v>5.9480476298859584</v>
      </c>
      <c r="AI39" s="202">
        <f t="shared" si="37"/>
        <v>66.580769393292371</v>
      </c>
      <c r="AK39" s="71">
        <v>34</v>
      </c>
      <c r="AL39" s="33"/>
      <c r="AM39" s="33"/>
      <c r="AN39" s="33"/>
      <c r="AO39" s="33"/>
      <c r="AP39" s="33"/>
      <c r="AQ39" s="197"/>
      <c r="AR39" s="197"/>
      <c r="AS39" s="197"/>
      <c r="AT39" s="197"/>
      <c r="AU39" s="33"/>
      <c r="AV39" s="33"/>
      <c r="AW39" s="33"/>
      <c r="AX39" s="33"/>
      <c r="AY39" s="76"/>
    </row>
    <row r="40" spans="2:51">
      <c r="B40" s="40">
        <f t="shared" si="31"/>
        <v>50</v>
      </c>
      <c r="C40" s="155">
        <f t="shared" si="38"/>
        <v>51</v>
      </c>
      <c r="D40" s="140">
        <v>409</v>
      </c>
      <c r="E40" s="144">
        <f t="shared" si="29"/>
        <v>1.3</v>
      </c>
      <c r="F40" s="42">
        <f t="shared" si="30"/>
        <v>531.70000000000005</v>
      </c>
      <c r="G40" s="51">
        <f t="shared" si="33"/>
        <v>-63.699999999999932</v>
      </c>
      <c r="I40" s="55">
        <v>35</v>
      </c>
      <c r="J40" s="33">
        <f t="shared" si="18"/>
        <v>5</v>
      </c>
      <c r="K40" s="33">
        <f t="shared" si="19"/>
        <v>1.910565629709926</v>
      </c>
      <c r="L40" s="33">
        <f t="shared" si="20"/>
        <v>45</v>
      </c>
      <c r="M40" s="33">
        <f t="shared" si="21"/>
        <v>0</v>
      </c>
      <c r="N40" s="33">
        <f t="shared" si="0"/>
        <v>0</v>
      </c>
      <c r="O40" s="34">
        <f t="shared" si="1"/>
        <v>177.03590180507811</v>
      </c>
      <c r="P40" s="55">
        <v>35</v>
      </c>
      <c r="Q40" s="33">
        <f t="shared" si="15"/>
        <v>35.424999999999997</v>
      </c>
      <c r="R40" s="33">
        <f t="shared" si="22"/>
        <v>429.00000000000011</v>
      </c>
      <c r="S40" s="33">
        <f t="shared" si="23"/>
        <v>197.34000000000006</v>
      </c>
      <c r="T40" s="33">
        <f t="shared" si="2"/>
        <v>49.15912547427002</v>
      </c>
      <c r="U40" s="33">
        <f t="shared" si="16"/>
        <v>56.450145288520318</v>
      </c>
      <c r="V40" s="33">
        <f t="shared" si="3"/>
        <v>10</v>
      </c>
      <c r="W40" s="33">
        <v>0</v>
      </c>
      <c r="X40" s="33">
        <f t="shared" si="4"/>
        <v>672.96984292559489</v>
      </c>
      <c r="Y40" s="38">
        <f t="shared" si="5"/>
        <v>495.93394112051681</v>
      </c>
      <c r="AA40" s="71">
        <v>35</v>
      </c>
      <c r="AB40" s="33">
        <f t="shared" si="6"/>
        <v>0</v>
      </c>
      <c r="AC40" s="308">
        <f t="shared" si="39"/>
        <v>0</v>
      </c>
      <c r="AD40" s="101">
        <f t="shared" si="8"/>
        <v>0</v>
      </c>
      <c r="AE40" s="101">
        <f t="shared" si="9"/>
        <v>0</v>
      </c>
      <c r="AF40" s="197">
        <f t="shared" si="34"/>
        <v>4.1040641387464065</v>
      </c>
      <c r="AG40" s="197">
        <f t="shared" si="35"/>
        <v>54.903035318870621</v>
      </c>
      <c r="AH40" s="197">
        <f t="shared" si="36"/>
        <v>4.2059048139129329</v>
      </c>
      <c r="AI40" s="202">
        <f t="shared" si="37"/>
        <v>63.213004271529961</v>
      </c>
      <c r="AK40" s="71">
        <v>35</v>
      </c>
      <c r="AL40" s="33"/>
      <c r="AM40" s="33"/>
      <c r="AN40" s="33"/>
      <c r="AO40" s="33"/>
      <c r="AP40" s="33"/>
      <c r="AQ40" s="197"/>
      <c r="AR40" s="197"/>
      <c r="AS40" s="197"/>
      <c r="AT40" s="197"/>
      <c r="AU40" s="33"/>
      <c r="AV40" s="33"/>
      <c r="AW40" s="33"/>
      <c r="AX40" s="33"/>
      <c r="AY40" s="76"/>
    </row>
    <row r="41" spans="2:51">
      <c r="B41" s="40">
        <f t="shared" si="31"/>
        <v>51</v>
      </c>
      <c r="C41" s="155">
        <f t="shared" si="38"/>
        <v>55</v>
      </c>
      <c r="D41" s="140">
        <f>D42+42</f>
        <v>492</v>
      </c>
      <c r="E41" s="144">
        <f t="shared" si="29"/>
        <v>1.3</v>
      </c>
      <c r="F41" s="42">
        <f t="shared" si="30"/>
        <v>639.6</v>
      </c>
      <c r="G41" s="51">
        <f t="shared" si="33"/>
        <v>26.974999999999994</v>
      </c>
      <c r="I41" s="55">
        <v>36</v>
      </c>
      <c r="J41" s="33">
        <f t="shared" si="18"/>
        <v>5</v>
      </c>
      <c r="K41" s="33">
        <f t="shared" si="19"/>
        <v>1.910565629709926</v>
      </c>
      <c r="L41" s="33">
        <f t="shared" si="20"/>
        <v>45</v>
      </c>
      <c r="M41" s="33">
        <f t="shared" si="21"/>
        <v>0</v>
      </c>
      <c r="N41" s="33">
        <f t="shared" si="0"/>
        <v>0</v>
      </c>
      <c r="O41" s="34">
        <f t="shared" si="1"/>
        <v>177.03590180507811</v>
      </c>
      <c r="P41" s="55">
        <v>36</v>
      </c>
      <c r="Q41" s="33">
        <f t="shared" si="15"/>
        <v>-72.800000000000011</v>
      </c>
      <c r="R41" s="33">
        <f t="shared" si="22"/>
        <v>356.2000000000001</v>
      </c>
      <c r="S41" s="33">
        <f t="shared" si="23"/>
        <v>163.85200000000006</v>
      </c>
      <c r="T41" s="33">
        <f t="shared" si="2"/>
        <v>41.710138155336118</v>
      </c>
      <c r="U41" s="33">
        <f t="shared" si="16"/>
        <v>56.68520497482757</v>
      </c>
      <c r="V41" s="33">
        <f t="shared" si="3"/>
        <v>10</v>
      </c>
      <c r="W41" s="33">
        <v>0</v>
      </c>
      <c r="X41" s="33">
        <f t="shared" si="4"/>
        <v>602.53314219491165</v>
      </c>
      <c r="Y41" s="38">
        <f t="shared" si="5"/>
        <v>425.49724038983356</v>
      </c>
      <c r="AA41" s="71">
        <v>36</v>
      </c>
      <c r="AB41" s="33">
        <f t="shared" si="6"/>
        <v>56</v>
      </c>
      <c r="AC41" s="308">
        <f t="shared" si="39"/>
        <v>0.2</v>
      </c>
      <c r="AD41" s="101">
        <f t="shared" si="8"/>
        <v>0.33600000000000002</v>
      </c>
      <c r="AE41" s="101">
        <f t="shared" si="9"/>
        <v>0.26400000000000001</v>
      </c>
      <c r="AF41" s="197">
        <f t="shared" si="34"/>
        <v>12.908384040969404</v>
      </c>
      <c r="AG41" s="197">
        <f t="shared" si="35"/>
        <v>68.269398569787029</v>
      </c>
      <c r="AH41" s="197">
        <f t="shared" si="36"/>
        <v>12.983899342348483</v>
      </c>
      <c r="AI41" s="202">
        <f t="shared" si="37"/>
        <v>94.161681953104917</v>
      </c>
      <c r="AK41" s="71">
        <v>36</v>
      </c>
      <c r="AL41" s="33"/>
      <c r="AM41" s="33"/>
      <c r="AN41" s="33"/>
      <c r="AO41" s="33"/>
      <c r="AP41" s="33"/>
      <c r="AQ41" s="197"/>
      <c r="AR41" s="197"/>
      <c r="AS41" s="197"/>
      <c r="AT41" s="197"/>
      <c r="AU41" s="33"/>
      <c r="AV41" s="33"/>
      <c r="AW41" s="33"/>
      <c r="AX41" s="33"/>
      <c r="AY41" s="76"/>
    </row>
    <row r="42" spans="2:51">
      <c r="B42" s="40">
        <f t="shared" si="31"/>
        <v>55</v>
      </c>
      <c r="C42" s="155">
        <f t="shared" si="38"/>
        <v>56</v>
      </c>
      <c r="D42" s="140">
        <v>450</v>
      </c>
      <c r="E42" s="144">
        <f t="shared" si="29"/>
        <v>1.3</v>
      </c>
      <c r="F42" s="42">
        <f t="shared" si="30"/>
        <v>585</v>
      </c>
      <c r="G42" s="51">
        <f t="shared" si="33"/>
        <v>-54.600000000000023</v>
      </c>
      <c r="I42" s="55">
        <v>37</v>
      </c>
      <c r="J42" s="33">
        <f t="shared" si="18"/>
        <v>5</v>
      </c>
      <c r="K42" s="33">
        <f t="shared" si="19"/>
        <v>1.910565629709926</v>
      </c>
      <c r="L42" s="33">
        <f t="shared" si="20"/>
        <v>45</v>
      </c>
      <c r="M42" s="33">
        <f t="shared" si="21"/>
        <v>0</v>
      </c>
      <c r="N42" s="33">
        <f t="shared" si="0"/>
        <v>0</v>
      </c>
      <c r="O42" s="34">
        <f t="shared" si="1"/>
        <v>177.03590180507811</v>
      </c>
      <c r="P42" s="55">
        <v>37</v>
      </c>
      <c r="Q42" s="33">
        <f t="shared" si="15"/>
        <v>34.125</v>
      </c>
      <c r="R42" s="33">
        <f t="shared" si="22"/>
        <v>390.3250000000001</v>
      </c>
      <c r="S42" s="33">
        <f t="shared" si="23"/>
        <v>179.54950000000005</v>
      </c>
      <c r="T42" s="33">
        <f t="shared" si="2"/>
        <v>45.221943603548404</v>
      </c>
      <c r="U42" s="33">
        <f t="shared" si="16"/>
        <v>56.916186901092118</v>
      </c>
      <c r="V42" s="33">
        <f t="shared" si="3"/>
        <v>10</v>
      </c>
      <c r="W42" s="33">
        <v>0</v>
      </c>
      <c r="X42" s="33">
        <f t="shared" si="4"/>
        <v>636.83628291351795</v>
      </c>
      <c r="Y42" s="38">
        <f t="shared" si="5"/>
        <v>459.80038110843986</v>
      </c>
      <c r="AA42" s="71">
        <v>37</v>
      </c>
      <c r="AB42" s="33">
        <f t="shared" si="6"/>
        <v>0</v>
      </c>
      <c r="AC42" s="308">
        <f t="shared" si="39"/>
        <v>0</v>
      </c>
      <c r="AD42" s="101">
        <f t="shared" si="8"/>
        <v>0</v>
      </c>
      <c r="AE42" s="101">
        <f t="shared" si="9"/>
        <v>0</v>
      </c>
      <c r="AF42" s="197">
        <f t="shared" si="34"/>
        <v>12.65525850326283</v>
      </c>
      <c r="AG42" s="197">
        <f t="shared" si="35"/>
        <v>66.402568275764565</v>
      </c>
      <c r="AH42" s="197">
        <f t="shared" si="36"/>
        <v>9.1810032712181684</v>
      </c>
      <c r="AI42" s="202">
        <f t="shared" si="37"/>
        <v>88.238830050245568</v>
      </c>
      <c r="AK42" s="71">
        <v>37</v>
      </c>
      <c r="AL42" s="33"/>
      <c r="AM42" s="33"/>
      <c r="AN42" s="33"/>
      <c r="AO42" s="33"/>
      <c r="AP42" s="33"/>
      <c r="AQ42" s="197"/>
      <c r="AR42" s="197"/>
      <c r="AS42" s="197"/>
      <c r="AT42" s="197"/>
      <c r="AU42" s="33"/>
      <c r="AV42" s="33"/>
      <c r="AW42" s="33"/>
      <c r="AX42" s="33"/>
      <c r="AY42" s="76"/>
    </row>
    <row r="43" spans="2:51">
      <c r="B43" s="40">
        <f t="shared" si="31"/>
        <v>56</v>
      </c>
      <c r="C43" s="155">
        <f t="shared" si="38"/>
        <v>60</v>
      </c>
      <c r="D43" s="140">
        <f>D44+36</f>
        <v>528</v>
      </c>
      <c r="E43" s="144">
        <f t="shared" si="29"/>
        <v>1.3</v>
      </c>
      <c r="F43" s="42">
        <f t="shared" si="30"/>
        <v>686.4</v>
      </c>
      <c r="G43" s="51">
        <f t="shared" si="33"/>
        <v>25.349999999999994</v>
      </c>
      <c r="I43" s="55">
        <v>38</v>
      </c>
      <c r="J43" s="33">
        <f t="shared" si="18"/>
        <v>5</v>
      </c>
      <c r="K43" s="33">
        <f t="shared" si="19"/>
        <v>1.910565629709926</v>
      </c>
      <c r="L43" s="33">
        <f t="shared" si="20"/>
        <v>45</v>
      </c>
      <c r="M43" s="33">
        <f t="shared" si="21"/>
        <v>0</v>
      </c>
      <c r="N43" s="33">
        <f t="shared" si="0"/>
        <v>0</v>
      </c>
      <c r="O43" s="34">
        <f t="shared" si="1"/>
        <v>177.03590180507811</v>
      </c>
      <c r="P43" s="55">
        <v>38</v>
      </c>
      <c r="Q43" s="33">
        <f t="shared" si="15"/>
        <v>34.125</v>
      </c>
      <c r="R43" s="33">
        <f t="shared" si="22"/>
        <v>424.4500000000001</v>
      </c>
      <c r="S43" s="33">
        <f t="shared" si="23"/>
        <v>195.24700000000004</v>
      </c>
      <c r="T43" s="33">
        <f t="shared" si="2"/>
        <v>48.698144481561364</v>
      </c>
      <c r="U43" s="33">
        <f t="shared" si="16"/>
        <v>57.143161807334202</v>
      </c>
      <c r="V43" s="33">
        <f t="shared" si="3"/>
        <v>10</v>
      </c>
      <c r="W43" s="33">
        <v>0</v>
      </c>
      <c r="X43" s="33">
        <f t="shared" si="4"/>
        <v>671.06271993227813</v>
      </c>
      <c r="Y43" s="38">
        <f t="shared" si="5"/>
        <v>494.02681812720004</v>
      </c>
      <c r="AA43" s="71">
        <v>38</v>
      </c>
      <c r="AB43" s="33">
        <f t="shared" si="6"/>
        <v>0</v>
      </c>
      <c r="AC43" s="308">
        <f t="shared" si="39"/>
        <v>0</v>
      </c>
      <c r="AD43" s="101">
        <f t="shared" si="8"/>
        <v>0</v>
      </c>
      <c r="AE43" s="101">
        <f t="shared" si="9"/>
        <v>0</v>
      </c>
      <c r="AF43" s="197">
        <f t="shared" si="34"/>
        <v>12.407096602959351</v>
      </c>
      <c r="AG43" s="197">
        <f t="shared" si="35"/>
        <v>64.586786554304481</v>
      </c>
      <c r="AH43" s="197">
        <f t="shared" si="36"/>
        <v>6.4919496711742433</v>
      </c>
      <c r="AI43" s="202">
        <f t="shared" si="37"/>
        <v>83.485832828438078</v>
      </c>
      <c r="AK43" s="71">
        <v>38</v>
      </c>
      <c r="AL43" s="33"/>
      <c r="AM43" s="33"/>
      <c r="AN43" s="33"/>
      <c r="AO43" s="33"/>
      <c r="AP43" s="33"/>
      <c r="AQ43" s="197"/>
      <c r="AR43" s="197"/>
      <c r="AS43" s="197"/>
      <c r="AT43" s="197"/>
      <c r="AU43" s="33"/>
      <c r="AV43" s="33"/>
      <c r="AW43" s="33"/>
      <c r="AX43" s="33"/>
      <c r="AY43" s="76"/>
    </row>
    <row r="44" spans="2:51">
      <c r="B44" s="40">
        <f t="shared" si="31"/>
        <v>60</v>
      </c>
      <c r="C44" s="155">
        <f t="shared" si="38"/>
        <v>61</v>
      </c>
      <c r="D44" s="140">
        <v>492</v>
      </c>
      <c r="E44" s="144">
        <f t="shared" si="29"/>
        <v>1.3</v>
      </c>
      <c r="F44" s="42">
        <f t="shared" si="30"/>
        <v>639.6</v>
      </c>
      <c r="G44" s="51">
        <f t="shared" si="33"/>
        <v>-46.799999999999955</v>
      </c>
      <c r="I44" s="55">
        <v>39</v>
      </c>
      <c r="J44" s="33">
        <f t="shared" si="18"/>
        <v>5</v>
      </c>
      <c r="K44" s="33">
        <f t="shared" si="19"/>
        <v>1.910565629709926</v>
      </c>
      <c r="L44" s="33">
        <f t="shared" si="20"/>
        <v>45</v>
      </c>
      <c r="M44" s="33">
        <f t="shared" si="21"/>
        <v>0</v>
      </c>
      <c r="N44" s="33">
        <f t="shared" si="0"/>
        <v>0</v>
      </c>
      <c r="O44" s="34">
        <f t="shared" si="1"/>
        <v>177.03590180507811</v>
      </c>
      <c r="P44" s="55">
        <v>39</v>
      </c>
      <c r="Q44" s="33">
        <f t="shared" si="15"/>
        <v>34.125</v>
      </c>
      <c r="R44" s="33">
        <f t="shared" si="22"/>
        <v>458.5750000000001</v>
      </c>
      <c r="S44" s="33">
        <f t="shared" si="23"/>
        <v>210.94450000000006</v>
      </c>
      <c r="T44" s="33">
        <f t="shared" si="2"/>
        <v>52.141928775008452</v>
      </c>
      <c r="U44" s="33">
        <f t="shared" si="16"/>
        <v>57.366199206392857</v>
      </c>
      <c r="V44" s="33">
        <f t="shared" si="3"/>
        <v>10</v>
      </c>
      <c r="W44" s="33">
        <v>0</v>
      </c>
      <c r="X44" s="33">
        <f t="shared" si="4"/>
        <v>705.21826053991379</v>
      </c>
      <c r="Y44" s="38">
        <f t="shared" si="5"/>
        <v>528.1823587348357</v>
      </c>
      <c r="AA44" s="71">
        <v>39</v>
      </c>
      <c r="AB44" s="33">
        <f t="shared" si="6"/>
        <v>0</v>
      </c>
      <c r="AC44" s="308">
        <f t="shared" si="39"/>
        <v>0</v>
      </c>
      <c r="AD44" s="101">
        <f t="shared" si="8"/>
        <v>0</v>
      </c>
      <c r="AE44" s="101">
        <f t="shared" si="9"/>
        <v>0</v>
      </c>
      <c r="AF44" s="197">
        <f t="shared" si="34"/>
        <v>12.163801006157009</v>
      </c>
      <c r="AG44" s="197">
        <f t="shared" si="35"/>
        <v>62.820657479505535</v>
      </c>
      <c r="AH44" s="197">
        <f t="shared" si="36"/>
        <v>4.5905016356090851</v>
      </c>
      <c r="AI44" s="202">
        <f t="shared" si="37"/>
        <v>79.57496012127163</v>
      </c>
      <c r="AK44" s="71">
        <v>39</v>
      </c>
      <c r="AL44" s="33"/>
      <c r="AM44" s="33"/>
      <c r="AN44" s="33"/>
      <c r="AO44" s="33"/>
      <c r="AP44" s="33"/>
      <c r="AQ44" s="197"/>
      <c r="AR44" s="197"/>
      <c r="AS44" s="197"/>
      <c r="AT44" s="197"/>
      <c r="AU44" s="33"/>
      <c r="AV44" s="33"/>
      <c r="AW44" s="33"/>
      <c r="AX44" s="33"/>
      <c r="AY44" s="76"/>
    </row>
    <row r="45" spans="2:51">
      <c r="B45" s="40">
        <f t="shared" si="31"/>
        <v>61</v>
      </c>
      <c r="C45" s="155">
        <f t="shared" si="38"/>
        <v>65</v>
      </c>
      <c r="D45" s="140">
        <f>D46+31</f>
        <v>563</v>
      </c>
      <c r="E45" s="144">
        <f t="shared" si="29"/>
        <v>1.3</v>
      </c>
      <c r="F45" s="42">
        <f t="shared" si="30"/>
        <v>731.9</v>
      </c>
      <c r="G45" s="51">
        <f t="shared" si="33"/>
        <v>23.074999999999989</v>
      </c>
      <c r="I45" s="55">
        <v>40</v>
      </c>
      <c r="J45" s="33">
        <f t="shared" si="18"/>
        <v>5</v>
      </c>
      <c r="K45" s="33">
        <f t="shared" si="19"/>
        <v>1.910565629709926</v>
      </c>
      <c r="L45" s="33">
        <f t="shared" si="20"/>
        <v>45</v>
      </c>
      <c r="M45" s="33">
        <f t="shared" si="21"/>
        <v>0</v>
      </c>
      <c r="N45" s="33">
        <f t="shared" si="0"/>
        <v>0</v>
      </c>
      <c r="O45" s="34">
        <f t="shared" si="1"/>
        <v>177.03590180507811</v>
      </c>
      <c r="P45" s="55">
        <v>40</v>
      </c>
      <c r="Q45" s="33">
        <f t="shared" si="15"/>
        <v>34.125</v>
      </c>
      <c r="R45" s="33">
        <f t="shared" si="22"/>
        <v>492.7000000000001</v>
      </c>
      <c r="S45" s="33">
        <f t="shared" si="23"/>
        <v>226.64200000000005</v>
      </c>
      <c r="T45" s="33">
        <f t="shared" si="2"/>
        <v>55.555983079812862</v>
      </c>
      <c r="U45" s="33">
        <f t="shared" si="16"/>
        <v>57.585367405214768</v>
      </c>
      <c r="V45" s="33">
        <f t="shared" si="3"/>
        <v>10</v>
      </c>
      <c r="W45" s="33">
        <v>0</v>
      </c>
      <c r="X45" s="33">
        <f t="shared" si="4"/>
        <v>739.30783434979492</v>
      </c>
      <c r="Y45" s="38">
        <f t="shared" si="5"/>
        <v>562.27193254471683</v>
      </c>
      <c r="AA45" s="71">
        <v>40</v>
      </c>
      <c r="AB45" s="33">
        <f t="shared" si="6"/>
        <v>0</v>
      </c>
      <c r="AC45" s="308">
        <f t="shared" si="39"/>
        <v>0</v>
      </c>
      <c r="AD45" s="101">
        <f t="shared" si="8"/>
        <v>0</v>
      </c>
      <c r="AE45" s="101">
        <f t="shared" si="9"/>
        <v>0</v>
      </c>
      <c r="AF45" s="197">
        <f t="shared" si="34"/>
        <v>11.9252762876123</v>
      </c>
      <c r="AG45" s="197">
        <f t="shared" si="35"/>
        <v>61.102823297133661</v>
      </c>
      <c r="AH45" s="197">
        <f t="shared" si="36"/>
        <v>3.2459748355871221</v>
      </c>
      <c r="AI45" s="202">
        <f t="shared" si="37"/>
        <v>76.274074420333079</v>
      </c>
      <c r="AK45" s="71">
        <v>40</v>
      </c>
      <c r="AL45" s="33"/>
      <c r="AM45" s="33"/>
      <c r="AN45" s="33"/>
      <c r="AO45" s="33"/>
      <c r="AP45" s="33"/>
      <c r="AQ45" s="197"/>
      <c r="AR45" s="197"/>
      <c r="AS45" s="197"/>
      <c r="AT45" s="197"/>
      <c r="AU45" s="33"/>
      <c r="AV45" s="33"/>
      <c r="AW45" s="33"/>
      <c r="AX45" s="33"/>
      <c r="AY45" s="76"/>
    </row>
    <row r="46" spans="2:51">
      <c r="B46" s="40">
        <f t="shared" si="31"/>
        <v>65</v>
      </c>
      <c r="C46" s="155">
        <f t="shared" si="38"/>
        <v>66</v>
      </c>
      <c r="D46" s="140">
        <v>532</v>
      </c>
      <c r="E46" s="144">
        <f t="shared" si="29"/>
        <v>1.3</v>
      </c>
      <c r="F46" s="42">
        <f t="shared" si="30"/>
        <v>691.6</v>
      </c>
      <c r="G46" s="51">
        <f t="shared" si="33"/>
        <v>-40.299999999999955</v>
      </c>
      <c r="I46" s="55">
        <v>41</v>
      </c>
      <c r="J46" s="33">
        <f t="shared" si="18"/>
        <v>5</v>
      </c>
      <c r="K46" s="33">
        <f t="shared" si="19"/>
        <v>1.910565629709926</v>
      </c>
      <c r="L46" s="33">
        <f t="shared" si="20"/>
        <v>45</v>
      </c>
      <c r="M46" s="33">
        <f t="shared" si="21"/>
        <v>0</v>
      </c>
      <c r="N46" s="33">
        <f t="shared" si="0"/>
        <v>0</v>
      </c>
      <c r="O46" s="34">
        <f t="shared" si="1"/>
        <v>177.03590180507811</v>
      </c>
      <c r="P46" s="55">
        <v>41</v>
      </c>
      <c r="Q46" s="33">
        <f t="shared" si="15"/>
        <v>-72.799999999999955</v>
      </c>
      <c r="R46" s="33">
        <f t="shared" si="22"/>
        <v>419.90000000000015</v>
      </c>
      <c r="S46" s="33">
        <f t="shared" si="23"/>
        <v>193.15400000000008</v>
      </c>
      <c r="T46" s="33">
        <f t="shared" si="2"/>
        <v>48.236587915544618</v>
      </c>
      <c r="U46" s="33">
        <f t="shared" si="16"/>
        <v>57.800733525773801</v>
      </c>
      <c r="V46" s="33">
        <f t="shared" si="3"/>
        <v>10</v>
      </c>
      <c r="W46" s="33">
        <v>0</v>
      </c>
      <c r="X46" s="33">
        <f t="shared" si="4"/>
        <v>669.02463021407766</v>
      </c>
      <c r="Y46" s="38">
        <f t="shared" si="5"/>
        <v>491.98872840899958</v>
      </c>
      <c r="AA46" s="71">
        <v>41</v>
      </c>
      <c r="AB46" s="33">
        <f t="shared" si="6"/>
        <v>56</v>
      </c>
      <c r="AC46" s="308">
        <f t="shared" si="39"/>
        <v>0.3</v>
      </c>
      <c r="AD46" s="101">
        <f t="shared" si="8"/>
        <v>0.22400000000000003</v>
      </c>
      <c r="AE46" s="101">
        <f t="shared" si="9"/>
        <v>0.17600000000000002</v>
      </c>
      <c r="AF46" s="197">
        <f t="shared" si="34"/>
        <v>25.018626038440338</v>
      </c>
      <c r="AG46" s="197">
        <f t="shared" si="35"/>
        <v>69.343756473439768</v>
      </c>
      <c r="AH46" s="197">
        <f t="shared" si="36"/>
        <v>8.96850116940821</v>
      </c>
      <c r="AI46" s="202">
        <f t="shared" si="37"/>
        <v>103.33088368128831</v>
      </c>
      <c r="AK46" s="71">
        <v>41</v>
      </c>
      <c r="AL46" s="33"/>
      <c r="AM46" s="33"/>
      <c r="AN46" s="33"/>
      <c r="AO46" s="33"/>
      <c r="AP46" s="33"/>
      <c r="AQ46" s="197"/>
      <c r="AR46" s="197"/>
      <c r="AS46" s="197"/>
      <c r="AT46" s="197"/>
      <c r="AU46" s="33"/>
      <c r="AV46" s="33"/>
      <c r="AW46" s="33"/>
      <c r="AX46" s="33"/>
      <c r="AY46" s="76"/>
    </row>
    <row r="47" spans="2:51">
      <c r="B47" s="40">
        <f t="shared" si="31"/>
        <v>66</v>
      </c>
      <c r="C47" s="155">
        <f t="shared" si="38"/>
        <v>70</v>
      </c>
      <c r="D47" s="140">
        <f>D48+29</f>
        <v>595</v>
      </c>
      <c r="E47" s="144">
        <f t="shared" si="29"/>
        <v>1.3</v>
      </c>
      <c r="F47" s="42">
        <f t="shared" si="30"/>
        <v>773.5</v>
      </c>
      <c r="G47" s="51">
        <f t="shared" si="33"/>
        <v>20.474999999999994</v>
      </c>
      <c r="I47" s="55">
        <v>42</v>
      </c>
      <c r="J47" s="33">
        <f t="shared" si="18"/>
        <v>5</v>
      </c>
      <c r="K47" s="33">
        <f t="shared" si="19"/>
        <v>1.910565629709926</v>
      </c>
      <c r="L47" s="33">
        <f t="shared" si="20"/>
        <v>45</v>
      </c>
      <c r="M47" s="33">
        <f t="shared" si="21"/>
        <v>0</v>
      </c>
      <c r="N47" s="33">
        <f t="shared" si="0"/>
        <v>0</v>
      </c>
      <c r="O47" s="34">
        <f t="shared" si="1"/>
        <v>177.03590180507811</v>
      </c>
      <c r="P47" s="55">
        <v>42</v>
      </c>
      <c r="Q47" s="33">
        <f t="shared" si="15"/>
        <v>31.850000000000009</v>
      </c>
      <c r="R47" s="33">
        <f t="shared" si="22"/>
        <v>451.75000000000017</v>
      </c>
      <c r="S47" s="33">
        <f t="shared" si="23"/>
        <v>207.80500000000009</v>
      </c>
      <c r="T47" s="33">
        <f t="shared" si="2"/>
        <v>51.455630039067636</v>
      </c>
      <c r="U47" s="33">
        <f t="shared" si="16"/>
        <v>58.012363525627649</v>
      </c>
      <c r="V47" s="33">
        <f t="shared" si="3"/>
        <v>10</v>
      </c>
      <c r="W47" s="33">
        <v>0</v>
      </c>
      <c r="X47" s="33">
        <f t="shared" si="4"/>
        <v>700.9242635786776</v>
      </c>
      <c r="Y47" s="38">
        <f t="shared" si="5"/>
        <v>523.88836177359951</v>
      </c>
      <c r="AA47" s="71">
        <v>42</v>
      </c>
      <c r="AB47" s="33">
        <f t="shared" si="6"/>
        <v>0</v>
      </c>
      <c r="AC47" s="308">
        <f t="shared" si="39"/>
        <v>0</v>
      </c>
      <c r="AD47" s="101">
        <f t="shared" si="8"/>
        <v>0</v>
      </c>
      <c r="AE47" s="101">
        <f t="shared" si="9"/>
        <v>0</v>
      </c>
      <c r="AF47" s="197">
        <f t="shared" si="34"/>
        <v>24.52802604168162</v>
      </c>
      <c r="AG47" s="197">
        <f t="shared" si="35"/>
        <v>67.447547806043886</v>
      </c>
      <c r="AH47" s="197">
        <f t="shared" si="36"/>
        <v>6.3416879939680273</v>
      </c>
      <c r="AI47" s="202">
        <f t="shared" si="37"/>
        <v>98.317261841693536</v>
      </c>
      <c r="AK47" s="71">
        <v>42</v>
      </c>
      <c r="AL47" s="33"/>
      <c r="AM47" s="33"/>
      <c r="AN47" s="33"/>
      <c r="AO47" s="33"/>
      <c r="AP47" s="33"/>
      <c r="AQ47" s="197"/>
      <c r="AR47" s="197"/>
      <c r="AS47" s="197"/>
      <c r="AT47" s="197"/>
      <c r="AU47" s="33"/>
      <c r="AV47" s="33"/>
      <c r="AW47" s="33"/>
      <c r="AX47" s="33"/>
      <c r="AY47" s="76"/>
    </row>
    <row r="48" spans="2:51">
      <c r="B48" s="40">
        <f t="shared" si="31"/>
        <v>70</v>
      </c>
      <c r="C48" s="155">
        <f t="shared" si="38"/>
        <v>71</v>
      </c>
      <c r="D48" s="140">
        <v>566</v>
      </c>
      <c r="E48" s="144">
        <f t="shared" si="29"/>
        <v>1.3</v>
      </c>
      <c r="F48" s="42">
        <f t="shared" si="30"/>
        <v>735.80000000000007</v>
      </c>
      <c r="G48" s="51">
        <f t="shared" si="33"/>
        <v>-37.699999999999932</v>
      </c>
      <c r="I48" s="55">
        <v>43</v>
      </c>
      <c r="J48" s="33">
        <f t="shared" si="18"/>
        <v>5</v>
      </c>
      <c r="K48" s="33">
        <f t="shared" si="19"/>
        <v>1.910565629709926</v>
      </c>
      <c r="L48" s="33">
        <f t="shared" si="20"/>
        <v>45</v>
      </c>
      <c r="M48" s="33">
        <f t="shared" si="21"/>
        <v>0</v>
      </c>
      <c r="N48" s="33">
        <f t="shared" si="0"/>
        <v>0</v>
      </c>
      <c r="O48" s="34">
        <f t="shared" si="1"/>
        <v>177.03590180507811</v>
      </c>
      <c r="P48" s="55">
        <v>43</v>
      </c>
      <c r="Q48" s="33">
        <f t="shared" si="15"/>
        <v>31.850000000000009</v>
      </c>
      <c r="R48" s="33">
        <f t="shared" si="22"/>
        <v>483.60000000000019</v>
      </c>
      <c r="S48" s="33">
        <f t="shared" si="23"/>
        <v>222.4560000000001</v>
      </c>
      <c r="T48" s="33">
        <f t="shared" si="2"/>
        <v>54.648339796219865</v>
      </c>
      <c r="U48" s="33">
        <f t="shared" si="16"/>
        <v>58.220322218117829</v>
      </c>
      <c r="V48" s="33">
        <f t="shared" si="3"/>
        <v>10</v>
      </c>
      <c r="W48" s="33">
        <v>0</v>
      </c>
      <c r="X48" s="33">
        <f t="shared" si="4"/>
        <v>732.76457327818173</v>
      </c>
      <c r="Y48" s="38">
        <f t="shared" si="5"/>
        <v>555.72867147310365</v>
      </c>
      <c r="AA48" s="71">
        <v>43</v>
      </c>
      <c r="AB48" s="33">
        <f t="shared" si="6"/>
        <v>0</v>
      </c>
      <c r="AC48" s="308">
        <f t="shared" si="39"/>
        <v>0</v>
      </c>
      <c r="AD48" s="101">
        <f t="shared" si="8"/>
        <v>0</v>
      </c>
      <c r="AE48" s="101">
        <f t="shared" si="9"/>
        <v>0</v>
      </c>
      <c r="AF48" s="197">
        <f t="shared" si="34"/>
        <v>24.04704641162289</v>
      </c>
      <c r="AG48" s="197">
        <f t="shared" si="35"/>
        <v>65.603191064375224</v>
      </c>
      <c r="AH48" s="197">
        <f t="shared" si="36"/>
        <v>4.4842505847041059</v>
      </c>
      <c r="AI48" s="202">
        <f t="shared" si="37"/>
        <v>94.134488060702211</v>
      </c>
      <c r="AK48" s="71">
        <v>43</v>
      </c>
      <c r="AL48" s="33"/>
      <c r="AM48" s="33"/>
      <c r="AN48" s="33"/>
      <c r="AO48" s="33"/>
      <c r="AP48" s="33"/>
      <c r="AQ48" s="197"/>
      <c r="AR48" s="197"/>
      <c r="AS48" s="197"/>
      <c r="AT48" s="197"/>
      <c r="AU48" s="33"/>
      <c r="AV48" s="33"/>
      <c r="AW48" s="33"/>
      <c r="AX48" s="33"/>
      <c r="AY48" s="76"/>
    </row>
    <row r="49" spans="2:51">
      <c r="B49" s="40">
        <f t="shared" si="31"/>
        <v>71</v>
      </c>
      <c r="C49" s="155">
        <f t="shared" si="38"/>
        <v>75</v>
      </c>
      <c r="D49" s="140">
        <f>D50+28</f>
        <v>621</v>
      </c>
      <c r="E49" s="144">
        <f t="shared" si="29"/>
        <v>1.3</v>
      </c>
      <c r="F49" s="42">
        <f t="shared" si="30"/>
        <v>807.30000000000007</v>
      </c>
      <c r="G49" s="51">
        <f t="shared" si="33"/>
        <v>17.875</v>
      </c>
      <c r="I49" s="55">
        <v>44</v>
      </c>
      <c r="J49" s="33">
        <f t="shared" si="18"/>
        <v>5</v>
      </c>
      <c r="K49" s="33">
        <f t="shared" si="19"/>
        <v>1.910565629709926</v>
      </c>
      <c r="L49" s="33">
        <f t="shared" si="20"/>
        <v>45</v>
      </c>
      <c r="M49" s="33">
        <f t="shared" si="21"/>
        <v>0</v>
      </c>
      <c r="N49" s="33">
        <f t="shared" si="0"/>
        <v>0</v>
      </c>
      <c r="O49" s="34">
        <f t="shared" si="1"/>
        <v>177.03590180507811</v>
      </c>
      <c r="P49" s="55">
        <v>44</v>
      </c>
      <c r="Q49" s="33">
        <f t="shared" si="15"/>
        <v>31.850000000000009</v>
      </c>
      <c r="R49" s="33">
        <f t="shared" si="22"/>
        <v>515.45000000000016</v>
      </c>
      <c r="S49" s="33">
        <f t="shared" si="23"/>
        <v>237.10700000000008</v>
      </c>
      <c r="T49" s="33">
        <f t="shared" si="2"/>
        <v>57.816648791392161</v>
      </c>
      <c r="U49" s="33">
        <f t="shared" si="16"/>
        <v>58.424673292219296</v>
      </c>
      <c r="V49" s="33">
        <f t="shared" si="3"/>
        <v>10</v>
      </c>
      <c r="W49" s="33">
        <v>0</v>
      </c>
      <c r="X49" s="33">
        <f t="shared" si="4"/>
        <v>764.54915704981215</v>
      </c>
      <c r="Y49" s="38">
        <f t="shared" si="5"/>
        <v>587.51325524473407</v>
      </c>
      <c r="AA49" s="71">
        <v>44</v>
      </c>
      <c r="AB49" s="33">
        <f t="shared" si="6"/>
        <v>0</v>
      </c>
      <c r="AC49" s="308">
        <f t="shared" si="39"/>
        <v>0</v>
      </c>
      <c r="AD49" s="101">
        <f t="shared" si="8"/>
        <v>0</v>
      </c>
      <c r="AE49" s="101">
        <f t="shared" si="9"/>
        <v>0</v>
      </c>
      <c r="AF49" s="197">
        <f t="shared" si="34"/>
        <v>23.575498498741005</v>
      </c>
      <c r="AG49" s="197">
        <f t="shared" si="35"/>
        <v>63.809268354798</v>
      </c>
      <c r="AH49" s="197">
        <f t="shared" si="36"/>
        <v>3.1708439969840141</v>
      </c>
      <c r="AI49" s="202">
        <f t="shared" si="37"/>
        <v>90.555610850523024</v>
      </c>
      <c r="AK49" s="71">
        <v>44</v>
      </c>
      <c r="AL49" s="33"/>
      <c r="AM49" s="33"/>
      <c r="AN49" s="33"/>
      <c r="AO49" s="33"/>
      <c r="AP49" s="33"/>
      <c r="AQ49" s="197"/>
      <c r="AR49" s="197"/>
      <c r="AS49" s="197"/>
      <c r="AT49" s="197"/>
      <c r="AU49" s="33"/>
      <c r="AV49" s="33"/>
      <c r="AW49" s="33"/>
      <c r="AX49" s="33"/>
      <c r="AY49" s="76"/>
    </row>
    <row r="50" spans="2:51">
      <c r="B50" s="40">
        <f t="shared" si="31"/>
        <v>75</v>
      </c>
      <c r="C50" s="155">
        <f t="shared" si="38"/>
        <v>76</v>
      </c>
      <c r="D50" s="140">
        <v>593</v>
      </c>
      <c r="E50" s="144">
        <f t="shared" si="29"/>
        <v>1.3</v>
      </c>
      <c r="F50" s="42">
        <f t="shared" si="30"/>
        <v>770.9</v>
      </c>
      <c r="G50" s="51">
        <f t="shared" si="33"/>
        <v>-36.400000000000091</v>
      </c>
      <c r="I50" s="55">
        <v>45</v>
      </c>
      <c r="J50" s="33">
        <f t="shared" si="18"/>
        <v>5</v>
      </c>
      <c r="K50" s="33">
        <f t="shared" si="19"/>
        <v>1.910565629709926</v>
      </c>
      <c r="L50" s="33">
        <f t="shared" si="20"/>
        <v>45</v>
      </c>
      <c r="M50" s="33">
        <f t="shared" si="21"/>
        <v>0</v>
      </c>
      <c r="N50" s="33">
        <f t="shared" si="0"/>
        <v>0</v>
      </c>
      <c r="O50" s="34">
        <f t="shared" si="1"/>
        <v>177.03590180507811</v>
      </c>
      <c r="P50" s="55">
        <v>45</v>
      </c>
      <c r="Q50" s="33">
        <f t="shared" si="15"/>
        <v>31.850000000000009</v>
      </c>
      <c r="R50" s="33">
        <f t="shared" si="22"/>
        <v>547.30000000000018</v>
      </c>
      <c r="S50" s="33">
        <f t="shared" si="23"/>
        <v>251.7580000000001</v>
      </c>
      <c r="T50" s="33">
        <f t="shared" si="2"/>
        <v>60.962236428453878</v>
      </c>
      <c r="U50" s="33">
        <f t="shared" si="16"/>
        <v>58.625479332045664</v>
      </c>
      <c r="V50" s="33">
        <f t="shared" si="3"/>
        <v>10</v>
      </c>
      <c r="W50" s="33">
        <v>0</v>
      </c>
      <c r="X50" s="33">
        <f t="shared" si="4"/>
        <v>796.28116933039144</v>
      </c>
      <c r="Y50" s="38">
        <f t="shared" si="5"/>
        <v>619.24526752531335</v>
      </c>
      <c r="AA50" s="71">
        <v>45</v>
      </c>
      <c r="AB50" s="33">
        <f t="shared" si="6"/>
        <v>0</v>
      </c>
      <c r="AC50" s="308">
        <f t="shared" si="39"/>
        <v>0</v>
      </c>
      <c r="AD50" s="101">
        <f t="shared" si="8"/>
        <v>0</v>
      </c>
      <c r="AE50" s="101">
        <f t="shared" si="9"/>
        <v>0</v>
      </c>
      <c r="AF50" s="197">
        <f t="shared" si="34"/>
        <v>23.113197352814908</v>
      </c>
      <c r="AG50" s="197">
        <f t="shared" si="35"/>
        <v>62.064400556052462</v>
      </c>
      <c r="AH50" s="197">
        <f t="shared" si="36"/>
        <v>2.2421252923520534</v>
      </c>
      <c r="AI50" s="202">
        <f t="shared" si="37"/>
        <v>87.419723201219426</v>
      </c>
      <c r="AK50" s="71">
        <v>45</v>
      </c>
      <c r="AL50" s="33"/>
      <c r="AM50" s="33"/>
      <c r="AN50" s="33"/>
      <c r="AO50" s="33"/>
      <c r="AP50" s="33"/>
      <c r="AQ50" s="197"/>
      <c r="AR50" s="197"/>
      <c r="AS50" s="197"/>
      <c r="AT50" s="197"/>
      <c r="AU50" s="33"/>
      <c r="AV50" s="33"/>
      <c r="AW50" s="33"/>
      <c r="AX50" s="33"/>
      <c r="AY50" s="76"/>
    </row>
    <row r="51" spans="2:51">
      <c r="B51" s="40">
        <f t="shared" si="31"/>
        <v>76</v>
      </c>
      <c r="C51" s="155">
        <f t="shared" si="38"/>
        <v>80</v>
      </c>
      <c r="D51" s="140">
        <f>D52+27</f>
        <v>643</v>
      </c>
      <c r="E51" s="144">
        <f t="shared" si="29"/>
        <v>1.3</v>
      </c>
      <c r="F51" s="42">
        <f t="shared" si="30"/>
        <v>835.9</v>
      </c>
      <c r="G51" s="51">
        <f t="shared" si="33"/>
        <v>16.25</v>
      </c>
      <c r="I51" s="55">
        <v>46</v>
      </c>
      <c r="J51" s="33">
        <f t="shared" si="18"/>
        <v>5</v>
      </c>
      <c r="K51" s="33">
        <f t="shared" si="19"/>
        <v>1.910565629709926</v>
      </c>
      <c r="L51" s="33">
        <f t="shared" si="20"/>
        <v>45</v>
      </c>
      <c r="M51" s="33">
        <f t="shared" si="21"/>
        <v>0</v>
      </c>
      <c r="N51" s="33">
        <f t="shared" si="0"/>
        <v>0</v>
      </c>
      <c r="O51" s="34">
        <f t="shared" si="1"/>
        <v>177.03590180507811</v>
      </c>
      <c r="P51" s="55">
        <v>46</v>
      </c>
      <c r="Q51" s="33">
        <f t="shared" si="15"/>
        <v>-70.200000000000045</v>
      </c>
      <c r="R51" s="33">
        <f t="shared" si="22"/>
        <v>477.10000000000014</v>
      </c>
      <c r="S51" s="33">
        <f t="shared" si="23"/>
        <v>219.46600000000007</v>
      </c>
      <c r="T51" s="33">
        <f t="shared" si="2"/>
        <v>53.998807048358273</v>
      </c>
      <c r="U51" s="33">
        <f t="shared" si="16"/>
        <v>58.82280183601609</v>
      </c>
      <c r="V51" s="33">
        <f t="shared" si="3"/>
        <v>10</v>
      </c>
      <c r="W51" s="33">
        <v>0</v>
      </c>
      <c r="X51" s="33">
        <f t="shared" si="4"/>
        <v>728.63481234128312</v>
      </c>
      <c r="Y51" s="38">
        <f t="shared" si="5"/>
        <v>551.59891053620504</v>
      </c>
      <c r="AA51" s="71">
        <v>46</v>
      </c>
      <c r="AB51" s="33">
        <f t="shared" si="6"/>
        <v>54</v>
      </c>
      <c r="AC51" s="308">
        <f t="shared" si="39"/>
        <v>0.4</v>
      </c>
      <c r="AD51" s="101">
        <f t="shared" si="8"/>
        <v>0.11199999999999999</v>
      </c>
      <c r="AE51" s="101">
        <f t="shared" si="9"/>
        <v>8.7999999999999981E-2</v>
      </c>
      <c r="AF51" s="197">
        <f t="shared" si="34"/>
        <v>39.79492940840602</v>
      </c>
      <c r="AG51" s="197">
        <f t="shared" si="35"/>
        <v>65.146146500108827</v>
      </c>
      <c r="AH51" s="197">
        <f t="shared" si="36"/>
        <v>4.802881989443776</v>
      </c>
      <c r="AI51" s="202">
        <f t="shared" si="37"/>
        <v>109.74395789795862</v>
      </c>
      <c r="AK51" s="71">
        <v>46</v>
      </c>
      <c r="AL51" s="33"/>
      <c r="AM51" s="33"/>
      <c r="AN51" s="33"/>
      <c r="AO51" s="33"/>
      <c r="AP51" s="33"/>
      <c r="AQ51" s="197"/>
      <c r="AR51" s="197"/>
      <c r="AS51" s="197"/>
      <c r="AT51" s="197"/>
      <c r="AU51" s="33"/>
      <c r="AV51" s="33"/>
      <c r="AW51" s="33"/>
      <c r="AX51" s="33"/>
      <c r="AY51" s="76"/>
    </row>
    <row r="52" spans="2:51">
      <c r="B52" s="40">
        <f t="shared" si="31"/>
        <v>80</v>
      </c>
      <c r="C52" s="155">
        <f t="shared" si="38"/>
        <v>81</v>
      </c>
      <c r="D52" s="140">
        <v>616</v>
      </c>
      <c r="E52" s="144">
        <f t="shared" si="29"/>
        <v>1.3</v>
      </c>
      <c r="F52" s="42">
        <f t="shared" si="30"/>
        <v>800.80000000000007</v>
      </c>
      <c r="G52" s="51">
        <f t="shared" si="33"/>
        <v>-35.099999999999909</v>
      </c>
      <c r="I52" s="55">
        <v>47</v>
      </c>
      <c r="J52" s="33">
        <f t="shared" si="18"/>
        <v>5</v>
      </c>
      <c r="K52" s="33">
        <f t="shared" si="19"/>
        <v>1.910565629709926</v>
      </c>
      <c r="L52" s="33">
        <f t="shared" si="20"/>
        <v>45</v>
      </c>
      <c r="M52" s="33">
        <f t="shared" si="21"/>
        <v>0</v>
      </c>
      <c r="N52" s="33">
        <f t="shared" si="0"/>
        <v>0</v>
      </c>
      <c r="O52" s="34">
        <f t="shared" si="1"/>
        <v>177.03590180507811</v>
      </c>
      <c r="P52" s="55">
        <v>47</v>
      </c>
      <c r="Q52" s="33">
        <f t="shared" si="15"/>
        <v>29.574999999999989</v>
      </c>
      <c r="R52" s="33">
        <f t="shared" si="22"/>
        <v>506.67500000000013</v>
      </c>
      <c r="S52" s="33">
        <f t="shared" si="23"/>
        <v>233.07050000000007</v>
      </c>
      <c r="T52" s="33">
        <f t="shared" si="2"/>
        <v>56.946082123005873</v>
      </c>
      <c r="U52" s="33">
        <f t="shared" si="16"/>
        <v>59.016701235689659</v>
      </c>
      <c r="V52" s="33">
        <f t="shared" si="3"/>
        <v>10</v>
      </c>
      <c r="W52" s="33">
        <v>0</v>
      </c>
      <c r="X52" s="33">
        <f t="shared" si="4"/>
        <v>758.17345172843068</v>
      </c>
      <c r="Y52" s="38">
        <f t="shared" si="5"/>
        <v>581.13754992335259</v>
      </c>
      <c r="AA52" s="71">
        <v>47</v>
      </c>
      <c r="AB52" s="33">
        <f t="shared" si="6"/>
        <v>0</v>
      </c>
      <c r="AC52" s="308">
        <f t="shared" si="39"/>
        <v>0</v>
      </c>
      <c r="AD52" s="101">
        <f t="shared" si="8"/>
        <v>0</v>
      </c>
      <c r="AE52" s="101">
        <f t="shared" si="9"/>
        <v>0</v>
      </c>
      <c r="AF52" s="197">
        <f t="shared" si="34"/>
        <v>39.014575115217404</v>
      </c>
      <c r="AG52" s="197">
        <f t="shared" si="35"/>
        <v>63.364721698176403</v>
      </c>
      <c r="AH52" s="197">
        <f t="shared" si="36"/>
        <v>3.3961504239744302</v>
      </c>
      <c r="AI52" s="202">
        <f t="shared" si="37"/>
        <v>105.77544723736824</v>
      </c>
      <c r="AK52" s="71">
        <v>47</v>
      </c>
      <c r="AL52" s="33"/>
      <c r="AM52" s="33"/>
      <c r="AN52" s="33"/>
      <c r="AO52" s="33"/>
      <c r="AP52" s="33"/>
      <c r="AQ52" s="197"/>
      <c r="AR52" s="197"/>
      <c r="AS52" s="197"/>
      <c r="AT52" s="197"/>
      <c r="AU52" s="33"/>
      <c r="AV52" s="33"/>
      <c r="AW52" s="33"/>
      <c r="AX52" s="33"/>
      <c r="AY52" s="76"/>
    </row>
    <row r="53" spans="2:51">
      <c r="B53" s="40"/>
      <c r="C53" s="155"/>
      <c r="D53" s="140"/>
      <c r="E53" s="144"/>
      <c r="F53" s="42"/>
      <c r="G53" s="51"/>
      <c r="I53" s="55">
        <v>48</v>
      </c>
      <c r="J53" s="33">
        <f t="shared" si="18"/>
        <v>5</v>
      </c>
      <c r="K53" s="33">
        <f t="shared" si="19"/>
        <v>1.910565629709926</v>
      </c>
      <c r="L53" s="33">
        <f t="shared" si="20"/>
        <v>45</v>
      </c>
      <c r="M53" s="33">
        <f t="shared" si="21"/>
        <v>0</v>
      </c>
      <c r="N53" s="33">
        <f t="shared" si="0"/>
        <v>0</v>
      </c>
      <c r="O53" s="34">
        <f t="shared" si="1"/>
        <v>177.03590180507811</v>
      </c>
      <c r="P53" s="55">
        <v>48</v>
      </c>
      <c r="Q53" s="33">
        <f t="shared" si="15"/>
        <v>29.574999999999989</v>
      </c>
      <c r="R53" s="33">
        <f t="shared" si="22"/>
        <v>536.25000000000011</v>
      </c>
      <c r="S53" s="33">
        <f t="shared" si="23"/>
        <v>246.67500000000007</v>
      </c>
      <c r="T53" s="33">
        <f t="shared" si="2"/>
        <v>59.873388268939557</v>
      </c>
      <c r="U53" s="33">
        <f t="shared" si="16"/>
        <v>59.207236914273011</v>
      </c>
      <c r="V53" s="33">
        <f t="shared" si="3"/>
        <v>10</v>
      </c>
      <c r="W53" s="33">
        <v>0</v>
      </c>
      <c r="X53" s="33">
        <f t="shared" si="4"/>
        <v>787.66497825407089</v>
      </c>
      <c r="Y53" s="38">
        <f t="shared" si="5"/>
        <v>610.62907644899281</v>
      </c>
      <c r="AA53" s="71">
        <v>48</v>
      </c>
      <c r="AB53" s="33">
        <f t="shared" si="6"/>
        <v>0</v>
      </c>
      <c r="AC53" s="308">
        <f t="shared" si="39"/>
        <v>0</v>
      </c>
      <c r="AD53" s="101">
        <f t="shared" si="8"/>
        <v>0</v>
      </c>
      <c r="AE53" s="101">
        <f t="shared" si="9"/>
        <v>0</v>
      </c>
      <c r="AF53" s="197">
        <f t="shared" si="34"/>
        <v>38.249523093749097</v>
      </c>
      <c r="AG53" s="197">
        <f t="shared" si="35"/>
        <v>61.632010051133875</v>
      </c>
      <c r="AH53" s="197">
        <f t="shared" si="36"/>
        <v>2.401440994721888</v>
      </c>
      <c r="AI53" s="202">
        <f t="shared" si="37"/>
        <v>102.28297413960487</v>
      </c>
      <c r="AK53" s="71">
        <v>48</v>
      </c>
      <c r="AL53" s="33"/>
      <c r="AM53" s="33"/>
      <c r="AN53" s="33"/>
      <c r="AO53" s="33"/>
      <c r="AP53" s="33"/>
      <c r="AQ53" s="197"/>
      <c r="AR53" s="197"/>
      <c r="AS53" s="197"/>
      <c r="AT53" s="197"/>
      <c r="AU53" s="33"/>
      <c r="AV53" s="33"/>
      <c r="AW53" s="33"/>
      <c r="AX53" s="33"/>
      <c r="AY53" s="76"/>
    </row>
    <row r="54" spans="2:51">
      <c r="B54" s="40"/>
      <c r="C54" s="155"/>
      <c r="D54" s="140"/>
      <c r="E54" s="144"/>
      <c r="F54" s="42"/>
      <c r="G54" s="51"/>
      <c r="I54" s="55">
        <v>49</v>
      </c>
      <c r="J54" s="33">
        <f t="shared" si="18"/>
        <v>5</v>
      </c>
      <c r="K54" s="33">
        <f t="shared" si="19"/>
        <v>1.910565629709926</v>
      </c>
      <c r="L54" s="33">
        <f t="shared" si="20"/>
        <v>45</v>
      </c>
      <c r="M54" s="33">
        <f t="shared" si="21"/>
        <v>0</v>
      </c>
      <c r="N54" s="33">
        <f t="shared" si="0"/>
        <v>0</v>
      </c>
      <c r="O54" s="34">
        <f t="shared" si="1"/>
        <v>177.03590180507811</v>
      </c>
      <c r="P54" s="55">
        <v>49</v>
      </c>
      <c r="Q54" s="33">
        <f t="shared" si="15"/>
        <v>29.574999999999989</v>
      </c>
      <c r="R54" s="33">
        <f t="shared" si="22"/>
        <v>565.82500000000005</v>
      </c>
      <c r="S54" s="33">
        <f t="shared" si="23"/>
        <v>260.27950000000004</v>
      </c>
      <c r="T54" s="33">
        <f t="shared" si="2"/>
        <v>62.78195233529808</v>
      </c>
      <c r="U54" s="33">
        <f t="shared" si="16"/>
        <v>59.394467224806895</v>
      </c>
      <c r="V54" s="33">
        <f t="shared" si="3"/>
        <v>10</v>
      </c>
      <c r="W54" s="33">
        <v>0</v>
      </c>
      <c r="X54" s="33">
        <f t="shared" si="4"/>
        <v>817.11174264160275</v>
      </c>
      <c r="Y54" s="38">
        <f t="shared" si="5"/>
        <v>640.07584083652466</v>
      </c>
      <c r="AA54" s="71">
        <v>49</v>
      </c>
      <c r="AB54" s="33">
        <f t="shared" si="6"/>
        <v>0</v>
      </c>
      <c r="AC54" s="308">
        <f t="shared" si="39"/>
        <v>0</v>
      </c>
      <c r="AD54" s="101">
        <f t="shared" si="8"/>
        <v>0</v>
      </c>
      <c r="AE54" s="101">
        <f t="shared" si="9"/>
        <v>0</v>
      </c>
      <c r="AF54" s="197">
        <f t="shared" si="34"/>
        <v>37.49947327578613</v>
      </c>
      <c r="AG54" s="197">
        <f t="shared" si="35"/>
        <v>59.946679495199071</v>
      </c>
      <c r="AH54" s="197">
        <f t="shared" si="36"/>
        <v>1.6980752119872151</v>
      </c>
      <c r="AI54" s="202">
        <f t="shared" si="37"/>
        <v>99.144227982972424</v>
      </c>
      <c r="AK54" s="71">
        <v>49</v>
      </c>
      <c r="AL54" s="33"/>
      <c r="AM54" s="33"/>
      <c r="AN54" s="33"/>
      <c r="AO54" s="33"/>
      <c r="AP54" s="33"/>
      <c r="AQ54" s="197"/>
      <c r="AR54" s="197"/>
      <c r="AS54" s="197"/>
      <c r="AT54" s="197"/>
      <c r="AU54" s="33"/>
      <c r="AV54" s="33"/>
      <c r="AW54" s="33"/>
      <c r="AX54" s="33"/>
      <c r="AY54" s="76"/>
    </row>
    <row r="55" spans="2:51">
      <c r="B55" s="40"/>
      <c r="C55" s="155"/>
      <c r="D55" s="140"/>
      <c r="E55" s="144"/>
      <c r="F55" s="42"/>
      <c r="G55" s="51"/>
      <c r="I55" s="55">
        <v>50</v>
      </c>
      <c r="J55" s="33">
        <f t="shared" si="18"/>
        <v>5</v>
      </c>
      <c r="K55" s="33">
        <f t="shared" si="19"/>
        <v>1.910565629709926</v>
      </c>
      <c r="L55" s="33">
        <f t="shared" si="20"/>
        <v>45</v>
      </c>
      <c r="M55" s="33">
        <f t="shared" si="21"/>
        <v>0</v>
      </c>
      <c r="N55" s="33">
        <f t="shared" si="0"/>
        <v>0</v>
      </c>
      <c r="O55" s="34">
        <f t="shared" si="1"/>
        <v>177.03590180507811</v>
      </c>
      <c r="P55" s="55">
        <v>50</v>
      </c>
      <c r="Q55" s="33">
        <f t="shared" si="15"/>
        <v>29.574999999999989</v>
      </c>
      <c r="R55" s="33">
        <f t="shared" si="22"/>
        <v>595.40000000000009</v>
      </c>
      <c r="S55" s="33">
        <f t="shared" si="23"/>
        <v>273.88400000000007</v>
      </c>
      <c r="T55" s="33">
        <f t="shared" si="2"/>
        <v>65.672865675587943</v>
      </c>
      <c r="U55" s="33">
        <f t="shared" si="16"/>
        <v>59.578449508037295</v>
      </c>
      <c r="V55" s="33">
        <f t="shared" si="3"/>
        <v>10</v>
      </c>
      <c r="W55" s="33">
        <v>0</v>
      </c>
      <c r="X55" s="33">
        <f t="shared" si="4"/>
        <v>846.51585591445257</v>
      </c>
      <c r="Y55" s="38">
        <f t="shared" si="5"/>
        <v>669.47995410937449</v>
      </c>
      <c r="AA55" s="71">
        <v>50</v>
      </c>
      <c r="AB55" s="33">
        <f t="shared" si="6"/>
        <v>458</v>
      </c>
      <c r="AC55" s="308">
        <f t="shared" si="39"/>
        <v>0.47499999999999998</v>
      </c>
      <c r="AD55" s="101">
        <f t="shared" si="8"/>
        <v>2.8000000000000028E-2</v>
      </c>
      <c r="AE55" s="101">
        <f t="shared" si="9"/>
        <v>2.200000000000002E-2</v>
      </c>
      <c r="AF55" s="197">
        <f t="shared" si="34"/>
        <v>209.34340165122967</v>
      </c>
      <c r="AG55" s="197">
        <f t="shared" si="35"/>
        <v>68.440472866099825</v>
      </c>
      <c r="AH55" s="197">
        <f t="shared" si="36"/>
        <v>8.0229273300271977</v>
      </c>
      <c r="AI55" s="202">
        <f t="shared" si="37"/>
        <v>285.80680184735667</v>
      </c>
      <c r="AK55" s="71">
        <v>50</v>
      </c>
      <c r="AL55" s="33"/>
      <c r="AM55" s="33"/>
      <c r="AN55" s="33"/>
      <c r="AO55" s="33"/>
      <c r="AP55" s="33"/>
      <c r="AQ55" s="197"/>
      <c r="AR55" s="197"/>
      <c r="AS55" s="197"/>
      <c r="AT55" s="197"/>
      <c r="AU55" s="33"/>
      <c r="AV55" s="33"/>
      <c r="AW55" s="33"/>
      <c r="AX55" s="33"/>
      <c r="AY55" s="76"/>
    </row>
    <row r="56" spans="2:51">
      <c r="B56" s="40"/>
      <c r="C56" s="155"/>
      <c r="D56" s="140"/>
      <c r="E56" s="144"/>
      <c r="F56" s="42"/>
      <c r="G56" s="51"/>
      <c r="I56" s="55">
        <v>51</v>
      </c>
      <c r="J56" s="33">
        <f t="shared" si="18"/>
        <v>0</v>
      </c>
      <c r="K56" s="33">
        <f t="shared" si="19"/>
        <v>0</v>
      </c>
      <c r="L56" s="33">
        <f t="shared" si="20"/>
        <v>0</v>
      </c>
      <c r="M56" s="33">
        <f t="shared" si="21"/>
        <v>0</v>
      </c>
      <c r="N56" s="33">
        <f t="shared" si="0"/>
        <v>0</v>
      </c>
      <c r="O56" s="34">
        <f t="shared" si="1"/>
        <v>0</v>
      </c>
      <c r="P56" s="55">
        <v>51</v>
      </c>
      <c r="Q56" s="33">
        <f t="shared" si="15"/>
        <v>0</v>
      </c>
      <c r="R56" s="33">
        <f t="shared" si="22"/>
        <v>0</v>
      </c>
      <c r="S56" s="33">
        <f t="shared" si="23"/>
        <v>0</v>
      </c>
      <c r="T56" s="33">
        <f t="shared" si="2"/>
        <v>0</v>
      </c>
      <c r="U56" s="33">
        <f t="shared" si="16"/>
        <v>0</v>
      </c>
      <c r="V56" s="33">
        <f t="shared" si="3"/>
        <v>0</v>
      </c>
      <c r="W56" s="33">
        <v>0</v>
      </c>
      <c r="X56" s="33">
        <f t="shared" si="4"/>
        <v>0</v>
      </c>
      <c r="Y56" s="38">
        <f t="shared" si="5"/>
        <v>0</v>
      </c>
      <c r="AA56" s="71">
        <v>51</v>
      </c>
      <c r="AB56" s="33">
        <f t="shared" si="6"/>
        <v>0</v>
      </c>
      <c r="AC56" s="308">
        <f t="shared" si="39"/>
        <v>0</v>
      </c>
      <c r="AD56" s="101">
        <f t="shared" si="8"/>
        <v>0</v>
      </c>
      <c r="AE56" s="101">
        <f t="shared" si="9"/>
        <v>0</v>
      </c>
      <c r="AF56" s="197">
        <f t="shared" si="34"/>
        <v>0</v>
      </c>
      <c r="AG56" s="197">
        <f t="shared" si="35"/>
        <v>0</v>
      </c>
      <c r="AH56" s="197">
        <f t="shared" si="36"/>
        <v>0</v>
      </c>
      <c r="AI56" s="202">
        <f t="shared" si="37"/>
        <v>0</v>
      </c>
      <c r="AK56" s="71">
        <v>51</v>
      </c>
      <c r="AL56" s="33"/>
      <c r="AM56" s="33"/>
      <c r="AN56" s="33"/>
      <c r="AO56" s="33"/>
      <c r="AP56" s="33"/>
      <c r="AQ56" s="197"/>
      <c r="AR56" s="197"/>
      <c r="AS56" s="197"/>
      <c r="AT56" s="197"/>
      <c r="AU56" s="33"/>
      <c r="AV56" s="33"/>
      <c r="AW56" s="33"/>
      <c r="AX56" s="33"/>
      <c r="AY56" s="76"/>
    </row>
    <row r="57" spans="2:51">
      <c r="B57" s="40"/>
      <c r="C57" s="155"/>
      <c r="D57" s="140"/>
      <c r="E57" s="144"/>
      <c r="F57" s="42"/>
      <c r="G57" s="51"/>
      <c r="I57" s="55">
        <v>52</v>
      </c>
      <c r="J57" s="33">
        <f t="shared" si="18"/>
        <v>0</v>
      </c>
      <c r="K57" s="33">
        <f t="shared" si="19"/>
        <v>0</v>
      </c>
      <c r="L57" s="33">
        <f t="shared" si="20"/>
        <v>0</v>
      </c>
      <c r="M57" s="33">
        <f t="shared" si="21"/>
        <v>0</v>
      </c>
      <c r="N57" s="33">
        <f t="shared" si="0"/>
        <v>0</v>
      </c>
      <c r="O57" s="34">
        <f t="shared" si="1"/>
        <v>0</v>
      </c>
      <c r="P57" s="55">
        <v>52</v>
      </c>
      <c r="Q57" s="33">
        <f t="shared" si="15"/>
        <v>0</v>
      </c>
      <c r="R57" s="33">
        <f t="shared" si="22"/>
        <v>0</v>
      </c>
      <c r="S57" s="33">
        <f t="shared" si="23"/>
        <v>0</v>
      </c>
      <c r="T57" s="33">
        <f t="shared" si="2"/>
        <v>0</v>
      </c>
      <c r="U57" s="33">
        <f t="shared" si="16"/>
        <v>0</v>
      </c>
      <c r="V57" s="33">
        <f t="shared" si="3"/>
        <v>0</v>
      </c>
      <c r="W57" s="33">
        <v>0</v>
      </c>
      <c r="X57" s="33">
        <f t="shared" si="4"/>
        <v>0</v>
      </c>
      <c r="Y57" s="38">
        <f t="shared" si="5"/>
        <v>0</v>
      </c>
      <c r="AA57" s="71">
        <v>52</v>
      </c>
      <c r="AB57" s="33">
        <f t="shared" si="6"/>
        <v>0</v>
      </c>
      <c r="AC57" s="308">
        <f t="shared" si="39"/>
        <v>0</v>
      </c>
      <c r="AD57" s="101">
        <f t="shared" si="8"/>
        <v>0</v>
      </c>
      <c r="AE57" s="101">
        <f t="shared" si="9"/>
        <v>0</v>
      </c>
      <c r="AF57" s="197">
        <f t="shared" si="34"/>
        <v>0</v>
      </c>
      <c r="AG57" s="197">
        <f t="shared" si="35"/>
        <v>0</v>
      </c>
      <c r="AH57" s="197">
        <f t="shared" si="36"/>
        <v>0</v>
      </c>
      <c r="AI57" s="202">
        <f t="shared" si="37"/>
        <v>0</v>
      </c>
      <c r="AK57" s="71">
        <v>52</v>
      </c>
      <c r="AL57" s="33"/>
      <c r="AM57" s="33"/>
      <c r="AN57" s="33"/>
      <c r="AO57" s="33"/>
      <c r="AP57" s="33"/>
      <c r="AQ57" s="197"/>
      <c r="AR57" s="197"/>
      <c r="AS57" s="197"/>
      <c r="AT57" s="197"/>
      <c r="AU57" s="33"/>
      <c r="AV57" s="33"/>
      <c r="AW57" s="33"/>
      <c r="AX57" s="33"/>
      <c r="AY57" s="76"/>
    </row>
    <row r="58" spans="2:51">
      <c r="B58" s="40"/>
      <c r="C58" s="155"/>
      <c r="D58" s="140"/>
      <c r="E58" s="144"/>
      <c r="F58" s="42"/>
      <c r="G58" s="51"/>
      <c r="I58" s="55">
        <v>53</v>
      </c>
      <c r="J58" s="33">
        <f t="shared" si="18"/>
        <v>0</v>
      </c>
      <c r="K58" s="33">
        <f t="shared" si="19"/>
        <v>0</v>
      </c>
      <c r="L58" s="33">
        <f t="shared" si="20"/>
        <v>0</v>
      </c>
      <c r="M58" s="33">
        <f t="shared" si="21"/>
        <v>0</v>
      </c>
      <c r="N58" s="33">
        <f t="shared" si="0"/>
        <v>0</v>
      </c>
      <c r="O58" s="34">
        <f t="shared" si="1"/>
        <v>0</v>
      </c>
      <c r="P58" s="55">
        <v>53</v>
      </c>
      <c r="Q58" s="33">
        <f t="shared" si="15"/>
        <v>0</v>
      </c>
      <c r="R58" s="33">
        <f t="shared" si="22"/>
        <v>0</v>
      </c>
      <c r="S58" s="33">
        <f t="shared" si="23"/>
        <v>0</v>
      </c>
      <c r="T58" s="33">
        <f t="shared" si="2"/>
        <v>0</v>
      </c>
      <c r="U58" s="33">
        <f t="shared" si="16"/>
        <v>0</v>
      </c>
      <c r="V58" s="33">
        <f t="shared" si="3"/>
        <v>0</v>
      </c>
      <c r="W58" s="33">
        <v>0</v>
      </c>
      <c r="X58" s="33">
        <f t="shared" si="4"/>
        <v>0</v>
      </c>
      <c r="Y58" s="38">
        <f t="shared" si="5"/>
        <v>0</v>
      </c>
      <c r="AA58" s="71">
        <v>53</v>
      </c>
      <c r="AB58" s="33">
        <f t="shared" si="6"/>
        <v>0</v>
      </c>
      <c r="AC58" s="308">
        <f t="shared" si="39"/>
        <v>0</v>
      </c>
      <c r="AD58" s="101">
        <f t="shared" si="8"/>
        <v>0</v>
      </c>
      <c r="AE58" s="101">
        <f t="shared" si="9"/>
        <v>0</v>
      </c>
      <c r="AF58" s="197">
        <f t="shared" si="34"/>
        <v>0</v>
      </c>
      <c r="AG58" s="197">
        <f t="shared" si="35"/>
        <v>0</v>
      </c>
      <c r="AH58" s="197">
        <f t="shared" si="36"/>
        <v>0</v>
      </c>
      <c r="AI58" s="202">
        <f t="shared" si="37"/>
        <v>0</v>
      </c>
      <c r="AK58" s="71">
        <v>53</v>
      </c>
      <c r="AL58" s="33"/>
      <c r="AM58" s="33"/>
      <c r="AN58" s="33"/>
      <c r="AO58" s="33"/>
      <c r="AP58" s="33"/>
      <c r="AQ58" s="197"/>
      <c r="AR58" s="197"/>
      <c r="AS58" s="197"/>
      <c r="AT58" s="197"/>
      <c r="AU58" s="33"/>
      <c r="AV58" s="33"/>
      <c r="AW58" s="33"/>
      <c r="AX58" s="33"/>
      <c r="AY58" s="76"/>
    </row>
    <row r="59" spans="2:51">
      <c r="B59" s="40"/>
      <c r="C59" s="155"/>
      <c r="D59" s="140"/>
      <c r="E59" s="144"/>
      <c r="F59" s="42"/>
      <c r="G59" s="51"/>
      <c r="I59" s="55">
        <v>54</v>
      </c>
      <c r="J59" s="33">
        <f t="shared" si="18"/>
        <v>0</v>
      </c>
      <c r="K59" s="33">
        <f t="shared" si="19"/>
        <v>0</v>
      </c>
      <c r="L59" s="33">
        <f t="shared" si="20"/>
        <v>0</v>
      </c>
      <c r="M59" s="33">
        <f t="shared" si="21"/>
        <v>0</v>
      </c>
      <c r="N59" s="33">
        <f t="shared" si="0"/>
        <v>0</v>
      </c>
      <c r="O59" s="34">
        <f t="shared" si="1"/>
        <v>0</v>
      </c>
      <c r="P59" s="55">
        <v>54</v>
      </c>
      <c r="Q59" s="33">
        <f t="shared" si="15"/>
        <v>0</v>
      </c>
      <c r="R59" s="33">
        <f t="shared" si="22"/>
        <v>0</v>
      </c>
      <c r="S59" s="33">
        <f t="shared" si="23"/>
        <v>0</v>
      </c>
      <c r="T59" s="33">
        <f t="shared" si="2"/>
        <v>0</v>
      </c>
      <c r="U59" s="33">
        <f t="shared" si="16"/>
        <v>0</v>
      </c>
      <c r="V59" s="33">
        <f t="shared" si="3"/>
        <v>0</v>
      </c>
      <c r="W59" s="33">
        <v>0</v>
      </c>
      <c r="X59" s="33">
        <f t="shared" si="4"/>
        <v>0</v>
      </c>
      <c r="Y59" s="38">
        <f t="shared" si="5"/>
        <v>0</v>
      </c>
      <c r="AA59" s="71">
        <v>54</v>
      </c>
      <c r="AB59" s="33">
        <f t="shared" si="6"/>
        <v>0</v>
      </c>
      <c r="AC59" s="308">
        <f t="shared" si="39"/>
        <v>0</v>
      </c>
      <c r="AD59" s="101">
        <f t="shared" si="8"/>
        <v>0</v>
      </c>
      <c r="AE59" s="101">
        <f t="shared" si="9"/>
        <v>0</v>
      </c>
      <c r="AF59" s="197">
        <f t="shared" si="34"/>
        <v>0</v>
      </c>
      <c r="AG59" s="197">
        <f t="shared" si="35"/>
        <v>0</v>
      </c>
      <c r="AH59" s="197">
        <f t="shared" si="36"/>
        <v>0</v>
      </c>
      <c r="AI59" s="202">
        <f t="shared" si="37"/>
        <v>0</v>
      </c>
      <c r="AK59" s="71">
        <v>54</v>
      </c>
      <c r="AL59" s="33"/>
      <c r="AM59" s="33"/>
      <c r="AN59" s="33"/>
      <c r="AO59" s="33"/>
      <c r="AP59" s="33"/>
      <c r="AQ59" s="197"/>
      <c r="AR59" s="197"/>
      <c r="AS59" s="197"/>
      <c r="AT59" s="197"/>
      <c r="AU59" s="33"/>
      <c r="AV59" s="33"/>
      <c r="AW59" s="33"/>
      <c r="AX59" s="33"/>
      <c r="AY59" s="76"/>
    </row>
    <row r="60" spans="2:51">
      <c r="B60" s="40"/>
      <c r="C60" s="155"/>
      <c r="D60" s="140"/>
      <c r="E60" s="144"/>
      <c r="F60" s="42"/>
      <c r="G60" s="51"/>
      <c r="I60" s="55">
        <v>55</v>
      </c>
      <c r="J60" s="33">
        <f t="shared" si="18"/>
        <v>0</v>
      </c>
      <c r="K60" s="33">
        <f t="shared" si="19"/>
        <v>0</v>
      </c>
      <c r="L60" s="33">
        <f t="shared" si="20"/>
        <v>0</v>
      </c>
      <c r="M60" s="33">
        <f t="shared" si="21"/>
        <v>0</v>
      </c>
      <c r="N60" s="33">
        <f t="shared" si="0"/>
        <v>0</v>
      </c>
      <c r="O60" s="34">
        <f t="shared" si="1"/>
        <v>0</v>
      </c>
      <c r="P60" s="55">
        <v>55</v>
      </c>
      <c r="Q60" s="33">
        <f t="shared" si="15"/>
        <v>0</v>
      </c>
      <c r="R60" s="33">
        <f t="shared" si="22"/>
        <v>0</v>
      </c>
      <c r="S60" s="33">
        <f t="shared" si="23"/>
        <v>0</v>
      </c>
      <c r="T60" s="33">
        <f t="shared" si="2"/>
        <v>0</v>
      </c>
      <c r="U60" s="33">
        <f t="shared" si="16"/>
        <v>0</v>
      </c>
      <c r="V60" s="33">
        <f t="shared" si="3"/>
        <v>0</v>
      </c>
      <c r="W60" s="33">
        <v>0</v>
      </c>
      <c r="X60" s="33">
        <f t="shared" si="4"/>
        <v>0</v>
      </c>
      <c r="Y60" s="38">
        <f t="shared" si="5"/>
        <v>0</v>
      </c>
      <c r="AA60" s="71">
        <v>55</v>
      </c>
      <c r="AB60" s="33">
        <f t="shared" si="6"/>
        <v>0</v>
      </c>
      <c r="AC60" s="308">
        <f t="shared" si="39"/>
        <v>0</v>
      </c>
      <c r="AD60" s="101">
        <f t="shared" si="8"/>
        <v>0</v>
      </c>
      <c r="AE60" s="101">
        <f t="shared" si="9"/>
        <v>0</v>
      </c>
      <c r="AF60" s="197">
        <f t="shared" si="34"/>
        <v>0</v>
      </c>
      <c r="AG60" s="197">
        <f t="shared" si="35"/>
        <v>0</v>
      </c>
      <c r="AH60" s="197">
        <f t="shared" si="36"/>
        <v>0</v>
      </c>
      <c r="AI60" s="202">
        <f t="shared" si="37"/>
        <v>0</v>
      </c>
      <c r="AK60" s="71">
        <v>55</v>
      </c>
      <c r="AL60" s="33"/>
      <c r="AM60" s="33"/>
      <c r="AN60" s="33"/>
      <c r="AO60" s="33"/>
      <c r="AP60" s="33"/>
      <c r="AQ60" s="197"/>
      <c r="AR60" s="197"/>
      <c r="AS60" s="197"/>
      <c r="AT60" s="197"/>
      <c r="AU60" s="33"/>
      <c r="AV60" s="33"/>
      <c r="AW60" s="33"/>
      <c r="AX60" s="33"/>
      <c r="AY60" s="76"/>
    </row>
    <row r="61" spans="2:51">
      <c r="B61" s="40"/>
      <c r="C61" s="155"/>
      <c r="D61" s="140"/>
      <c r="E61" s="144"/>
      <c r="F61" s="42"/>
      <c r="G61" s="51"/>
      <c r="I61" s="55">
        <v>56</v>
      </c>
      <c r="J61" s="33">
        <f t="shared" si="18"/>
        <v>0</v>
      </c>
      <c r="K61" s="33">
        <f t="shared" si="19"/>
        <v>0</v>
      </c>
      <c r="L61" s="33">
        <f t="shared" si="20"/>
        <v>0</v>
      </c>
      <c r="M61" s="33">
        <f t="shared" si="21"/>
        <v>0</v>
      </c>
      <c r="N61" s="33">
        <f t="shared" si="0"/>
        <v>0</v>
      </c>
      <c r="O61" s="34">
        <f t="shared" si="1"/>
        <v>0</v>
      </c>
      <c r="P61" s="55">
        <v>56</v>
      </c>
      <c r="Q61" s="33">
        <f t="shared" si="15"/>
        <v>0</v>
      </c>
      <c r="R61" s="33">
        <f t="shared" si="22"/>
        <v>0</v>
      </c>
      <c r="S61" s="33">
        <f t="shared" si="23"/>
        <v>0</v>
      </c>
      <c r="T61" s="33">
        <f t="shared" si="2"/>
        <v>0</v>
      </c>
      <c r="U61" s="33">
        <f t="shared" si="16"/>
        <v>0</v>
      </c>
      <c r="V61" s="33">
        <f t="shared" si="3"/>
        <v>0</v>
      </c>
      <c r="W61" s="33">
        <v>0</v>
      </c>
      <c r="X61" s="33">
        <f t="shared" si="4"/>
        <v>0</v>
      </c>
      <c r="Y61" s="38">
        <f t="shared" si="5"/>
        <v>0</v>
      </c>
      <c r="AA61" s="71">
        <v>56</v>
      </c>
      <c r="AB61" s="33">
        <f t="shared" si="6"/>
        <v>0</v>
      </c>
      <c r="AC61" s="308">
        <f t="shared" si="39"/>
        <v>0</v>
      </c>
      <c r="AD61" s="101">
        <f t="shared" si="8"/>
        <v>0</v>
      </c>
      <c r="AE61" s="101">
        <f t="shared" si="9"/>
        <v>0</v>
      </c>
      <c r="AF61" s="197">
        <f t="shared" si="34"/>
        <v>0</v>
      </c>
      <c r="AG61" s="197">
        <f t="shared" si="35"/>
        <v>0</v>
      </c>
      <c r="AH61" s="197">
        <f t="shared" si="36"/>
        <v>0</v>
      </c>
      <c r="AI61" s="202">
        <f t="shared" si="37"/>
        <v>0</v>
      </c>
      <c r="AK61" s="71">
        <v>56</v>
      </c>
      <c r="AL61" s="33"/>
      <c r="AM61" s="33"/>
      <c r="AN61" s="33"/>
      <c r="AO61" s="33"/>
      <c r="AP61" s="33"/>
      <c r="AQ61" s="197"/>
      <c r="AR61" s="197"/>
      <c r="AS61" s="197"/>
      <c r="AT61" s="197"/>
      <c r="AU61" s="33"/>
      <c r="AV61" s="33"/>
      <c r="AW61" s="33"/>
      <c r="AX61" s="33"/>
      <c r="AY61" s="76"/>
    </row>
    <row r="62" spans="2:51">
      <c r="B62" s="40"/>
      <c r="C62" s="155"/>
      <c r="D62" s="140"/>
      <c r="E62" s="144"/>
      <c r="F62" s="42"/>
      <c r="G62" s="51"/>
      <c r="I62" s="55">
        <v>57</v>
      </c>
      <c r="J62" s="33">
        <f t="shared" si="18"/>
        <v>0</v>
      </c>
      <c r="K62" s="33">
        <f t="shared" si="19"/>
        <v>0</v>
      </c>
      <c r="L62" s="33">
        <f t="shared" si="20"/>
        <v>0</v>
      </c>
      <c r="M62" s="33">
        <f t="shared" si="21"/>
        <v>0</v>
      </c>
      <c r="N62" s="33">
        <f t="shared" si="0"/>
        <v>0</v>
      </c>
      <c r="O62" s="34">
        <f t="shared" si="1"/>
        <v>0</v>
      </c>
      <c r="P62" s="55">
        <v>57</v>
      </c>
      <c r="Q62" s="33">
        <f t="shared" si="15"/>
        <v>0</v>
      </c>
      <c r="R62" s="33">
        <f t="shared" si="22"/>
        <v>0</v>
      </c>
      <c r="S62" s="33">
        <f t="shared" si="23"/>
        <v>0</v>
      </c>
      <c r="T62" s="33">
        <f t="shared" si="2"/>
        <v>0</v>
      </c>
      <c r="U62" s="33">
        <f t="shared" si="16"/>
        <v>0</v>
      </c>
      <c r="V62" s="33">
        <f t="shared" si="3"/>
        <v>0</v>
      </c>
      <c r="W62" s="33">
        <v>0</v>
      </c>
      <c r="X62" s="33">
        <f t="shared" si="4"/>
        <v>0</v>
      </c>
      <c r="Y62" s="38">
        <f t="shared" si="5"/>
        <v>0</v>
      </c>
      <c r="AA62" s="71">
        <v>57</v>
      </c>
      <c r="AB62" s="33">
        <f t="shared" si="6"/>
        <v>0</v>
      </c>
      <c r="AC62" s="308">
        <f t="shared" si="39"/>
        <v>0</v>
      </c>
      <c r="AD62" s="101">
        <f t="shared" si="8"/>
        <v>0</v>
      </c>
      <c r="AE62" s="101">
        <f t="shared" si="9"/>
        <v>0</v>
      </c>
      <c r="AF62" s="197">
        <f t="shared" si="34"/>
        <v>0</v>
      </c>
      <c r="AG62" s="197">
        <f t="shared" si="35"/>
        <v>0</v>
      </c>
      <c r="AH62" s="197">
        <f t="shared" si="36"/>
        <v>0</v>
      </c>
      <c r="AI62" s="202">
        <f t="shared" si="37"/>
        <v>0</v>
      </c>
      <c r="AK62" s="71">
        <v>57</v>
      </c>
      <c r="AL62" s="33"/>
      <c r="AM62" s="33"/>
      <c r="AN62" s="33"/>
      <c r="AO62" s="33"/>
      <c r="AP62" s="33"/>
      <c r="AQ62" s="197"/>
      <c r="AR62" s="197"/>
      <c r="AS62" s="197"/>
      <c r="AT62" s="197"/>
      <c r="AU62" s="33"/>
      <c r="AV62" s="33"/>
      <c r="AW62" s="33"/>
      <c r="AX62" s="33"/>
      <c r="AY62" s="76"/>
    </row>
    <row r="63" spans="2:51">
      <c r="B63" s="40"/>
      <c r="C63" s="155"/>
      <c r="D63" s="140"/>
      <c r="E63" s="144"/>
      <c r="F63" s="42"/>
      <c r="G63" s="51"/>
      <c r="I63" s="55">
        <v>58</v>
      </c>
      <c r="J63" s="33">
        <f t="shared" si="18"/>
        <v>0</v>
      </c>
      <c r="K63" s="33">
        <f t="shared" si="19"/>
        <v>0</v>
      </c>
      <c r="L63" s="33">
        <f t="shared" si="20"/>
        <v>0</v>
      </c>
      <c r="M63" s="33">
        <f t="shared" si="21"/>
        <v>0</v>
      </c>
      <c r="N63" s="33">
        <f t="shared" si="0"/>
        <v>0</v>
      </c>
      <c r="O63" s="34">
        <f t="shared" si="1"/>
        <v>0</v>
      </c>
      <c r="P63" s="55">
        <v>58</v>
      </c>
      <c r="Q63" s="33">
        <f t="shared" si="15"/>
        <v>0</v>
      </c>
      <c r="R63" s="33">
        <f t="shared" si="22"/>
        <v>0</v>
      </c>
      <c r="S63" s="33">
        <f t="shared" si="23"/>
        <v>0</v>
      </c>
      <c r="T63" s="33">
        <f t="shared" si="2"/>
        <v>0</v>
      </c>
      <c r="U63" s="33">
        <f t="shared" si="16"/>
        <v>0</v>
      </c>
      <c r="V63" s="33">
        <f t="shared" si="3"/>
        <v>0</v>
      </c>
      <c r="W63" s="33">
        <v>0</v>
      </c>
      <c r="X63" s="33">
        <f t="shared" si="4"/>
        <v>0</v>
      </c>
      <c r="Y63" s="38">
        <f t="shared" si="5"/>
        <v>0</v>
      </c>
      <c r="AA63" s="71">
        <v>58</v>
      </c>
      <c r="AB63" s="33">
        <f t="shared" si="6"/>
        <v>0</v>
      </c>
      <c r="AC63" s="308">
        <f t="shared" si="39"/>
        <v>0</v>
      </c>
      <c r="AD63" s="101">
        <f t="shared" si="8"/>
        <v>0</v>
      </c>
      <c r="AE63" s="101">
        <f t="shared" si="9"/>
        <v>0</v>
      </c>
      <c r="AF63" s="197">
        <f t="shared" si="34"/>
        <v>0</v>
      </c>
      <c r="AG63" s="197">
        <f t="shared" si="35"/>
        <v>0</v>
      </c>
      <c r="AH63" s="197">
        <f t="shared" si="36"/>
        <v>0</v>
      </c>
      <c r="AI63" s="202">
        <f t="shared" si="37"/>
        <v>0</v>
      </c>
      <c r="AK63" s="71">
        <v>58</v>
      </c>
      <c r="AL63" s="33"/>
      <c r="AM63" s="33"/>
      <c r="AN63" s="33"/>
      <c r="AO63" s="33"/>
      <c r="AP63" s="33"/>
      <c r="AQ63" s="197"/>
      <c r="AR63" s="197"/>
      <c r="AS63" s="197"/>
      <c r="AT63" s="197"/>
      <c r="AU63" s="33"/>
      <c r="AV63" s="33"/>
      <c r="AW63" s="33"/>
      <c r="AX63" s="33"/>
      <c r="AY63" s="76"/>
    </row>
    <row r="64" spans="2:51">
      <c r="B64" s="40"/>
      <c r="C64" s="155"/>
      <c r="D64" s="140"/>
      <c r="E64" s="144"/>
      <c r="F64" s="42"/>
      <c r="G64" s="51"/>
      <c r="I64" s="55">
        <v>59</v>
      </c>
      <c r="J64" s="33">
        <f t="shared" si="18"/>
        <v>0</v>
      </c>
      <c r="K64" s="33">
        <f t="shared" si="19"/>
        <v>0</v>
      </c>
      <c r="L64" s="33">
        <f t="shared" si="20"/>
        <v>0</v>
      </c>
      <c r="M64" s="33">
        <f t="shared" si="21"/>
        <v>0</v>
      </c>
      <c r="N64" s="33">
        <f t="shared" si="0"/>
        <v>0</v>
      </c>
      <c r="O64" s="34">
        <f t="shared" si="1"/>
        <v>0</v>
      </c>
      <c r="P64" s="55">
        <v>59</v>
      </c>
      <c r="Q64" s="33">
        <f t="shared" si="15"/>
        <v>0</v>
      </c>
      <c r="R64" s="33">
        <f t="shared" si="22"/>
        <v>0</v>
      </c>
      <c r="S64" s="33">
        <f t="shared" si="23"/>
        <v>0</v>
      </c>
      <c r="T64" s="33">
        <f t="shared" si="2"/>
        <v>0</v>
      </c>
      <c r="U64" s="33">
        <f t="shared" si="16"/>
        <v>0</v>
      </c>
      <c r="V64" s="33">
        <f t="shared" si="3"/>
        <v>0</v>
      </c>
      <c r="W64" s="33">
        <v>0</v>
      </c>
      <c r="X64" s="33">
        <f t="shared" si="4"/>
        <v>0</v>
      </c>
      <c r="Y64" s="38">
        <f t="shared" si="5"/>
        <v>0</v>
      </c>
      <c r="AA64" s="71">
        <v>59</v>
      </c>
      <c r="AB64" s="33">
        <f t="shared" si="6"/>
        <v>0</v>
      </c>
      <c r="AC64" s="308">
        <f t="shared" si="39"/>
        <v>0</v>
      </c>
      <c r="AD64" s="101">
        <f t="shared" si="8"/>
        <v>0</v>
      </c>
      <c r="AE64" s="101">
        <f t="shared" si="9"/>
        <v>0</v>
      </c>
      <c r="AF64" s="197">
        <f t="shared" si="34"/>
        <v>0</v>
      </c>
      <c r="AG64" s="197">
        <f t="shared" si="35"/>
        <v>0</v>
      </c>
      <c r="AH64" s="197">
        <f t="shared" si="36"/>
        <v>0</v>
      </c>
      <c r="AI64" s="202">
        <f t="shared" si="37"/>
        <v>0</v>
      </c>
      <c r="AK64" s="71">
        <v>59</v>
      </c>
      <c r="AL64" s="33"/>
      <c r="AM64" s="33"/>
      <c r="AN64" s="33"/>
      <c r="AO64" s="33"/>
      <c r="AP64" s="33"/>
      <c r="AQ64" s="197"/>
      <c r="AR64" s="197"/>
      <c r="AS64" s="197"/>
      <c r="AT64" s="197"/>
      <c r="AU64" s="33"/>
      <c r="AV64" s="33"/>
      <c r="AW64" s="33"/>
      <c r="AX64" s="33"/>
      <c r="AY64" s="76"/>
    </row>
    <row r="65" spans="2:51">
      <c r="B65" s="40"/>
      <c r="C65" s="155"/>
      <c r="D65" s="140"/>
      <c r="E65" s="144"/>
      <c r="F65" s="42"/>
      <c r="G65" s="51"/>
      <c r="I65" s="55">
        <v>60</v>
      </c>
      <c r="J65" s="33">
        <f t="shared" si="18"/>
        <v>0</v>
      </c>
      <c r="K65" s="33">
        <f t="shared" si="19"/>
        <v>0</v>
      </c>
      <c r="L65" s="33">
        <f t="shared" si="20"/>
        <v>0</v>
      </c>
      <c r="M65" s="33">
        <f t="shared" si="21"/>
        <v>0</v>
      </c>
      <c r="N65" s="33">
        <f t="shared" si="0"/>
        <v>0</v>
      </c>
      <c r="O65" s="34">
        <f t="shared" si="1"/>
        <v>0</v>
      </c>
      <c r="P65" s="55">
        <v>60</v>
      </c>
      <c r="Q65" s="33">
        <f t="shared" si="15"/>
        <v>0</v>
      </c>
      <c r="R65" s="33">
        <f t="shared" si="22"/>
        <v>0</v>
      </c>
      <c r="S65" s="33">
        <f t="shared" si="23"/>
        <v>0</v>
      </c>
      <c r="T65" s="33">
        <f t="shared" si="2"/>
        <v>0</v>
      </c>
      <c r="U65" s="33">
        <f t="shared" si="16"/>
        <v>0</v>
      </c>
      <c r="V65" s="33">
        <f t="shared" si="3"/>
        <v>0</v>
      </c>
      <c r="W65" s="33">
        <v>0</v>
      </c>
      <c r="X65" s="33">
        <f t="shared" si="4"/>
        <v>0</v>
      </c>
      <c r="Y65" s="38">
        <f t="shared" si="5"/>
        <v>0</v>
      </c>
      <c r="AA65" s="71">
        <v>60</v>
      </c>
      <c r="AB65" s="33">
        <f t="shared" si="6"/>
        <v>0</v>
      </c>
      <c r="AC65" s="308">
        <f t="shared" si="39"/>
        <v>0</v>
      </c>
      <c r="AD65" s="101">
        <f t="shared" si="8"/>
        <v>0</v>
      </c>
      <c r="AE65" s="101">
        <f t="shared" si="9"/>
        <v>0</v>
      </c>
      <c r="AF65" s="197">
        <f t="shared" si="34"/>
        <v>0</v>
      </c>
      <c r="AG65" s="197">
        <f t="shared" si="35"/>
        <v>0</v>
      </c>
      <c r="AH65" s="197">
        <f t="shared" si="36"/>
        <v>0</v>
      </c>
      <c r="AI65" s="202">
        <f t="shared" si="37"/>
        <v>0</v>
      </c>
      <c r="AK65" s="71">
        <v>60</v>
      </c>
      <c r="AL65" s="33"/>
      <c r="AM65" s="33"/>
      <c r="AN65" s="33"/>
      <c r="AO65" s="33"/>
      <c r="AP65" s="33"/>
      <c r="AQ65" s="197"/>
      <c r="AR65" s="197"/>
      <c r="AS65" s="197"/>
      <c r="AT65" s="197"/>
      <c r="AU65" s="33"/>
      <c r="AV65" s="33"/>
      <c r="AW65" s="33"/>
      <c r="AX65" s="33"/>
      <c r="AY65" s="76"/>
    </row>
    <row r="66" spans="2:51">
      <c r="B66" s="40"/>
      <c r="C66" s="155"/>
      <c r="D66" s="140"/>
      <c r="E66" s="144"/>
      <c r="F66" s="42"/>
      <c r="G66" s="51"/>
      <c r="I66" s="55">
        <v>61</v>
      </c>
      <c r="J66" s="33">
        <f t="shared" si="18"/>
        <v>0</v>
      </c>
      <c r="K66" s="33">
        <f t="shared" si="19"/>
        <v>0</v>
      </c>
      <c r="L66" s="33">
        <f t="shared" si="20"/>
        <v>0</v>
      </c>
      <c r="M66" s="33">
        <f t="shared" si="21"/>
        <v>0</v>
      </c>
      <c r="N66" s="33">
        <f t="shared" si="0"/>
        <v>0</v>
      </c>
      <c r="O66" s="34">
        <f t="shared" si="1"/>
        <v>0</v>
      </c>
      <c r="P66" s="55">
        <v>61</v>
      </c>
      <c r="Q66" s="33">
        <f t="shared" si="15"/>
        <v>0</v>
      </c>
      <c r="R66" s="33">
        <f t="shared" si="22"/>
        <v>0</v>
      </c>
      <c r="S66" s="33">
        <f t="shared" si="23"/>
        <v>0</v>
      </c>
      <c r="T66" s="33">
        <f t="shared" si="2"/>
        <v>0</v>
      </c>
      <c r="U66" s="33">
        <f t="shared" si="16"/>
        <v>0</v>
      </c>
      <c r="V66" s="33">
        <f t="shared" si="3"/>
        <v>0</v>
      </c>
      <c r="W66" s="33">
        <v>0</v>
      </c>
      <c r="X66" s="33">
        <f t="shared" si="4"/>
        <v>0</v>
      </c>
      <c r="Y66" s="38">
        <f t="shared" si="5"/>
        <v>0</v>
      </c>
      <c r="AA66" s="71">
        <v>61</v>
      </c>
      <c r="AB66" s="33">
        <f t="shared" si="6"/>
        <v>0</v>
      </c>
      <c r="AC66" s="308">
        <f t="shared" si="39"/>
        <v>0</v>
      </c>
      <c r="AD66" s="101">
        <f t="shared" si="8"/>
        <v>0</v>
      </c>
      <c r="AE66" s="101">
        <f t="shared" si="9"/>
        <v>0</v>
      </c>
      <c r="AF66" s="197">
        <f t="shared" si="34"/>
        <v>0</v>
      </c>
      <c r="AG66" s="197">
        <f t="shared" si="35"/>
        <v>0</v>
      </c>
      <c r="AH66" s="197">
        <f t="shared" si="36"/>
        <v>0</v>
      </c>
      <c r="AI66" s="202">
        <f t="shared" si="37"/>
        <v>0</v>
      </c>
      <c r="AK66" s="71">
        <v>61</v>
      </c>
      <c r="AL66" s="33"/>
      <c r="AM66" s="33"/>
      <c r="AN66" s="33"/>
      <c r="AO66" s="33"/>
      <c r="AP66" s="33"/>
      <c r="AQ66" s="197"/>
      <c r="AR66" s="197"/>
      <c r="AS66" s="197"/>
      <c r="AT66" s="197"/>
      <c r="AU66" s="33"/>
      <c r="AV66" s="33"/>
      <c r="AW66" s="33"/>
      <c r="AX66" s="33"/>
      <c r="AY66" s="76"/>
    </row>
    <row r="67" spans="2:51">
      <c r="B67" s="40"/>
      <c r="C67" s="155"/>
      <c r="D67" s="140"/>
      <c r="E67" s="144"/>
      <c r="F67" s="42"/>
      <c r="G67" s="51"/>
      <c r="I67" s="55">
        <v>62</v>
      </c>
      <c r="J67" s="33">
        <f t="shared" si="18"/>
        <v>0</v>
      </c>
      <c r="K67" s="33">
        <f t="shared" si="19"/>
        <v>0</v>
      </c>
      <c r="L67" s="33">
        <f t="shared" si="20"/>
        <v>0</v>
      </c>
      <c r="M67" s="33">
        <f t="shared" si="21"/>
        <v>0</v>
      </c>
      <c r="N67" s="33">
        <f t="shared" si="0"/>
        <v>0</v>
      </c>
      <c r="O67" s="34">
        <f t="shared" si="1"/>
        <v>0</v>
      </c>
      <c r="P67" s="55">
        <v>62</v>
      </c>
      <c r="Q67" s="33">
        <f t="shared" si="15"/>
        <v>0</v>
      </c>
      <c r="R67" s="33">
        <f t="shared" si="22"/>
        <v>0</v>
      </c>
      <c r="S67" s="33">
        <f t="shared" si="23"/>
        <v>0</v>
      </c>
      <c r="T67" s="33">
        <f t="shared" si="2"/>
        <v>0</v>
      </c>
      <c r="U67" s="33">
        <f t="shared" si="16"/>
        <v>0</v>
      </c>
      <c r="V67" s="33">
        <f t="shared" si="3"/>
        <v>0</v>
      </c>
      <c r="W67" s="33">
        <v>0</v>
      </c>
      <c r="X67" s="33">
        <f t="shared" si="4"/>
        <v>0</v>
      </c>
      <c r="Y67" s="38">
        <f t="shared" si="5"/>
        <v>0</v>
      </c>
      <c r="AA67" s="71">
        <v>62</v>
      </c>
      <c r="AB67" s="33">
        <f t="shared" si="6"/>
        <v>0</v>
      </c>
      <c r="AC67" s="308">
        <f t="shared" si="39"/>
        <v>0</v>
      </c>
      <c r="AD67" s="101">
        <f t="shared" si="8"/>
        <v>0</v>
      </c>
      <c r="AE67" s="101">
        <f t="shared" si="9"/>
        <v>0</v>
      </c>
      <c r="AF67" s="197">
        <f t="shared" si="34"/>
        <v>0</v>
      </c>
      <c r="AG67" s="197">
        <f t="shared" si="35"/>
        <v>0</v>
      </c>
      <c r="AH67" s="197">
        <f t="shared" si="36"/>
        <v>0</v>
      </c>
      <c r="AI67" s="202">
        <f t="shared" si="37"/>
        <v>0</v>
      </c>
      <c r="AK67" s="71">
        <v>62</v>
      </c>
      <c r="AL67" s="33"/>
      <c r="AM67" s="33"/>
      <c r="AN67" s="33"/>
      <c r="AO67" s="33"/>
      <c r="AP67" s="33"/>
      <c r="AQ67" s="197"/>
      <c r="AR67" s="197"/>
      <c r="AS67" s="197"/>
      <c r="AT67" s="197"/>
      <c r="AU67" s="33"/>
      <c r="AV67" s="33"/>
      <c r="AW67" s="33"/>
      <c r="AX67" s="33"/>
      <c r="AY67" s="76"/>
    </row>
    <row r="68" spans="2:51">
      <c r="B68" s="40"/>
      <c r="C68" s="155"/>
      <c r="D68" s="140"/>
      <c r="E68" s="144"/>
      <c r="F68" s="42"/>
      <c r="G68" s="51"/>
      <c r="I68" s="55">
        <v>63</v>
      </c>
      <c r="J68" s="33">
        <f t="shared" si="18"/>
        <v>0</v>
      </c>
      <c r="K68" s="33">
        <f t="shared" si="19"/>
        <v>0</v>
      </c>
      <c r="L68" s="33">
        <f t="shared" si="20"/>
        <v>0</v>
      </c>
      <c r="M68" s="33">
        <f t="shared" si="21"/>
        <v>0</v>
      </c>
      <c r="N68" s="33">
        <f t="shared" si="0"/>
        <v>0</v>
      </c>
      <c r="O68" s="34">
        <f t="shared" si="1"/>
        <v>0</v>
      </c>
      <c r="P68" s="55">
        <v>63</v>
      </c>
      <c r="Q68" s="33">
        <f t="shared" si="15"/>
        <v>0</v>
      </c>
      <c r="R68" s="33">
        <f t="shared" si="22"/>
        <v>0</v>
      </c>
      <c r="S68" s="33">
        <f t="shared" si="23"/>
        <v>0</v>
      </c>
      <c r="T68" s="33">
        <f t="shared" si="2"/>
        <v>0</v>
      </c>
      <c r="U68" s="33">
        <f t="shared" si="16"/>
        <v>0</v>
      </c>
      <c r="V68" s="33">
        <f t="shared" si="3"/>
        <v>0</v>
      </c>
      <c r="W68" s="33">
        <v>0</v>
      </c>
      <c r="X68" s="33">
        <f t="shared" si="4"/>
        <v>0</v>
      </c>
      <c r="Y68" s="38">
        <f t="shared" si="5"/>
        <v>0</v>
      </c>
      <c r="AA68" s="71">
        <v>63</v>
      </c>
      <c r="AB68" s="33">
        <f t="shared" si="6"/>
        <v>0</v>
      </c>
      <c r="AC68" s="308">
        <f t="shared" si="39"/>
        <v>0</v>
      </c>
      <c r="AD68" s="101">
        <f t="shared" si="8"/>
        <v>0</v>
      </c>
      <c r="AE68" s="101">
        <f t="shared" si="9"/>
        <v>0</v>
      </c>
      <c r="AF68" s="197">
        <f t="shared" si="34"/>
        <v>0</v>
      </c>
      <c r="AG68" s="197">
        <f t="shared" si="35"/>
        <v>0</v>
      </c>
      <c r="AH68" s="197">
        <f t="shared" si="36"/>
        <v>0</v>
      </c>
      <c r="AI68" s="202">
        <f t="shared" si="37"/>
        <v>0</v>
      </c>
      <c r="AK68" s="71">
        <v>63</v>
      </c>
      <c r="AL68" s="33"/>
      <c r="AM68" s="33"/>
      <c r="AN68" s="33"/>
      <c r="AO68" s="33"/>
      <c r="AP68" s="33"/>
      <c r="AQ68" s="197"/>
      <c r="AR68" s="197"/>
      <c r="AS68" s="197"/>
      <c r="AT68" s="197"/>
      <c r="AU68" s="33"/>
      <c r="AV68" s="33"/>
      <c r="AW68" s="33"/>
      <c r="AX68" s="33"/>
      <c r="AY68" s="76"/>
    </row>
    <row r="69" spans="2:51">
      <c r="B69" s="40"/>
      <c r="C69" s="155"/>
      <c r="D69" s="140"/>
      <c r="E69" s="144"/>
      <c r="F69" s="42"/>
      <c r="G69" s="51"/>
      <c r="I69" s="55">
        <v>64</v>
      </c>
      <c r="J69" s="33">
        <f t="shared" si="18"/>
        <v>0</v>
      </c>
      <c r="K69" s="33">
        <f t="shared" si="19"/>
        <v>0</v>
      </c>
      <c r="L69" s="33">
        <f t="shared" si="20"/>
        <v>0</v>
      </c>
      <c r="M69" s="33">
        <f t="shared" si="21"/>
        <v>0</v>
      </c>
      <c r="N69" s="33">
        <f t="shared" ref="N69:N132" si="40">IF(P70&lt;=$F$18,0,)</f>
        <v>0</v>
      </c>
      <c r="O69" s="34">
        <f t="shared" ref="O69:O132" si="41">((J69+K69)*0.475+L69+M69+N69)*44/12</f>
        <v>0</v>
      </c>
      <c r="P69" s="55">
        <v>64</v>
      </c>
      <c r="Q69" s="33">
        <f t="shared" si="15"/>
        <v>0</v>
      </c>
      <c r="R69" s="33">
        <f t="shared" si="22"/>
        <v>0</v>
      </c>
      <c r="S69" s="33">
        <f t="shared" si="23"/>
        <v>0</v>
      </c>
      <c r="T69" s="33">
        <f t="shared" ref="T69:T132" si="42">IF(S69=0,0,EXP(-1.0587+0.8836*LN(S69)+0.284))</f>
        <v>0</v>
      </c>
      <c r="U69" s="33">
        <f t="shared" si="16"/>
        <v>0</v>
      </c>
      <c r="V69" s="33">
        <f t="shared" ref="V69:V132" si="43">IF(P69&lt;=$F$18,IF(P69&lt;=30,P69*($F$16-$F$6)/30,$F$16-$F$6),)</f>
        <v>0</v>
      </c>
      <c r="W69" s="33">
        <v>0</v>
      </c>
      <c r="X69" s="33">
        <f t="shared" ref="X69:X132" si="44">((S69+T69)*0.475+U69+V69+W69)*44/12</f>
        <v>0</v>
      </c>
      <c r="Y69" s="38">
        <f t="shared" ref="Y69:Y132" si="45">IF(P69&lt;=$F$18,X69-O69,)</f>
        <v>0</v>
      </c>
      <c r="AA69" s="71">
        <v>64</v>
      </c>
      <c r="AB69" s="33">
        <f t="shared" ref="AB69:AB132" si="46">IF(AA69&lt;=$F$18,IFERROR(VLOOKUP($AA69,$B$82:$G$94,2,FALSE),0),)</f>
        <v>0</v>
      </c>
      <c r="AC69" s="308">
        <f t="shared" si="39"/>
        <v>0</v>
      </c>
      <c r="AD69" s="101">
        <f t="shared" ref="AD69:AD132" si="47">IF(AA69&lt;=$F$18,IFERROR(VLOOKUP($AA69,$B$82:$G$94,4,FALSE),0),)</f>
        <v>0</v>
      </c>
      <c r="AE69" s="101">
        <f t="shared" ref="AE69:AE132" si="48">IF(AA69&lt;=$F$18,IFERROR(VLOOKUP($AA69,$B$82:$G$94,5,FALSE),0),)</f>
        <v>0</v>
      </c>
      <c r="AF69" s="197">
        <f t="shared" si="34"/>
        <v>0</v>
      </c>
      <c r="AG69" s="197">
        <f t="shared" si="35"/>
        <v>0</v>
      </c>
      <c r="AH69" s="197">
        <f t="shared" si="36"/>
        <v>0</v>
      </c>
      <c r="AI69" s="202">
        <f t="shared" si="37"/>
        <v>0</v>
      </c>
      <c r="AK69" s="71">
        <v>64</v>
      </c>
      <c r="AL69" s="33"/>
      <c r="AM69" s="33"/>
      <c r="AN69" s="33"/>
      <c r="AO69" s="33"/>
      <c r="AP69" s="33"/>
      <c r="AQ69" s="197"/>
      <c r="AR69" s="197"/>
      <c r="AS69" s="197"/>
      <c r="AT69" s="197"/>
      <c r="AU69" s="33"/>
      <c r="AV69" s="33"/>
      <c r="AW69" s="33"/>
      <c r="AX69" s="33"/>
      <c r="AY69" s="76"/>
    </row>
    <row r="70" spans="2:51">
      <c r="B70" s="40"/>
      <c r="C70" s="155"/>
      <c r="D70" s="140"/>
      <c r="E70" s="144"/>
      <c r="F70" s="42"/>
      <c r="G70" s="51"/>
      <c r="I70" s="55">
        <v>65</v>
      </c>
      <c r="J70" s="33">
        <f t="shared" si="18"/>
        <v>0</v>
      </c>
      <c r="K70" s="33">
        <f t="shared" si="19"/>
        <v>0</v>
      </c>
      <c r="L70" s="33">
        <f t="shared" si="20"/>
        <v>0</v>
      </c>
      <c r="M70" s="33">
        <f t="shared" si="21"/>
        <v>0</v>
      </c>
      <c r="N70" s="33">
        <f t="shared" si="40"/>
        <v>0</v>
      </c>
      <c r="O70" s="34">
        <f t="shared" si="41"/>
        <v>0</v>
      </c>
      <c r="P70" s="55">
        <v>65</v>
      </c>
      <c r="Q70" s="33">
        <f t="shared" ref="Q70:Q133" si="49">IF(P70&lt;=$F$18,LOOKUP(P70-1,$B$25:$B$78,$G$25:$G$78),)</f>
        <v>0</v>
      </c>
      <c r="R70" s="33">
        <f t="shared" si="22"/>
        <v>0</v>
      </c>
      <c r="S70" s="33">
        <f t="shared" si="23"/>
        <v>0</v>
      </c>
      <c r="T70" s="33">
        <f t="shared" si="42"/>
        <v>0</v>
      </c>
      <c r="U70" s="33">
        <f t="shared" ref="U70:U133" si="50">IF(P70&lt;=$F$18,$F$5+($F$15-$F$5)*(1-EXP(-0.0175*P70)),)</f>
        <v>0</v>
      </c>
      <c r="V70" s="33">
        <f t="shared" si="43"/>
        <v>0</v>
      </c>
      <c r="W70" s="33">
        <v>0</v>
      </c>
      <c r="X70" s="33">
        <f t="shared" si="44"/>
        <v>0</v>
      </c>
      <c r="Y70" s="38">
        <f t="shared" si="45"/>
        <v>0</v>
      </c>
      <c r="AA70" s="71">
        <v>65</v>
      </c>
      <c r="AB70" s="33">
        <f t="shared" si="46"/>
        <v>0</v>
      </c>
      <c r="AC70" s="308">
        <f t="shared" si="39"/>
        <v>0</v>
      </c>
      <c r="AD70" s="101">
        <f t="shared" si="47"/>
        <v>0</v>
      </c>
      <c r="AE70" s="101">
        <f t="shared" si="48"/>
        <v>0</v>
      </c>
      <c r="AF70" s="197">
        <f t="shared" si="34"/>
        <v>0</v>
      </c>
      <c r="AG70" s="197">
        <f t="shared" si="35"/>
        <v>0</v>
      </c>
      <c r="AH70" s="197">
        <f t="shared" si="36"/>
        <v>0</v>
      </c>
      <c r="AI70" s="202">
        <f t="shared" si="37"/>
        <v>0</v>
      </c>
      <c r="AK70" s="71">
        <v>65</v>
      </c>
      <c r="AL70" s="33"/>
      <c r="AM70" s="33"/>
      <c r="AN70" s="33"/>
      <c r="AO70" s="33"/>
      <c r="AP70" s="33"/>
      <c r="AQ70" s="197"/>
      <c r="AR70" s="197"/>
      <c r="AS70" s="197"/>
      <c r="AT70" s="197"/>
      <c r="AU70" s="33"/>
      <c r="AV70" s="33"/>
      <c r="AW70" s="33"/>
      <c r="AX70" s="33"/>
      <c r="AY70" s="76"/>
    </row>
    <row r="71" spans="2:51">
      <c r="B71" s="40"/>
      <c r="C71" s="155"/>
      <c r="D71" s="140"/>
      <c r="E71" s="144"/>
      <c r="F71" s="42"/>
      <c r="G71" s="51"/>
      <c r="I71" s="55">
        <v>66</v>
      </c>
      <c r="J71" s="33">
        <f t="shared" ref="J71:J134" si="51">IF($I71&lt;=$F$10,$F$11*$F$13+J70,)</f>
        <v>0</v>
      </c>
      <c r="K71" s="33">
        <f t="shared" ref="K71:K134" si="52">IF(J71=0,0,EXP(-1.0587+0.8836*LN(J71)+0.284))</f>
        <v>0</v>
      </c>
      <c r="L71" s="33">
        <f t="shared" ref="L71:L134" si="53">IF(I71&lt;=$F$10,$F$5+($F$8-$F$5)*(1-EXP(-0.0175*I71)),)</f>
        <v>0</v>
      </c>
      <c r="M71" s="33">
        <f t="shared" ref="M71:M134" si="54">IF(I71&lt;=$F$10,IF(I71&lt;=30,I71*($F$9-$F$6)/30,$F$9-$F$6),)</f>
        <v>0</v>
      </c>
      <c r="N71" s="33">
        <f t="shared" si="40"/>
        <v>0</v>
      </c>
      <c r="O71" s="34">
        <f t="shared" si="41"/>
        <v>0</v>
      </c>
      <c r="P71" s="55">
        <v>66</v>
      </c>
      <c r="Q71" s="33">
        <f t="shared" si="49"/>
        <v>0</v>
      </c>
      <c r="R71" s="33">
        <f t="shared" ref="R71:R134" si="55">IF(P71&lt;=$F$18,Q71+R70,)</f>
        <v>0</v>
      </c>
      <c r="S71" s="33">
        <f t="shared" ref="S71:S134" si="56">$F$19*R71</f>
        <v>0</v>
      </c>
      <c r="T71" s="33">
        <f t="shared" si="42"/>
        <v>0</v>
      </c>
      <c r="U71" s="33">
        <f t="shared" si="50"/>
        <v>0</v>
      </c>
      <c r="V71" s="33">
        <f t="shared" si="43"/>
        <v>0</v>
      </c>
      <c r="W71" s="33">
        <v>0</v>
      </c>
      <c r="X71" s="33">
        <f t="shared" si="44"/>
        <v>0</v>
      </c>
      <c r="Y71" s="38">
        <f t="shared" si="45"/>
        <v>0</v>
      </c>
      <c r="AA71" s="71">
        <v>66</v>
      </c>
      <c r="AB71" s="33">
        <f t="shared" si="46"/>
        <v>0</v>
      </c>
      <c r="AC71" s="308">
        <f t="shared" si="39"/>
        <v>0</v>
      </c>
      <c r="AD71" s="101">
        <f t="shared" si="47"/>
        <v>0</v>
      </c>
      <c r="AE71" s="101">
        <f t="shared" si="48"/>
        <v>0</v>
      </c>
      <c r="AF71" s="197">
        <f t="shared" si="34"/>
        <v>0</v>
      </c>
      <c r="AG71" s="197">
        <f t="shared" si="35"/>
        <v>0</v>
      </c>
      <c r="AH71" s="197">
        <f t="shared" si="36"/>
        <v>0</v>
      </c>
      <c r="AI71" s="202">
        <f t="shared" si="37"/>
        <v>0</v>
      </c>
      <c r="AK71" s="71">
        <v>66</v>
      </c>
      <c r="AL71" s="33"/>
      <c r="AM71" s="33"/>
      <c r="AN71" s="33"/>
      <c r="AO71" s="33"/>
      <c r="AP71" s="33"/>
      <c r="AQ71" s="197"/>
      <c r="AR71" s="197"/>
      <c r="AS71" s="197"/>
      <c r="AT71" s="197"/>
      <c r="AU71" s="33"/>
      <c r="AV71" s="33"/>
      <c r="AW71" s="33"/>
      <c r="AX71" s="33"/>
      <c r="AY71" s="76"/>
    </row>
    <row r="72" spans="2:51">
      <c r="B72" s="40"/>
      <c r="C72" s="155"/>
      <c r="D72" s="140"/>
      <c r="E72" s="144"/>
      <c r="F72" s="42"/>
      <c r="G72" s="51"/>
      <c r="I72" s="55">
        <v>67</v>
      </c>
      <c r="J72" s="33">
        <f t="shared" si="51"/>
        <v>0</v>
      </c>
      <c r="K72" s="33">
        <f t="shared" si="52"/>
        <v>0</v>
      </c>
      <c r="L72" s="33">
        <f t="shared" si="53"/>
        <v>0</v>
      </c>
      <c r="M72" s="33">
        <f t="shared" si="54"/>
        <v>0</v>
      </c>
      <c r="N72" s="33">
        <f t="shared" si="40"/>
        <v>0</v>
      </c>
      <c r="O72" s="34">
        <f t="shared" si="41"/>
        <v>0</v>
      </c>
      <c r="P72" s="55">
        <v>67</v>
      </c>
      <c r="Q72" s="33">
        <f t="shared" si="49"/>
        <v>0</v>
      </c>
      <c r="R72" s="33">
        <f t="shared" si="55"/>
        <v>0</v>
      </c>
      <c r="S72" s="33">
        <f t="shared" si="56"/>
        <v>0</v>
      </c>
      <c r="T72" s="33">
        <f t="shared" si="42"/>
        <v>0</v>
      </c>
      <c r="U72" s="33">
        <f t="shared" si="50"/>
        <v>0</v>
      </c>
      <c r="V72" s="33">
        <f t="shared" si="43"/>
        <v>0</v>
      </c>
      <c r="W72" s="33">
        <v>0</v>
      </c>
      <c r="X72" s="33">
        <f t="shared" si="44"/>
        <v>0</v>
      </c>
      <c r="Y72" s="38">
        <f t="shared" si="45"/>
        <v>0</v>
      </c>
      <c r="AA72" s="71">
        <v>67</v>
      </c>
      <c r="AB72" s="33">
        <f t="shared" si="46"/>
        <v>0</v>
      </c>
      <c r="AC72" s="308">
        <f t="shared" si="39"/>
        <v>0</v>
      </c>
      <c r="AD72" s="101">
        <f t="shared" si="47"/>
        <v>0</v>
      </c>
      <c r="AE72" s="101">
        <f t="shared" si="48"/>
        <v>0</v>
      </c>
      <c r="AF72" s="197">
        <f t="shared" si="34"/>
        <v>0</v>
      </c>
      <c r="AG72" s="197">
        <f t="shared" si="35"/>
        <v>0</v>
      </c>
      <c r="AH72" s="197">
        <f t="shared" si="36"/>
        <v>0</v>
      </c>
      <c r="AI72" s="202">
        <f t="shared" si="37"/>
        <v>0</v>
      </c>
      <c r="AK72" s="71">
        <v>67</v>
      </c>
      <c r="AL72" s="33"/>
      <c r="AM72" s="33"/>
      <c r="AN72" s="33"/>
      <c r="AO72" s="33"/>
      <c r="AP72" s="33"/>
      <c r="AQ72" s="197"/>
      <c r="AR72" s="197"/>
      <c r="AS72" s="197"/>
      <c r="AT72" s="197"/>
      <c r="AU72" s="33"/>
      <c r="AV72" s="33"/>
      <c r="AW72" s="33"/>
      <c r="AX72" s="33"/>
      <c r="AY72" s="76"/>
    </row>
    <row r="73" spans="2:51">
      <c r="B73" s="40"/>
      <c r="C73" s="155"/>
      <c r="D73" s="140"/>
      <c r="E73" s="144"/>
      <c r="F73" s="42"/>
      <c r="G73" s="51"/>
      <c r="I73" s="55">
        <v>68</v>
      </c>
      <c r="J73" s="33">
        <f t="shared" si="51"/>
        <v>0</v>
      </c>
      <c r="K73" s="33">
        <f t="shared" si="52"/>
        <v>0</v>
      </c>
      <c r="L73" s="33">
        <f t="shared" si="53"/>
        <v>0</v>
      </c>
      <c r="M73" s="33">
        <f t="shared" si="54"/>
        <v>0</v>
      </c>
      <c r="N73" s="33">
        <f t="shared" si="40"/>
        <v>0</v>
      </c>
      <c r="O73" s="34">
        <f t="shared" si="41"/>
        <v>0</v>
      </c>
      <c r="P73" s="55">
        <v>68</v>
      </c>
      <c r="Q73" s="33">
        <f t="shared" si="49"/>
        <v>0</v>
      </c>
      <c r="R73" s="33">
        <f t="shared" si="55"/>
        <v>0</v>
      </c>
      <c r="S73" s="33">
        <f t="shared" si="56"/>
        <v>0</v>
      </c>
      <c r="T73" s="33">
        <f t="shared" si="42"/>
        <v>0</v>
      </c>
      <c r="U73" s="33">
        <f t="shared" si="50"/>
        <v>0</v>
      </c>
      <c r="V73" s="33">
        <f t="shared" si="43"/>
        <v>0</v>
      </c>
      <c r="W73" s="33">
        <v>0</v>
      </c>
      <c r="X73" s="33">
        <f t="shared" si="44"/>
        <v>0</v>
      </c>
      <c r="Y73" s="38">
        <f t="shared" si="45"/>
        <v>0</v>
      </c>
      <c r="AA73" s="71">
        <v>68</v>
      </c>
      <c r="AB73" s="33">
        <f t="shared" si="46"/>
        <v>0</v>
      </c>
      <c r="AC73" s="308">
        <f t="shared" si="39"/>
        <v>0</v>
      </c>
      <c r="AD73" s="101">
        <f t="shared" si="47"/>
        <v>0</v>
      </c>
      <c r="AE73" s="101">
        <f t="shared" si="48"/>
        <v>0</v>
      </c>
      <c r="AF73" s="197">
        <f t="shared" si="34"/>
        <v>0</v>
      </c>
      <c r="AG73" s="197">
        <f t="shared" si="35"/>
        <v>0</v>
      </c>
      <c r="AH73" s="197">
        <f t="shared" si="36"/>
        <v>0</v>
      </c>
      <c r="AI73" s="202">
        <f t="shared" si="37"/>
        <v>0</v>
      </c>
      <c r="AK73" s="71">
        <v>68</v>
      </c>
      <c r="AL73" s="33"/>
      <c r="AM73" s="33"/>
      <c r="AN73" s="33"/>
      <c r="AO73" s="33"/>
      <c r="AP73" s="33"/>
      <c r="AQ73" s="197"/>
      <c r="AR73" s="197"/>
      <c r="AS73" s="197"/>
      <c r="AT73" s="197"/>
      <c r="AU73" s="33"/>
      <c r="AV73" s="33"/>
      <c r="AW73" s="33"/>
      <c r="AX73" s="33"/>
      <c r="AY73" s="76"/>
    </row>
    <row r="74" spans="2:51">
      <c r="B74" s="40"/>
      <c r="C74" s="155"/>
      <c r="D74" s="140"/>
      <c r="E74" s="144"/>
      <c r="F74" s="42"/>
      <c r="G74" s="51"/>
      <c r="I74" s="55">
        <v>69</v>
      </c>
      <c r="J74" s="33">
        <f t="shared" si="51"/>
        <v>0</v>
      </c>
      <c r="K74" s="33">
        <f t="shared" si="52"/>
        <v>0</v>
      </c>
      <c r="L74" s="33">
        <f t="shared" si="53"/>
        <v>0</v>
      </c>
      <c r="M74" s="33">
        <f t="shared" si="54"/>
        <v>0</v>
      </c>
      <c r="N74" s="33">
        <f t="shared" si="40"/>
        <v>0</v>
      </c>
      <c r="O74" s="34">
        <f t="shared" si="41"/>
        <v>0</v>
      </c>
      <c r="P74" s="55">
        <v>69</v>
      </c>
      <c r="Q74" s="33">
        <f t="shared" si="49"/>
        <v>0</v>
      </c>
      <c r="R74" s="33">
        <f t="shared" si="55"/>
        <v>0</v>
      </c>
      <c r="S74" s="33">
        <f t="shared" si="56"/>
        <v>0</v>
      </c>
      <c r="T74" s="33">
        <f t="shared" si="42"/>
        <v>0</v>
      </c>
      <c r="U74" s="33">
        <f t="shared" si="50"/>
        <v>0</v>
      </c>
      <c r="V74" s="33">
        <f t="shared" si="43"/>
        <v>0</v>
      </c>
      <c r="W74" s="33">
        <v>0</v>
      </c>
      <c r="X74" s="33">
        <f t="shared" si="44"/>
        <v>0</v>
      </c>
      <c r="Y74" s="38">
        <f t="shared" si="45"/>
        <v>0</v>
      </c>
      <c r="AA74" s="71">
        <v>69</v>
      </c>
      <c r="AB74" s="33">
        <f t="shared" si="46"/>
        <v>0</v>
      </c>
      <c r="AC74" s="308">
        <f t="shared" si="39"/>
        <v>0</v>
      </c>
      <c r="AD74" s="101">
        <f t="shared" si="47"/>
        <v>0</v>
      </c>
      <c r="AE74" s="101">
        <f t="shared" si="48"/>
        <v>0</v>
      </c>
      <c r="AF74" s="197">
        <f t="shared" si="34"/>
        <v>0</v>
      </c>
      <c r="AG74" s="197">
        <f t="shared" si="35"/>
        <v>0</v>
      </c>
      <c r="AH74" s="197">
        <f t="shared" si="36"/>
        <v>0</v>
      </c>
      <c r="AI74" s="202">
        <f t="shared" si="37"/>
        <v>0</v>
      </c>
      <c r="AK74" s="71">
        <v>69</v>
      </c>
      <c r="AL74" s="33"/>
      <c r="AM74" s="33"/>
      <c r="AN74" s="33"/>
      <c r="AO74" s="33"/>
      <c r="AP74" s="33"/>
      <c r="AQ74" s="197"/>
      <c r="AR74" s="197"/>
      <c r="AS74" s="197"/>
      <c r="AT74" s="197"/>
      <c r="AU74" s="33"/>
      <c r="AV74" s="33"/>
      <c r="AW74" s="33"/>
      <c r="AX74" s="33"/>
      <c r="AY74" s="76"/>
    </row>
    <row r="75" spans="2:51">
      <c r="B75" s="40"/>
      <c r="C75" s="155"/>
      <c r="D75" s="140"/>
      <c r="E75" s="144"/>
      <c r="F75" s="42"/>
      <c r="G75" s="51"/>
      <c r="I75" s="55">
        <v>70</v>
      </c>
      <c r="J75" s="33">
        <f t="shared" si="51"/>
        <v>0</v>
      </c>
      <c r="K75" s="33">
        <f t="shared" si="52"/>
        <v>0</v>
      </c>
      <c r="L75" s="33">
        <f t="shared" si="53"/>
        <v>0</v>
      </c>
      <c r="M75" s="33">
        <f t="shared" si="54"/>
        <v>0</v>
      </c>
      <c r="N75" s="33">
        <f t="shared" si="40"/>
        <v>0</v>
      </c>
      <c r="O75" s="34">
        <f t="shared" si="41"/>
        <v>0</v>
      </c>
      <c r="P75" s="55">
        <v>70</v>
      </c>
      <c r="Q75" s="33">
        <f t="shared" si="49"/>
        <v>0</v>
      </c>
      <c r="R75" s="33">
        <f t="shared" si="55"/>
        <v>0</v>
      </c>
      <c r="S75" s="33">
        <f t="shared" si="56"/>
        <v>0</v>
      </c>
      <c r="T75" s="33">
        <f t="shared" si="42"/>
        <v>0</v>
      </c>
      <c r="U75" s="33">
        <f t="shared" si="50"/>
        <v>0</v>
      </c>
      <c r="V75" s="33">
        <f t="shared" si="43"/>
        <v>0</v>
      </c>
      <c r="W75" s="33">
        <v>0</v>
      </c>
      <c r="X75" s="33">
        <f t="shared" si="44"/>
        <v>0</v>
      </c>
      <c r="Y75" s="38">
        <f t="shared" si="45"/>
        <v>0</v>
      </c>
      <c r="AA75" s="71">
        <v>70</v>
      </c>
      <c r="AB75" s="33">
        <f t="shared" si="46"/>
        <v>0</v>
      </c>
      <c r="AC75" s="308">
        <f t="shared" si="39"/>
        <v>0</v>
      </c>
      <c r="AD75" s="101">
        <f t="shared" si="47"/>
        <v>0</v>
      </c>
      <c r="AE75" s="101">
        <f t="shared" si="48"/>
        <v>0</v>
      </c>
      <c r="AF75" s="197">
        <f t="shared" si="34"/>
        <v>0</v>
      </c>
      <c r="AG75" s="197">
        <f t="shared" si="35"/>
        <v>0</v>
      </c>
      <c r="AH75" s="197">
        <f t="shared" si="36"/>
        <v>0</v>
      </c>
      <c r="AI75" s="202">
        <f t="shared" si="37"/>
        <v>0</v>
      </c>
      <c r="AK75" s="71">
        <v>70</v>
      </c>
      <c r="AL75" s="33"/>
      <c r="AM75" s="33"/>
      <c r="AN75" s="33"/>
      <c r="AO75" s="33"/>
      <c r="AP75" s="33"/>
      <c r="AQ75" s="197"/>
      <c r="AR75" s="197"/>
      <c r="AS75" s="197"/>
      <c r="AT75" s="197"/>
      <c r="AU75" s="33"/>
      <c r="AV75" s="33"/>
      <c r="AW75" s="33"/>
      <c r="AX75" s="33"/>
      <c r="AY75" s="76"/>
    </row>
    <row r="76" spans="2:51">
      <c r="B76" s="40"/>
      <c r="C76" s="155"/>
      <c r="D76" s="140"/>
      <c r="E76" s="144"/>
      <c r="F76" s="42"/>
      <c r="G76" s="51"/>
      <c r="I76" s="55">
        <v>71</v>
      </c>
      <c r="J76" s="33">
        <f t="shared" si="51"/>
        <v>0</v>
      </c>
      <c r="K76" s="33">
        <f t="shared" si="52"/>
        <v>0</v>
      </c>
      <c r="L76" s="33">
        <f t="shared" si="53"/>
        <v>0</v>
      </c>
      <c r="M76" s="33">
        <f t="shared" si="54"/>
        <v>0</v>
      </c>
      <c r="N76" s="33">
        <f t="shared" si="40"/>
        <v>0</v>
      </c>
      <c r="O76" s="34">
        <f t="shared" si="41"/>
        <v>0</v>
      </c>
      <c r="P76" s="55">
        <v>71</v>
      </c>
      <c r="Q76" s="33">
        <f t="shared" si="49"/>
        <v>0</v>
      </c>
      <c r="R76" s="33">
        <f t="shared" si="55"/>
        <v>0</v>
      </c>
      <c r="S76" s="33">
        <f t="shared" si="56"/>
        <v>0</v>
      </c>
      <c r="T76" s="33">
        <f t="shared" si="42"/>
        <v>0</v>
      </c>
      <c r="U76" s="33">
        <f t="shared" si="50"/>
        <v>0</v>
      </c>
      <c r="V76" s="33">
        <f t="shared" si="43"/>
        <v>0</v>
      </c>
      <c r="W76" s="33">
        <v>0</v>
      </c>
      <c r="X76" s="33">
        <f t="shared" si="44"/>
        <v>0</v>
      </c>
      <c r="Y76" s="38">
        <f t="shared" si="45"/>
        <v>0</v>
      </c>
      <c r="AA76" s="71">
        <v>71</v>
      </c>
      <c r="AB76" s="33">
        <f t="shared" si="46"/>
        <v>0</v>
      </c>
      <c r="AC76" s="308">
        <f t="shared" si="39"/>
        <v>0</v>
      </c>
      <c r="AD76" s="101">
        <f t="shared" si="47"/>
        <v>0</v>
      </c>
      <c r="AE76" s="101">
        <f t="shared" si="48"/>
        <v>0</v>
      </c>
      <c r="AF76" s="197">
        <f t="shared" si="34"/>
        <v>0</v>
      </c>
      <c r="AG76" s="197">
        <f t="shared" si="35"/>
        <v>0</v>
      </c>
      <c r="AH76" s="197">
        <f t="shared" si="36"/>
        <v>0</v>
      </c>
      <c r="AI76" s="202">
        <f t="shared" si="37"/>
        <v>0</v>
      </c>
      <c r="AK76" s="71">
        <v>71</v>
      </c>
      <c r="AL76" s="33"/>
      <c r="AM76" s="33"/>
      <c r="AN76" s="33"/>
      <c r="AO76" s="33"/>
      <c r="AP76" s="33"/>
      <c r="AQ76" s="197"/>
      <c r="AR76" s="197"/>
      <c r="AS76" s="197"/>
      <c r="AT76" s="197"/>
      <c r="AU76" s="33"/>
      <c r="AV76" s="33"/>
      <c r="AW76" s="33"/>
      <c r="AX76" s="33"/>
      <c r="AY76" s="76"/>
    </row>
    <row r="77" spans="2:51">
      <c r="B77" s="40"/>
      <c r="C77" s="155"/>
      <c r="D77" s="140"/>
      <c r="E77" s="144"/>
      <c r="F77" s="42"/>
      <c r="G77" s="51"/>
      <c r="I77" s="55">
        <v>72</v>
      </c>
      <c r="J77" s="33">
        <f t="shared" si="51"/>
        <v>0</v>
      </c>
      <c r="K77" s="33">
        <f t="shared" si="52"/>
        <v>0</v>
      </c>
      <c r="L77" s="33">
        <f t="shared" si="53"/>
        <v>0</v>
      </c>
      <c r="M77" s="33">
        <f t="shared" si="54"/>
        <v>0</v>
      </c>
      <c r="N77" s="33">
        <f t="shared" si="40"/>
        <v>0</v>
      </c>
      <c r="O77" s="34">
        <f t="shared" si="41"/>
        <v>0</v>
      </c>
      <c r="P77" s="55">
        <v>72</v>
      </c>
      <c r="Q77" s="33">
        <f t="shared" si="49"/>
        <v>0</v>
      </c>
      <c r="R77" s="33">
        <f t="shared" si="55"/>
        <v>0</v>
      </c>
      <c r="S77" s="33">
        <f t="shared" si="56"/>
        <v>0</v>
      </c>
      <c r="T77" s="33">
        <f t="shared" si="42"/>
        <v>0</v>
      </c>
      <c r="U77" s="33">
        <f t="shared" si="50"/>
        <v>0</v>
      </c>
      <c r="V77" s="33">
        <f t="shared" si="43"/>
        <v>0</v>
      </c>
      <c r="W77" s="33">
        <v>0</v>
      </c>
      <c r="X77" s="33">
        <f t="shared" si="44"/>
        <v>0</v>
      </c>
      <c r="Y77" s="38">
        <f t="shared" si="45"/>
        <v>0</v>
      </c>
      <c r="AA77" s="71">
        <v>72</v>
      </c>
      <c r="AB77" s="33">
        <f t="shared" si="46"/>
        <v>0</v>
      </c>
      <c r="AC77" s="308">
        <f t="shared" si="39"/>
        <v>0</v>
      </c>
      <c r="AD77" s="101">
        <f t="shared" si="47"/>
        <v>0</v>
      </c>
      <c r="AE77" s="101">
        <f t="shared" si="48"/>
        <v>0</v>
      </c>
      <c r="AF77" s="197">
        <f t="shared" si="34"/>
        <v>0</v>
      </c>
      <c r="AG77" s="197">
        <f t="shared" si="35"/>
        <v>0</v>
      </c>
      <c r="AH77" s="197">
        <f t="shared" si="36"/>
        <v>0</v>
      </c>
      <c r="AI77" s="202">
        <f t="shared" si="37"/>
        <v>0</v>
      </c>
      <c r="AK77" s="71">
        <v>72</v>
      </c>
      <c r="AL77" s="33"/>
      <c r="AM77" s="33"/>
      <c r="AN77" s="33"/>
      <c r="AO77" s="33"/>
      <c r="AP77" s="33"/>
      <c r="AQ77" s="197"/>
      <c r="AR77" s="197"/>
      <c r="AS77" s="197"/>
      <c r="AT77" s="197"/>
      <c r="AU77" s="33"/>
      <c r="AV77" s="33"/>
      <c r="AW77" s="33"/>
      <c r="AX77" s="33"/>
      <c r="AY77" s="76"/>
    </row>
    <row r="78" spans="2:51">
      <c r="B78" s="43"/>
      <c r="C78" s="156"/>
      <c r="D78" s="157"/>
      <c r="E78" s="144"/>
      <c r="F78" s="42"/>
      <c r="G78" s="51"/>
      <c r="I78" s="55">
        <v>73</v>
      </c>
      <c r="J78" s="33">
        <f t="shared" si="51"/>
        <v>0</v>
      </c>
      <c r="K78" s="33">
        <f t="shared" si="52"/>
        <v>0</v>
      </c>
      <c r="L78" s="33">
        <f t="shared" si="53"/>
        <v>0</v>
      </c>
      <c r="M78" s="33">
        <f t="shared" si="54"/>
        <v>0</v>
      </c>
      <c r="N78" s="33">
        <f t="shared" si="40"/>
        <v>0</v>
      </c>
      <c r="O78" s="34">
        <f t="shared" si="41"/>
        <v>0</v>
      </c>
      <c r="P78" s="55">
        <v>73</v>
      </c>
      <c r="Q78" s="33">
        <f t="shared" si="49"/>
        <v>0</v>
      </c>
      <c r="R78" s="33">
        <f t="shared" si="55"/>
        <v>0</v>
      </c>
      <c r="S78" s="33">
        <f t="shared" si="56"/>
        <v>0</v>
      </c>
      <c r="T78" s="33">
        <f t="shared" si="42"/>
        <v>0</v>
      </c>
      <c r="U78" s="33">
        <f t="shared" si="50"/>
        <v>0</v>
      </c>
      <c r="V78" s="33">
        <f t="shared" si="43"/>
        <v>0</v>
      </c>
      <c r="W78" s="33">
        <v>0</v>
      </c>
      <c r="X78" s="33">
        <f t="shared" si="44"/>
        <v>0</v>
      </c>
      <c r="Y78" s="38">
        <f t="shared" si="45"/>
        <v>0</v>
      </c>
      <c r="AA78" s="71">
        <v>73</v>
      </c>
      <c r="AB78" s="33">
        <f t="shared" si="46"/>
        <v>0</v>
      </c>
      <c r="AC78" s="308">
        <f t="shared" si="39"/>
        <v>0</v>
      </c>
      <c r="AD78" s="101">
        <f t="shared" si="47"/>
        <v>0</v>
      </c>
      <c r="AE78" s="101">
        <f t="shared" si="48"/>
        <v>0</v>
      </c>
      <c r="AF78" s="197">
        <f t="shared" si="34"/>
        <v>0</v>
      </c>
      <c r="AG78" s="197">
        <f t="shared" si="35"/>
        <v>0</v>
      </c>
      <c r="AH78" s="197">
        <f t="shared" si="36"/>
        <v>0</v>
      </c>
      <c r="AI78" s="202">
        <f t="shared" si="37"/>
        <v>0</v>
      </c>
      <c r="AK78" s="71">
        <v>73</v>
      </c>
      <c r="AL78" s="33"/>
      <c r="AM78" s="33"/>
      <c r="AN78" s="33"/>
      <c r="AO78" s="33"/>
      <c r="AP78" s="33"/>
      <c r="AQ78" s="197"/>
      <c r="AR78" s="197"/>
      <c r="AS78" s="197"/>
      <c r="AT78" s="197"/>
      <c r="AU78" s="33"/>
      <c r="AV78" s="33"/>
      <c r="AW78" s="33"/>
      <c r="AX78" s="33"/>
      <c r="AY78" s="76"/>
    </row>
    <row r="79" spans="2:51">
      <c r="I79" s="55">
        <v>74</v>
      </c>
      <c r="J79" s="33">
        <f t="shared" si="51"/>
        <v>0</v>
      </c>
      <c r="K79" s="33">
        <f t="shared" si="52"/>
        <v>0</v>
      </c>
      <c r="L79" s="33">
        <f t="shared" si="53"/>
        <v>0</v>
      </c>
      <c r="M79" s="33">
        <f t="shared" si="54"/>
        <v>0</v>
      </c>
      <c r="N79" s="33">
        <f t="shared" si="40"/>
        <v>0</v>
      </c>
      <c r="O79" s="34">
        <f t="shared" si="41"/>
        <v>0</v>
      </c>
      <c r="P79" s="55">
        <v>74</v>
      </c>
      <c r="Q79" s="33">
        <f t="shared" si="49"/>
        <v>0</v>
      </c>
      <c r="R79" s="33">
        <f t="shared" si="55"/>
        <v>0</v>
      </c>
      <c r="S79" s="33">
        <f t="shared" si="56"/>
        <v>0</v>
      </c>
      <c r="T79" s="33">
        <f t="shared" si="42"/>
        <v>0</v>
      </c>
      <c r="U79" s="33">
        <f t="shared" si="50"/>
        <v>0</v>
      </c>
      <c r="V79" s="33">
        <f t="shared" si="43"/>
        <v>0</v>
      </c>
      <c r="W79" s="33">
        <v>0</v>
      </c>
      <c r="X79" s="33">
        <f t="shared" si="44"/>
        <v>0</v>
      </c>
      <c r="Y79" s="38">
        <f t="shared" si="45"/>
        <v>0</v>
      </c>
      <c r="AA79" s="71">
        <v>74</v>
      </c>
      <c r="AB79" s="33">
        <f t="shared" si="46"/>
        <v>0</v>
      </c>
      <c r="AC79" s="308">
        <f t="shared" si="39"/>
        <v>0</v>
      </c>
      <c r="AD79" s="101">
        <f t="shared" si="47"/>
        <v>0</v>
      </c>
      <c r="AE79" s="101">
        <f t="shared" si="48"/>
        <v>0</v>
      </c>
      <c r="AF79" s="197">
        <f t="shared" si="34"/>
        <v>0</v>
      </c>
      <c r="AG79" s="197">
        <f t="shared" si="35"/>
        <v>0</v>
      </c>
      <c r="AH79" s="197">
        <f t="shared" si="36"/>
        <v>0</v>
      </c>
      <c r="AI79" s="202">
        <f t="shared" si="37"/>
        <v>0</v>
      </c>
      <c r="AK79" s="71">
        <v>74</v>
      </c>
      <c r="AL79" s="33"/>
      <c r="AM79" s="33"/>
      <c r="AN79" s="33"/>
      <c r="AO79" s="33"/>
      <c r="AP79" s="33"/>
      <c r="AQ79" s="197"/>
      <c r="AR79" s="197"/>
      <c r="AS79" s="197"/>
      <c r="AT79" s="197"/>
      <c r="AU79" s="33"/>
      <c r="AV79" s="33"/>
      <c r="AW79" s="33"/>
      <c r="AX79" s="33"/>
      <c r="AY79" s="76"/>
    </row>
    <row r="80" spans="2:51">
      <c r="B80" s="358" t="s">
        <v>259</v>
      </c>
      <c r="C80" s="359"/>
      <c r="D80" s="359"/>
      <c r="E80" s="359"/>
      <c r="F80" s="359"/>
      <c r="G80" s="360"/>
      <c r="H80" s="23"/>
      <c r="I80" s="55">
        <v>75</v>
      </c>
      <c r="J80" s="33">
        <f t="shared" si="51"/>
        <v>0</v>
      </c>
      <c r="K80" s="33">
        <f t="shared" si="52"/>
        <v>0</v>
      </c>
      <c r="L80" s="33">
        <f t="shared" si="53"/>
        <v>0</v>
      </c>
      <c r="M80" s="33">
        <f t="shared" si="54"/>
        <v>0</v>
      </c>
      <c r="N80" s="33">
        <f t="shared" si="40"/>
        <v>0</v>
      </c>
      <c r="O80" s="34">
        <f t="shared" si="41"/>
        <v>0</v>
      </c>
      <c r="P80" s="55">
        <v>75</v>
      </c>
      <c r="Q80" s="33">
        <f t="shared" si="49"/>
        <v>0</v>
      </c>
      <c r="R80" s="33">
        <f t="shared" si="55"/>
        <v>0</v>
      </c>
      <c r="S80" s="33">
        <f t="shared" si="56"/>
        <v>0</v>
      </c>
      <c r="T80" s="33">
        <f t="shared" si="42"/>
        <v>0</v>
      </c>
      <c r="U80" s="33">
        <f t="shared" si="50"/>
        <v>0</v>
      </c>
      <c r="V80" s="33">
        <f t="shared" si="43"/>
        <v>0</v>
      </c>
      <c r="W80" s="33">
        <v>0</v>
      </c>
      <c r="X80" s="33">
        <f t="shared" si="44"/>
        <v>0</v>
      </c>
      <c r="Y80" s="38">
        <f t="shared" si="45"/>
        <v>0</v>
      </c>
      <c r="AA80" s="71">
        <v>75</v>
      </c>
      <c r="AB80" s="33">
        <f t="shared" si="46"/>
        <v>0</v>
      </c>
      <c r="AC80" s="308">
        <f t="shared" si="39"/>
        <v>0</v>
      </c>
      <c r="AD80" s="101">
        <f t="shared" si="47"/>
        <v>0</v>
      </c>
      <c r="AE80" s="101">
        <f t="shared" si="48"/>
        <v>0</v>
      </c>
      <c r="AF80" s="197">
        <f t="shared" si="34"/>
        <v>0</v>
      </c>
      <c r="AG80" s="197">
        <f t="shared" si="35"/>
        <v>0</v>
      </c>
      <c r="AH80" s="197">
        <f t="shared" si="36"/>
        <v>0</v>
      </c>
      <c r="AI80" s="202">
        <f t="shared" si="37"/>
        <v>0</v>
      </c>
      <c r="AK80" s="71">
        <v>75</v>
      </c>
      <c r="AL80" s="33"/>
      <c r="AM80" s="33"/>
      <c r="AN80" s="33"/>
      <c r="AO80" s="33"/>
      <c r="AP80" s="33"/>
      <c r="AQ80" s="197"/>
      <c r="AR80" s="197"/>
      <c r="AS80" s="197"/>
      <c r="AT80" s="197"/>
      <c r="AU80" s="33"/>
      <c r="AV80" s="33"/>
      <c r="AW80" s="33"/>
      <c r="AX80" s="33"/>
      <c r="AY80" s="76"/>
    </row>
    <row r="81" spans="2:51">
      <c r="B81" s="159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7"/>
      <c r="I81" s="55">
        <v>76</v>
      </c>
      <c r="J81" s="33">
        <f t="shared" si="51"/>
        <v>0</v>
      </c>
      <c r="K81" s="33">
        <f t="shared" si="52"/>
        <v>0</v>
      </c>
      <c r="L81" s="33">
        <f t="shared" si="53"/>
        <v>0</v>
      </c>
      <c r="M81" s="33">
        <f t="shared" si="54"/>
        <v>0</v>
      </c>
      <c r="N81" s="33">
        <f t="shared" si="40"/>
        <v>0</v>
      </c>
      <c r="O81" s="34">
        <f t="shared" si="41"/>
        <v>0</v>
      </c>
      <c r="P81" s="55">
        <v>76</v>
      </c>
      <c r="Q81" s="33">
        <f t="shared" si="49"/>
        <v>0</v>
      </c>
      <c r="R81" s="33">
        <f t="shared" si="55"/>
        <v>0</v>
      </c>
      <c r="S81" s="33">
        <f t="shared" si="56"/>
        <v>0</v>
      </c>
      <c r="T81" s="33">
        <f t="shared" si="42"/>
        <v>0</v>
      </c>
      <c r="U81" s="33">
        <f t="shared" si="50"/>
        <v>0</v>
      </c>
      <c r="V81" s="33">
        <f t="shared" si="43"/>
        <v>0</v>
      </c>
      <c r="W81" s="33">
        <v>0</v>
      </c>
      <c r="X81" s="33">
        <f t="shared" si="44"/>
        <v>0</v>
      </c>
      <c r="Y81" s="38">
        <f t="shared" si="45"/>
        <v>0</v>
      </c>
      <c r="AA81" s="71">
        <v>76</v>
      </c>
      <c r="AB81" s="33">
        <f t="shared" si="46"/>
        <v>0</v>
      </c>
      <c r="AC81" s="308">
        <f t="shared" si="39"/>
        <v>0</v>
      </c>
      <c r="AD81" s="101">
        <f t="shared" si="47"/>
        <v>0</v>
      </c>
      <c r="AE81" s="101">
        <f t="shared" si="48"/>
        <v>0</v>
      </c>
      <c r="AF81" s="197">
        <f t="shared" si="34"/>
        <v>0</v>
      </c>
      <c r="AG81" s="197">
        <f t="shared" si="35"/>
        <v>0</v>
      </c>
      <c r="AH81" s="197">
        <f t="shared" si="36"/>
        <v>0</v>
      </c>
      <c r="AI81" s="202">
        <f t="shared" si="37"/>
        <v>0</v>
      </c>
      <c r="AK81" s="71">
        <v>76</v>
      </c>
      <c r="AL81" s="33"/>
      <c r="AM81" s="33"/>
      <c r="AN81" s="33"/>
      <c r="AO81" s="33"/>
      <c r="AP81" s="33"/>
      <c r="AQ81" s="197"/>
      <c r="AR81" s="197"/>
      <c r="AS81" s="197"/>
      <c r="AT81" s="197"/>
      <c r="AU81" s="33"/>
      <c r="AV81" s="33"/>
      <c r="AW81" s="33"/>
      <c r="AX81" s="33"/>
      <c r="AY81" s="76"/>
    </row>
    <row r="82" spans="2:51">
      <c r="B82" s="173">
        <f>IF(C25&lt;=$F$18,C25+1,"-")</f>
        <v>16</v>
      </c>
      <c r="C82" s="148">
        <f>D25-D26</f>
        <v>4</v>
      </c>
      <c r="D82" s="149"/>
      <c r="E82" s="174">
        <f>IF(G82+D82&lt;&gt;1,(1-(G82+D82))*56%,0)</f>
        <v>0.56000000000000005</v>
      </c>
      <c r="F82" s="174">
        <f>IF(G82+D82&lt;&gt;1,(1-(G82+D82))*44%,0)</f>
        <v>0.44</v>
      </c>
      <c r="G82" s="150"/>
      <c r="H82" s="58">
        <f t="shared" ref="H82:H94" si="57">IF(C82=0,0,IF(SUM(D82:G82)&lt;&gt;1,"erreur",))</f>
        <v>0</v>
      </c>
      <c r="I82" s="55">
        <v>77</v>
      </c>
      <c r="J82" s="33">
        <f t="shared" si="51"/>
        <v>0</v>
      </c>
      <c r="K82" s="33">
        <f t="shared" si="52"/>
        <v>0</v>
      </c>
      <c r="L82" s="33">
        <f t="shared" si="53"/>
        <v>0</v>
      </c>
      <c r="M82" s="33">
        <f t="shared" si="54"/>
        <v>0</v>
      </c>
      <c r="N82" s="33">
        <f t="shared" si="40"/>
        <v>0</v>
      </c>
      <c r="O82" s="34">
        <f t="shared" si="41"/>
        <v>0</v>
      </c>
      <c r="P82" s="55">
        <v>77</v>
      </c>
      <c r="Q82" s="33">
        <f t="shared" si="49"/>
        <v>0</v>
      </c>
      <c r="R82" s="33">
        <f t="shared" si="55"/>
        <v>0</v>
      </c>
      <c r="S82" s="33">
        <f t="shared" si="56"/>
        <v>0</v>
      </c>
      <c r="T82" s="33">
        <f t="shared" si="42"/>
        <v>0</v>
      </c>
      <c r="U82" s="33">
        <f t="shared" si="50"/>
        <v>0</v>
      </c>
      <c r="V82" s="33">
        <f t="shared" si="43"/>
        <v>0</v>
      </c>
      <c r="W82" s="33">
        <v>0</v>
      </c>
      <c r="X82" s="33">
        <f t="shared" si="44"/>
        <v>0</v>
      </c>
      <c r="Y82" s="38">
        <f t="shared" si="45"/>
        <v>0</v>
      </c>
      <c r="AA82" s="71">
        <v>77</v>
      </c>
      <c r="AB82" s="33">
        <f t="shared" si="46"/>
        <v>0</v>
      </c>
      <c r="AC82" s="308">
        <f t="shared" si="39"/>
        <v>0</v>
      </c>
      <c r="AD82" s="101">
        <f t="shared" si="47"/>
        <v>0</v>
      </c>
      <c r="AE82" s="101">
        <f t="shared" si="48"/>
        <v>0</v>
      </c>
      <c r="AF82" s="197">
        <f t="shared" si="34"/>
        <v>0</v>
      </c>
      <c r="AG82" s="197">
        <f t="shared" si="35"/>
        <v>0</v>
      </c>
      <c r="AH82" s="197">
        <f t="shared" si="36"/>
        <v>0</v>
      </c>
      <c r="AI82" s="202">
        <f t="shared" si="37"/>
        <v>0</v>
      </c>
      <c r="AK82" s="71">
        <v>77</v>
      </c>
      <c r="AL82" s="33"/>
      <c r="AM82" s="33"/>
      <c r="AN82" s="33"/>
      <c r="AO82" s="33"/>
      <c r="AP82" s="33"/>
      <c r="AQ82" s="197"/>
      <c r="AR82" s="197"/>
      <c r="AS82" s="197"/>
      <c r="AT82" s="197"/>
      <c r="AU82" s="33"/>
      <c r="AV82" s="33"/>
      <c r="AW82" s="33"/>
      <c r="AX82" s="33"/>
      <c r="AY82" s="76"/>
    </row>
    <row r="83" spans="2:51">
      <c r="B83" s="175">
        <f>IF(C27&lt;=$F$18,C27+1,"-")</f>
        <v>21</v>
      </c>
      <c r="C83" s="151">
        <f>D27-D28</f>
        <v>56</v>
      </c>
      <c r="D83" s="152"/>
      <c r="E83" s="130">
        <f t="shared" ref="E83:E94" si="58">IF(G83+D83&lt;&gt;1,(1-(G83+D83))*56%,0)</f>
        <v>0.56000000000000005</v>
      </c>
      <c r="F83" s="130">
        <f t="shared" ref="F83:F94" si="59">IF(G83+D83&lt;&gt;1,(1-(G83+D83))*44%,0)</f>
        <v>0.44</v>
      </c>
      <c r="G83" s="153"/>
      <c r="H83" s="58">
        <f t="shared" si="57"/>
        <v>0</v>
      </c>
      <c r="I83" s="55">
        <v>78</v>
      </c>
      <c r="J83" s="33">
        <f t="shared" si="51"/>
        <v>0</v>
      </c>
      <c r="K83" s="33">
        <f t="shared" si="52"/>
        <v>0</v>
      </c>
      <c r="L83" s="33">
        <f t="shared" si="53"/>
        <v>0</v>
      </c>
      <c r="M83" s="33">
        <f t="shared" si="54"/>
        <v>0</v>
      </c>
      <c r="N83" s="33">
        <f t="shared" si="40"/>
        <v>0</v>
      </c>
      <c r="O83" s="34">
        <f t="shared" si="41"/>
        <v>0</v>
      </c>
      <c r="P83" s="55">
        <v>78</v>
      </c>
      <c r="Q83" s="33">
        <f t="shared" si="49"/>
        <v>0</v>
      </c>
      <c r="R83" s="33">
        <f t="shared" si="55"/>
        <v>0</v>
      </c>
      <c r="S83" s="33">
        <f t="shared" si="56"/>
        <v>0</v>
      </c>
      <c r="T83" s="33">
        <f t="shared" si="42"/>
        <v>0</v>
      </c>
      <c r="U83" s="33">
        <f t="shared" si="50"/>
        <v>0</v>
      </c>
      <c r="V83" s="33">
        <f t="shared" si="43"/>
        <v>0</v>
      </c>
      <c r="W83" s="33">
        <v>0</v>
      </c>
      <c r="X83" s="33">
        <f t="shared" si="44"/>
        <v>0</v>
      </c>
      <c r="Y83" s="38">
        <f t="shared" si="45"/>
        <v>0</v>
      </c>
      <c r="AA83" s="71">
        <v>78</v>
      </c>
      <c r="AB83" s="33">
        <f t="shared" si="46"/>
        <v>0</v>
      </c>
      <c r="AC83" s="308">
        <f t="shared" si="39"/>
        <v>0</v>
      </c>
      <c r="AD83" s="101">
        <f t="shared" si="47"/>
        <v>0</v>
      </c>
      <c r="AE83" s="101">
        <f t="shared" si="48"/>
        <v>0</v>
      </c>
      <c r="AF83" s="197">
        <f t="shared" si="34"/>
        <v>0</v>
      </c>
      <c r="AG83" s="197">
        <f t="shared" si="35"/>
        <v>0</v>
      </c>
      <c r="AH83" s="197">
        <f t="shared" si="36"/>
        <v>0</v>
      </c>
      <c r="AI83" s="202">
        <f t="shared" si="37"/>
        <v>0</v>
      </c>
      <c r="AK83" s="71">
        <v>78</v>
      </c>
      <c r="AL83" s="33"/>
      <c r="AM83" s="33"/>
      <c r="AN83" s="33"/>
      <c r="AO83" s="33"/>
      <c r="AP83" s="33"/>
      <c r="AQ83" s="197"/>
      <c r="AR83" s="197"/>
      <c r="AS83" s="197"/>
      <c r="AT83" s="197"/>
      <c r="AU83" s="33"/>
      <c r="AV83" s="33"/>
      <c r="AW83" s="33"/>
      <c r="AX83" s="33"/>
      <c r="AY83" s="76"/>
    </row>
    <row r="84" spans="2:51">
      <c r="B84" s="190">
        <f>IF(C29&lt;=$F$18,C29+1,"-")</f>
        <v>26</v>
      </c>
      <c r="C84" s="151">
        <f>D29-D30</f>
        <v>56</v>
      </c>
      <c r="D84" s="152"/>
      <c r="E84" s="130">
        <f t="shared" si="58"/>
        <v>0.56000000000000005</v>
      </c>
      <c r="F84" s="130">
        <f t="shared" si="59"/>
        <v>0.44</v>
      </c>
      <c r="G84" s="153"/>
      <c r="H84" s="58">
        <f t="shared" si="57"/>
        <v>0</v>
      </c>
      <c r="I84" s="55">
        <v>79</v>
      </c>
      <c r="J84" s="33">
        <f t="shared" si="51"/>
        <v>0</v>
      </c>
      <c r="K84" s="33">
        <f t="shared" si="52"/>
        <v>0</v>
      </c>
      <c r="L84" s="33">
        <f t="shared" si="53"/>
        <v>0</v>
      </c>
      <c r="M84" s="33">
        <f t="shared" si="54"/>
        <v>0</v>
      </c>
      <c r="N84" s="33">
        <f t="shared" si="40"/>
        <v>0</v>
      </c>
      <c r="O84" s="34">
        <f t="shared" si="41"/>
        <v>0</v>
      </c>
      <c r="P84" s="55">
        <v>79</v>
      </c>
      <c r="Q84" s="33">
        <f t="shared" si="49"/>
        <v>0</v>
      </c>
      <c r="R84" s="33">
        <f t="shared" si="55"/>
        <v>0</v>
      </c>
      <c r="S84" s="33">
        <f t="shared" si="56"/>
        <v>0</v>
      </c>
      <c r="T84" s="33">
        <f t="shared" si="42"/>
        <v>0</v>
      </c>
      <c r="U84" s="33">
        <f t="shared" si="50"/>
        <v>0</v>
      </c>
      <c r="V84" s="33">
        <f t="shared" si="43"/>
        <v>0</v>
      </c>
      <c r="W84" s="33">
        <v>0</v>
      </c>
      <c r="X84" s="33">
        <f t="shared" si="44"/>
        <v>0</v>
      </c>
      <c r="Y84" s="38">
        <f t="shared" si="45"/>
        <v>0</v>
      </c>
      <c r="AA84" s="71">
        <v>79</v>
      </c>
      <c r="AB84" s="33">
        <f t="shared" si="46"/>
        <v>0</v>
      </c>
      <c r="AC84" s="308">
        <f t="shared" si="39"/>
        <v>0</v>
      </c>
      <c r="AD84" s="101">
        <f t="shared" si="47"/>
        <v>0</v>
      </c>
      <c r="AE84" s="101">
        <f t="shared" si="48"/>
        <v>0</v>
      </c>
      <c r="AF84" s="197">
        <f t="shared" si="34"/>
        <v>0</v>
      </c>
      <c r="AG84" s="197">
        <f t="shared" si="35"/>
        <v>0</v>
      </c>
      <c r="AH84" s="197">
        <f t="shared" si="36"/>
        <v>0</v>
      </c>
      <c r="AI84" s="202">
        <f t="shared" si="37"/>
        <v>0</v>
      </c>
      <c r="AK84" s="71">
        <v>79</v>
      </c>
      <c r="AL84" s="33"/>
      <c r="AM84" s="33"/>
      <c r="AN84" s="33"/>
      <c r="AO84" s="33"/>
      <c r="AP84" s="33"/>
      <c r="AQ84" s="197"/>
      <c r="AR84" s="197"/>
      <c r="AS84" s="197"/>
      <c r="AT84" s="197"/>
      <c r="AU84" s="33"/>
      <c r="AV84" s="33"/>
      <c r="AW84" s="33"/>
      <c r="AX84" s="33"/>
      <c r="AY84" s="76"/>
    </row>
    <row r="85" spans="2:51">
      <c r="B85" s="175">
        <f>IF(C31&lt;=$F$18,C31+1,"-")</f>
        <v>31</v>
      </c>
      <c r="C85" s="151">
        <f>D31-D32</f>
        <v>56</v>
      </c>
      <c r="D85" s="152">
        <v>0.2</v>
      </c>
      <c r="E85" s="130">
        <f t="shared" si="58"/>
        <v>0.44800000000000006</v>
      </c>
      <c r="F85" s="130">
        <f t="shared" si="59"/>
        <v>0.35200000000000004</v>
      </c>
      <c r="G85" s="153"/>
      <c r="H85" s="58">
        <f t="shared" si="57"/>
        <v>0</v>
      </c>
      <c r="I85" s="55">
        <v>80</v>
      </c>
      <c r="J85" s="33">
        <f t="shared" si="51"/>
        <v>0</v>
      </c>
      <c r="K85" s="33">
        <f t="shared" si="52"/>
        <v>0</v>
      </c>
      <c r="L85" s="33">
        <f t="shared" si="53"/>
        <v>0</v>
      </c>
      <c r="M85" s="33">
        <f t="shared" si="54"/>
        <v>0</v>
      </c>
      <c r="N85" s="33">
        <f t="shared" si="40"/>
        <v>0</v>
      </c>
      <c r="O85" s="34">
        <f t="shared" si="41"/>
        <v>0</v>
      </c>
      <c r="P85" s="55">
        <v>80</v>
      </c>
      <c r="Q85" s="33">
        <f t="shared" si="49"/>
        <v>0</v>
      </c>
      <c r="R85" s="33">
        <f t="shared" si="55"/>
        <v>0</v>
      </c>
      <c r="S85" s="33">
        <f t="shared" si="56"/>
        <v>0</v>
      </c>
      <c r="T85" s="33">
        <f t="shared" si="42"/>
        <v>0</v>
      </c>
      <c r="U85" s="33">
        <f t="shared" si="50"/>
        <v>0</v>
      </c>
      <c r="V85" s="33">
        <f t="shared" si="43"/>
        <v>0</v>
      </c>
      <c r="W85" s="33">
        <v>0</v>
      </c>
      <c r="X85" s="33">
        <f t="shared" si="44"/>
        <v>0</v>
      </c>
      <c r="Y85" s="38">
        <f t="shared" si="45"/>
        <v>0</v>
      </c>
      <c r="AA85" s="71">
        <v>80</v>
      </c>
      <c r="AB85" s="33">
        <f t="shared" si="46"/>
        <v>0</v>
      </c>
      <c r="AC85" s="308">
        <f t="shared" si="39"/>
        <v>0</v>
      </c>
      <c r="AD85" s="101">
        <f t="shared" si="47"/>
        <v>0</v>
      </c>
      <c r="AE85" s="101">
        <f t="shared" si="48"/>
        <v>0</v>
      </c>
      <c r="AF85" s="197">
        <f t="shared" si="34"/>
        <v>0</v>
      </c>
      <c r="AG85" s="197">
        <f t="shared" si="35"/>
        <v>0</v>
      </c>
      <c r="AH85" s="197">
        <f t="shared" si="36"/>
        <v>0</v>
      </c>
      <c r="AI85" s="202">
        <f t="shared" si="37"/>
        <v>0</v>
      </c>
      <c r="AK85" s="71">
        <v>80</v>
      </c>
      <c r="AL85" s="33"/>
      <c r="AM85" s="33"/>
      <c r="AN85" s="33"/>
      <c r="AO85" s="33"/>
      <c r="AP85" s="33"/>
      <c r="AQ85" s="197"/>
      <c r="AR85" s="197"/>
      <c r="AS85" s="197"/>
      <c r="AT85" s="197"/>
      <c r="AU85" s="33"/>
      <c r="AV85" s="33"/>
      <c r="AW85" s="33"/>
      <c r="AX85" s="33"/>
      <c r="AY85" s="76"/>
    </row>
    <row r="86" spans="2:51">
      <c r="B86" s="175">
        <f>IF(C33&lt;=$F$18,C33+1,"-")</f>
        <v>36</v>
      </c>
      <c r="C86" s="151">
        <f>D33-D34</f>
        <v>56</v>
      </c>
      <c r="D86" s="152">
        <v>0.4</v>
      </c>
      <c r="E86" s="130">
        <f t="shared" si="58"/>
        <v>0.33600000000000002</v>
      </c>
      <c r="F86" s="130">
        <f t="shared" si="59"/>
        <v>0.26400000000000001</v>
      </c>
      <c r="G86" s="153"/>
      <c r="H86" s="58">
        <f t="shared" si="57"/>
        <v>0</v>
      </c>
      <c r="I86" s="55">
        <v>81</v>
      </c>
      <c r="J86" s="33">
        <f t="shared" si="51"/>
        <v>0</v>
      </c>
      <c r="K86" s="33">
        <f t="shared" si="52"/>
        <v>0</v>
      </c>
      <c r="L86" s="33">
        <f t="shared" si="53"/>
        <v>0</v>
      </c>
      <c r="M86" s="33">
        <f t="shared" si="54"/>
        <v>0</v>
      </c>
      <c r="N86" s="33">
        <f t="shared" si="40"/>
        <v>0</v>
      </c>
      <c r="O86" s="34">
        <f t="shared" si="41"/>
        <v>0</v>
      </c>
      <c r="P86" s="55">
        <v>81</v>
      </c>
      <c r="Q86" s="33">
        <f t="shared" si="49"/>
        <v>0</v>
      </c>
      <c r="R86" s="33">
        <f t="shared" si="55"/>
        <v>0</v>
      </c>
      <c r="S86" s="33">
        <f t="shared" si="56"/>
        <v>0</v>
      </c>
      <c r="T86" s="33">
        <f t="shared" si="42"/>
        <v>0</v>
      </c>
      <c r="U86" s="33">
        <f t="shared" si="50"/>
        <v>0</v>
      </c>
      <c r="V86" s="33">
        <f t="shared" si="43"/>
        <v>0</v>
      </c>
      <c r="W86" s="33">
        <v>0</v>
      </c>
      <c r="X86" s="33">
        <f t="shared" si="44"/>
        <v>0</v>
      </c>
      <c r="Y86" s="38">
        <f t="shared" si="45"/>
        <v>0</v>
      </c>
      <c r="AA86" s="71">
        <v>81</v>
      </c>
      <c r="AB86" s="33">
        <f t="shared" si="46"/>
        <v>0</v>
      </c>
      <c r="AC86" s="308">
        <f t="shared" si="39"/>
        <v>0</v>
      </c>
      <c r="AD86" s="101">
        <f t="shared" si="47"/>
        <v>0</v>
      </c>
      <c r="AE86" s="101">
        <f t="shared" si="48"/>
        <v>0</v>
      </c>
      <c r="AF86" s="197">
        <f t="shared" si="34"/>
        <v>0</v>
      </c>
      <c r="AG86" s="197">
        <f t="shared" si="35"/>
        <v>0</v>
      </c>
      <c r="AH86" s="197">
        <f t="shared" si="36"/>
        <v>0</v>
      </c>
      <c r="AI86" s="202">
        <f t="shared" si="37"/>
        <v>0</v>
      </c>
      <c r="AK86" s="71">
        <v>81</v>
      </c>
      <c r="AL86" s="33"/>
      <c r="AM86" s="33"/>
      <c r="AN86" s="33"/>
      <c r="AO86" s="33"/>
      <c r="AP86" s="33"/>
      <c r="AQ86" s="197"/>
      <c r="AR86" s="197"/>
      <c r="AS86" s="197"/>
      <c r="AT86" s="197"/>
      <c r="AU86" s="33"/>
      <c r="AV86" s="33"/>
      <c r="AW86" s="33"/>
      <c r="AX86" s="33"/>
      <c r="AY86" s="76"/>
    </row>
    <row r="87" spans="2:51">
      <c r="B87" s="175">
        <f>IF(C35&lt;=$F$18,C35+1,"-")</f>
        <v>41</v>
      </c>
      <c r="C87" s="151">
        <f>D35-D36</f>
        <v>56</v>
      </c>
      <c r="D87" s="152">
        <v>0.6</v>
      </c>
      <c r="E87" s="130">
        <f t="shared" si="58"/>
        <v>0.22400000000000003</v>
      </c>
      <c r="F87" s="130">
        <f t="shared" si="59"/>
        <v>0.17600000000000002</v>
      </c>
      <c r="G87" s="153"/>
      <c r="H87" s="58">
        <f t="shared" si="57"/>
        <v>0</v>
      </c>
      <c r="I87" s="55">
        <v>82</v>
      </c>
      <c r="J87" s="33">
        <f t="shared" si="51"/>
        <v>0</v>
      </c>
      <c r="K87" s="33">
        <f t="shared" si="52"/>
        <v>0</v>
      </c>
      <c r="L87" s="33">
        <f t="shared" si="53"/>
        <v>0</v>
      </c>
      <c r="M87" s="33">
        <f t="shared" si="54"/>
        <v>0</v>
      </c>
      <c r="N87" s="33">
        <f t="shared" si="40"/>
        <v>0</v>
      </c>
      <c r="O87" s="34">
        <f t="shared" si="41"/>
        <v>0</v>
      </c>
      <c r="P87" s="55">
        <v>82</v>
      </c>
      <c r="Q87" s="33">
        <f t="shared" si="49"/>
        <v>0</v>
      </c>
      <c r="R87" s="33">
        <f t="shared" si="55"/>
        <v>0</v>
      </c>
      <c r="S87" s="33">
        <f t="shared" si="56"/>
        <v>0</v>
      </c>
      <c r="T87" s="33">
        <f t="shared" si="42"/>
        <v>0</v>
      </c>
      <c r="U87" s="33">
        <f t="shared" si="50"/>
        <v>0</v>
      </c>
      <c r="V87" s="33">
        <f t="shared" si="43"/>
        <v>0</v>
      </c>
      <c r="W87" s="33">
        <v>0</v>
      </c>
      <c r="X87" s="33">
        <f t="shared" si="44"/>
        <v>0</v>
      </c>
      <c r="Y87" s="38">
        <f t="shared" si="45"/>
        <v>0</v>
      </c>
      <c r="AA87" s="71">
        <v>82</v>
      </c>
      <c r="AB87" s="33">
        <f t="shared" si="46"/>
        <v>0</v>
      </c>
      <c r="AC87" s="308">
        <f t="shared" si="39"/>
        <v>0</v>
      </c>
      <c r="AD87" s="101">
        <f t="shared" si="47"/>
        <v>0</v>
      </c>
      <c r="AE87" s="101">
        <f t="shared" si="48"/>
        <v>0</v>
      </c>
      <c r="AF87" s="197">
        <f t="shared" si="34"/>
        <v>0</v>
      </c>
      <c r="AG87" s="197">
        <f t="shared" si="35"/>
        <v>0</v>
      </c>
      <c r="AH87" s="197">
        <f t="shared" si="36"/>
        <v>0</v>
      </c>
      <c r="AI87" s="202">
        <f t="shared" si="37"/>
        <v>0</v>
      </c>
      <c r="AK87" s="71">
        <v>82</v>
      </c>
      <c r="AL87" s="33"/>
      <c r="AM87" s="33"/>
      <c r="AN87" s="33"/>
      <c r="AO87" s="33"/>
      <c r="AP87" s="33"/>
      <c r="AQ87" s="197"/>
      <c r="AR87" s="197"/>
      <c r="AS87" s="197"/>
      <c r="AT87" s="197"/>
      <c r="AU87" s="33"/>
      <c r="AV87" s="33"/>
      <c r="AW87" s="33"/>
      <c r="AX87" s="33"/>
      <c r="AY87" s="76"/>
    </row>
    <row r="88" spans="2:51">
      <c r="B88" s="175">
        <f>IF(C37&lt;=$F$18,C37+1,"-")</f>
        <v>46</v>
      </c>
      <c r="C88" s="151">
        <f>D37-D38</f>
        <v>54</v>
      </c>
      <c r="D88" s="152">
        <v>0.8</v>
      </c>
      <c r="E88" s="130">
        <f t="shared" si="58"/>
        <v>0.11199999999999999</v>
      </c>
      <c r="F88" s="130">
        <f t="shared" si="59"/>
        <v>8.7999999999999981E-2</v>
      </c>
      <c r="G88" s="153"/>
      <c r="H88" s="58">
        <f t="shared" si="57"/>
        <v>0</v>
      </c>
      <c r="I88" s="55">
        <v>83</v>
      </c>
      <c r="J88" s="33">
        <f t="shared" si="51"/>
        <v>0</v>
      </c>
      <c r="K88" s="33">
        <f t="shared" si="52"/>
        <v>0</v>
      </c>
      <c r="L88" s="33">
        <f t="shared" si="53"/>
        <v>0</v>
      </c>
      <c r="M88" s="33">
        <f t="shared" si="54"/>
        <v>0</v>
      </c>
      <c r="N88" s="33">
        <f t="shared" si="40"/>
        <v>0</v>
      </c>
      <c r="O88" s="34">
        <f t="shared" si="41"/>
        <v>0</v>
      </c>
      <c r="P88" s="55">
        <v>83</v>
      </c>
      <c r="Q88" s="33">
        <f t="shared" si="49"/>
        <v>0</v>
      </c>
      <c r="R88" s="33">
        <f t="shared" si="55"/>
        <v>0</v>
      </c>
      <c r="S88" s="33">
        <f t="shared" si="56"/>
        <v>0</v>
      </c>
      <c r="T88" s="33">
        <f t="shared" si="42"/>
        <v>0</v>
      </c>
      <c r="U88" s="33">
        <f t="shared" si="50"/>
        <v>0</v>
      </c>
      <c r="V88" s="33">
        <f t="shared" si="43"/>
        <v>0</v>
      </c>
      <c r="W88" s="33">
        <v>0</v>
      </c>
      <c r="X88" s="33">
        <f t="shared" si="44"/>
        <v>0</v>
      </c>
      <c r="Y88" s="38">
        <f t="shared" si="45"/>
        <v>0</v>
      </c>
      <c r="AA88" s="71">
        <v>83</v>
      </c>
      <c r="AB88" s="33">
        <f t="shared" si="46"/>
        <v>0</v>
      </c>
      <c r="AC88" s="308">
        <f t="shared" si="39"/>
        <v>0</v>
      </c>
      <c r="AD88" s="101">
        <f t="shared" si="47"/>
        <v>0</v>
      </c>
      <c r="AE88" s="101">
        <f t="shared" si="48"/>
        <v>0</v>
      </c>
      <c r="AF88" s="197">
        <f t="shared" si="34"/>
        <v>0</v>
      </c>
      <c r="AG88" s="197">
        <f t="shared" si="35"/>
        <v>0</v>
      </c>
      <c r="AH88" s="197">
        <f t="shared" si="36"/>
        <v>0</v>
      </c>
      <c r="AI88" s="202">
        <f t="shared" si="37"/>
        <v>0</v>
      </c>
      <c r="AK88" s="71">
        <v>83</v>
      </c>
      <c r="AL88" s="33"/>
      <c r="AM88" s="33"/>
      <c r="AN88" s="33"/>
      <c r="AO88" s="33"/>
      <c r="AP88" s="33"/>
      <c r="AQ88" s="197"/>
      <c r="AR88" s="197"/>
      <c r="AS88" s="197"/>
      <c r="AT88" s="197"/>
      <c r="AU88" s="33"/>
      <c r="AV88" s="33"/>
      <c r="AW88" s="33"/>
      <c r="AX88" s="33"/>
      <c r="AY88" s="76"/>
    </row>
    <row r="89" spans="2:51">
      <c r="B89" s="175">
        <f>IF(C39&lt;=$F$18,C39+1,"-")</f>
        <v>51</v>
      </c>
      <c r="C89" s="151">
        <f>D39-D40</f>
        <v>49</v>
      </c>
      <c r="D89" s="152">
        <v>0.9</v>
      </c>
      <c r="E89" s="130">
        <f t="shared" si="58"/>
        <v>5.5999999999999994E-2</v>
      </c>
      <c r="F89" s="130">
        <f t="shared" si="59"/>
        <v>4.3999999999999991E-2</v>
      </c>
      <c r="G89" s="153"/>
      <c r="H89" s="58">
        <f t="shared" si="57"/>
        <v>0</v>
      </c>
      <c r="I89" s="55">
        <v>84</v>
      </c>
      <c r="J89" s="33">
        <f t="shared" si="51"/>
        <v>0</v>
      </c>
      <c r="K89" s="33">
        <f t="shared" si="52"/>
        <v>0</v>
      </c>
      <c r="L89" s="33">
        <f t="shared" si="53"/>
        <v>0</v>
      </c>
      <c r="M89" s="33">
        <f t="shared" si="54"/>
        <v>0</v>
      </c>
      <c r="N89" s="33">
        <f t="shared" si="40"/>
        <v>0</v>
      </c>
      <c r="O89" s="34">
        <f t="shared" si="41"/>
        <v>0</v>
      </c>
      <c r="P89" s="55">
        <v>84</v>
      </c>
      <c r="Q89" s="33">
        <f t="shared" si="49"/>
        <v>0</v>
      </c>
      <c r="R89" s="33">
        <f t="shared" si="55"/>
        <v>0</v>
      </c>
      <c r="S89" s="33">
        <f t="shared" si="56"/>
        <v>0</v>
      </c>
      <c r="T89" s="33">
        <f t="shared" si="42"/>
        <v>0</v>
      </c>
      <c r="U89" s="33">
        <f t="shared" si="50"/>
        <v>0</v>
      </c>
      <c r="V89" s="33">
        <f t="shared" si="43"/>
        <v>0</v>
      </c>
      <c r="W89" s="33">
        <v>0</v>
      </c>
      <c r="X89" s="33">
        <f t="shared" si="44"/>
        <v>0</v>
      </c>
      <c r="Y89" s="38">
        <f t="shared" si="45"/>
        <v>0</v>
      </c>
      <c r="AA89" s="71">
        <v>84</v>
      </c>
      <c r="AB89" s="33">
        <f t="shared" si="46"/>
        <v>0</v>
      </c>
      <c r="AC89" s="308">
        <f t="shared" si="39"/>
        <v>0</v>
      </c>
      <c r="AD89" s="101">
        <f t="shared" si="47"/>
        <v>0</v>
      </c>
      <c r="AE89" s="101">
        <f t="shared" si="48"/>
        <v>0</v>
      </c>
      <c r="AF89" s="197">
        <f t="shared" si="34"/>
        <v>0</v>
      </c>
      <c r="AG89" s="197">
        <f t="shared" si="35"/>
        <v>0</v>
      </c>
      <c r="AH89" s="197">
        <f t="shared" si="36"/>
        <v>0</v>
      </c>
      <c r="AI89" s="202">
        <f t="shared" si="37"/>
        <v>0</v>
      </c>
      <c r="AK89" s="71">
        <v>84</v>
      </c>
      <c r="AL89" s="33"/>
      <c r="AM89" s="33"/>
      <c r="AN89" s="33"/>
      <c r="AO89" s="33"/>
      <c r="AP89" s="33"/>
      <c r="AQ89" s="197"/>
      <c r="AR89" s="197"/>
      <c r="AS89" s="197"/>
      <c r="AT89" s="197"/>
      <c r="AU89" s="33"/>
      <c r="AV89" s="33"/>
      <c r="AW89" s="33"/>
      <c r="AX89" s="33"/>
      <c r="AY89" s="76"/>
    </row>
    <row r="90" spans="2:51">
      <c r="B90" s="175" t="str">
        <f>IF(C41&lt;=$F$18,C41+1,"-")</f>
        <v>-</v>
      </c>
      <c r="C90" s="151">
        <f>D41-D42</f>
        <v>42</v>
      </c>
      <c r="D90" s="152">
        <v>0.6</v>
      </c>
      <c r="E90" s="130">
        <f t="shared" si="58"/>
        <v>0.22400000000000003</v>
      </c>
      <c r="F90" s="130">
        <f t="shared" si="59"/>
        <v>0.17600000000000002</v>
      </c>
      <c r="G90" s="153"/>
      <c r="H90" s="58">
        <f t="shared" si="57"/>
        <v>0</v>
      </c>
      <c r="I90" s="55">
        <v>85</v>
      </c>
      <c r="J90" s="33">
        <f t="shared" si="51"/>
        <v>0</v>
      </c>
      <c r="K90" s="33">
        <f t="shared" si="52"/>
        <v>0</v>
      </c>
      <c r="L90" s="33">
        <f t="shared" si="53"/>
        <v>0</v>
      </c>
      <c r="M90" s="33">
        <f t="shared" si="54"/>
        <v>0</v>
      </c>
      <c r="N90" s="33">
        <f t="shared" si="40"/>
        <v>0</v>
      </c>
      <c r="O90" s="34">
        <f t="shared" si="41"/>
        <v>0</v>
      </c>
      <c r="P90" s="55">
        <v>85</v>
      </c>
      <c r="Q90" s="33">
        <f t="shared" si="49"/>
        <v>0</v>
      </c>
      <c r="R90" s="33">
        <f t="shared" si="55"/>
        <v>0</v>
      </c>
      <c r="S90" s="33">
        <f t="shared" si="56"/>
        <v>0</v>
      </c>
      <c r="T90" s="33">
        <f t="shared" si="42"/>
        <v>0</v>
      </c>
      <c r="U90" s="33">
        <f t="shared" si="50"/>
        <v>0</v>
      </c>
      <c r="V90" s="33">
        <f t="shared" si="43"/>
        <v>0</v>
      </c>
      <c r="W90" s="33">
        <v>0</v>
      </c>
      <c r="X90" s="33">
        <f t="shared" si="44"/>
        <v>0</v>
      </c>
      <c r="Y90" s="38">
        <f t="shared" si="45"/>
        <v>0</v>
      </c>
      <c r="AA90" s="71">
        <v>85</v>
      </c>
      <c r="AB90" s="33">
        <f t="shared" si="46"/>
        <v>0</v>
      </c>
      <c r="AC90" s="308">
        <f t="shared" si="39"/>
        <v>0</v>
      </c>
      <c r="AD90" s="101">
        <f t="shared" si="47"/>
        <v>0</v>
      </c>
      <c r="AE90" s="101">
        <f t="shared" si="48"/>
        <v>0</v>
      </c>
      <c r="AF90" s="197">
        <f t="shared" si="34"/>
        <v>0</v>
      </c>
      <c r="AG90" s="197">
        <f t="shared" si="35"/>
        <v>0</v>
      </c>
      <c r="AH90" s="197">
        <f t="shared" si="36"/>
        <v>0</v>
      </c>
      <c r="AI90" s="202">
        <f t="shared" si="37"/>
        <v>0</v>
      </c>
      <c r="AK90" s="71">
        <v>85</v>
      </c>
      <c r="AL90" s="33"/>
      <c r="AM90" s="33"/>
      <c r="AN90" s="33"/>
      <c r="AO90" s="33"/>
      <c r="AP90" s="33"/>
      <c r="AQ90" s="197"/>
      <c r="AR90" s="197"/>
      <c r="AS90" s="197"/>
      <c r="AT90" s="197"/>
      <c r="AU90" s="33"/>
      <c r="AV90" s="33"/>
      <c r="AW90" s="33"/>
      <c r="AX90" s="33"/>
      <c r="AY90" s="76"/>
    </row>
    <row r="91" spans="2:51">
      <c r="B91" s="175" t="str">
        <f>IF(C43&lt;=$F$18,C43+1,"-")</f>
        <v>-</v>
      </c>
      <c r="C91" s="151">
        <f>D43-D44</f>
        <v>36</v>
      </c>
      <c r="D91" s="152">
        <v>0.7</v>
      </c>
      <c r="E91" s="130">
        <f t="shared" si="58"/>
        <v>0.16800000000000004</v>
      </c>
      <c r="F91" s="130">
        <f t="shared" si="59"/>
        <v>0.13200000000000003</v>
      </c>
      <c r="G91" s="153"/>
      <c r="H91" s="58">
        <f t="shared" si="57"/>
        <v>0</v>
      </c>
      <c r="I91" s="55">
        <v>86</v>
      </c>
      <c r="J91" s="33">
        <f t="shared" si="51"/>
        <v>0</v>
      </c>
      <c r="K91" s="33">
        <f t="shared" si="52"/>
        <v>0</v>
      </c>
      <c r="L91" s="33">
        <f t="shared" si="53"/>
        <v>0</v>
      </c>
      <c r="M91" s="33">
        <f t="shared" si="54"/>
        <v>0</v>
      </c>
      <c r="N91" s="33">
        <f t="shared" si="40"/>
        <v>0</v>
      </c>
      <c r="O91" s="34">
        <f t="shared" si="41"/>
        <v>0</v>
      </c>
      <c r="P91" s="55">
        <v>86</v>
      </c>
      <c r="Q91" s="33">
        <f t="shared" si="49"/>
        <v>0</v>
      </c>
      <c r="R91" s="33">
        <f t="shared" si="55"/>
        <v>0</v>
      </c>
      <c r="S91" s="33">
        <f t="shared" si="56"/>
        <v>0</v>
      </c>
      <c r="T91" s="33">
        <f t="shared" si="42"/>
        <v>0</v>
      </c>
      <c r="U91" s="33">
        <f t="shared" si="50"/>
        <v>0</v>
      </c>
      <c r="V91" s="33">
        <f t="shared" si="43"/>
        <v>0</v>
      </c>
      <c r="W91" s="33">
        <v>0</v>
      </c>
      <c r="X91" s="33">
        <f t="shared" si="44"/>
        <v>0</v>
      </c>
      <c r="Y91" s="38">
        <f t="shared" si="45"/>
        <v>0</v>
      </c>
      <c r="AA91" s="71">
        <v>86</v>
      </c>
      <c r="AB91" s="33">
        <f t="shared" si="46"/>
        <v>0</v>
      </c>
      <c r="AC91" s="308">
        <f t="shared" si="39"/>
        <v>0</v>
      </c>
      <c r="AD91" s="101">
        <f t="shared" si="47"/>
        <v>0</v>
      </c>
      <c r="AE91" s="101">
        <f t="shared" si="48"/>
        <v>0</v>
      </c>
      <c r="AF91" s="197">
        <f t="shared" ref="AF91:AF154" si="60">IF(OR(AA91&lt;=$F$18,AA91&lt;=30),EXP(-LN(2)/$D$104)*AF90+((1-EXP(-LN(2)/$D$104))/(LN(2)/$D$104))*$AB91*AC91*0.475*$F$19*44/12,)</f>
        <v>0</v>
      </c>
      <c r="AG91" s="197">
        <f t="shared" ref="AG91:AG154" si="61">IF(OR(AA91&lt;=$F$18,AA91&lt;=30),EXP(-LN(2)/$D$106)*AG90+((1-EXP(-LN(2)/$D$106))/(LN(2)/$D$106))*$AB91*AD91*0.475*$F$19*44/12,)</f>
        <v>0</v>
      </c>
      <c r="AH91" s="197">
        <f t="shared" ref="AH91:AH154" si="62">IF(OR(AA91&lt;=$F$18,AA91&lt;=30),EXP(-LN(2)/$D$105)*AH90+((1-EXP(-LN(2)/$D$105))/(LN(2)/$D$105))*$AB91*AE91*0.475*$F$19*44/12,)</f>
        <v>0</v>
      </c>
      <c r="AI91" s="202">
        <f t="shared" ref="AI91:AI154" si="63">IF(OR(AA91&lt;=$F$18,AA91&lt;=30),SUM(AF91:AH91),)</f>
        <v>0</v>
      </c>
      <c r="AK91" s="71">
        <v>86</v>
      </c>
      <c r="AL91" s="33"/>
      <c r="AM91" s="33"/>
      <c r="AN91" s="33"/>
      <c r="AO91" s="33"/>
      <c r="AP91" s="33"/>
      <c r="AQ91" s="197"/>
      <c r="AR91" s="197"/>
      <c r="AS91" s="197"/>
      <c r="AT91" s="197"/>
      <c r="AU91" s="33"/>
      <c r="AV91" s="33"/>
      <c r="AW91" s="33"/>
      <c r="AX91" s="33"/>
      <c r="AY91" s="76"/>
    </row>
    <row r="92" spans="2:51">
      <c r="B92" s="175" t="str">
        <f>IF(C45&lt;=$F$18,C45+1,"-")</f>
        <v>-</v>
      </c>
      <c r="C92" s="151">
        <f>D45-D46</f>
        <v>31</v>
      </c>
      <c r="D92" s="152">
        <v>0.8</v>
      </c>
      <c r="E92" s="130">
        <f t="shared" si="58"/>
        <v>0.11199999999999999</v>
      </c>
      <c r="F92" s="130">
        <f t="shared" si="59"/>
        <v>8.7999999999999981E-2</v>
      </c>
      <c r="G92" s="153"/>
      <c r="H92" s="58">
        <f t="shared" si="57"/>
        <v>0</v>
      </c>
      <c r="I92" s="55">
        <v>87</v>
      </c>
      <c r="J92" s="33">
        <f t="shared" si="51"/>
        <v>0</v>
      </c>
      <c r="K92" s="33">
        <f t="shared" si="52"/>
        <v>0</v>
      </c>
      <c r="L92" s="33">
        <f t="shared" si="53"/>
        <v>0</v>
      </c>
      <c r="M92" s="33">
        <f t="shared" si="54"/>
        <v>0</v>
      </c>
      <c r="N92" s="33">
        <f t="shared" si="40"/>
        <v>0</v>
      </c>
      <c r="O92" s="34">
        <f t="shared" si="41"/>
        <v>0</v>
      </c>
      <c r="P92" s="55">
        <v>87</v>
      </c>
      <c r="Q92" s="33">
        <f t="shared" si="49"/>
        <v>0</v>
      </c>
      <c r="R92" s="33">
        <f t="shared" si="55"/>
        <v>0</v>
      </c>
      <c r="S92" s="33">
        <f t="shared" si="56"/>
        <v>0</v>
      </c>
      <c r="T92" s="33">
        <f t="shared" si="42"/>
        <v>0</v>
      </c>
      <c r="U92" s="33">
        <f t="shared" si="50"/>
        <v>0</v>
      </c>
      <c r="V92" s="33">
        <f t="shared" si="43"/>
        <v>0</v>
      </c>
      <c r="W92" s="33">
        <v>0</v>
      </c>
      <c r="X92" s="33">
        <f t="shared" si="44"/>
        <v>0</v>
      </c>
      <c r="Y92" s="38">
        <f t="shared" si="45"/>
        <v>0</v>
      </c>
      <c r="AA92" s="71">
        <v>87</v>
      </c>
      <c r="AB92" s="33">
        <f t="shared" si="46"/>
        <v>0</v>
      </c>
      <c r="AC92" s="308">
        <f t="shared" si="39"/>
        <v>0</v>
      </c>
      <c r="AD92" s="101">
        <f t="shared" si="47"/>
        <v>0</v>
      </c>
      <c r="AE92" s="101">
        <f t="shared" si="48"/>
        <v>0</v>
      </c>
      <c r="AF92" s="197">
        <f t="shared" si="60"/>
        <v>0</v>
      </c>
      <c r="AG92" s="197">
        <f t="shared" si="61"/>
        <v>0</v>
      </c>
      <c r="AH92" s="197">
        <f t="shared" si="62"/>
        <v>0</v>
      </c>
      <c r="AI92" s="202">
        <f t="shared" si="63"/>
        <v>0</v>
      </c>
      <c r="AK92" s="71">
        <v>87</v>
      </c>
      <c r="AL92" s="33"/>
      <c r="AM92" s="33"/>
      <c r="AN92" s="33"/>
      <c r="AO92" s="33"/>
      <c r="AP92" s="33"/>
      <c r="AQ92" s="197"/>
      <c r="AR92" s="197"/>
      <c r="AS92" s="197"/>
      <c r="AT92" s="197"/>
      <c r="AU92" s="33"/>
      <c r="AV92" s="33"/>
      <c r="AW92" s="33"/>
      <c r="AX92" s="33"/>
      <c r="AY92" s="76"/>
    </row>
    <row r="93" spans="2:51">
      <c r="B93" s="175" t="str">
        <f>IF(C47&lt;=$F$18,C47+1,"-")</f>
        <v>-</v>
      </c>
      <c r="C93" s="151">
        <f>D47-D48</f>
        <v>29</v>
      </c>
      <c r="D93" s="152">
        <v>0.9</v>
      </c>
      <c r="E93" s="130">
        <f t="shared" si="58"/>
        <v>5.5999999999999994E-2</v>
      </c>
      <c r="F93" s="130">
        <f t="shared" si="59"/>
        <v>4.3999999999999991E-2</v>
      </c>
      <c r="G93" s="153"/>
      <c r="H93" s="58">
        <f t="shared" si="57"/>
        <v>0</v>
      </c>
      <c r="I93" s="55">
        <v>88</v>
      </c>
      <c r="J93" s="33">
        <f t="shared" si="51"/>
        <v>0</v>
      </c>
      <c r="K93" s="33">
        <f t="shared" si="52"/>
        <v>0</v>
      </c>
      <c r="L93" s="33">
        <f t="shared" si="53"/>
        <v>0</v>
      </c>
      <c r="M93" s="33">
        <f t="shared" si="54"/>
        <v>0</v>
      </c>
      <c r="N93" s="33">
        <f t="shared" si="40"/>
        <v>0</v>
      </c>
      <c r="O93" s="34">
        <f t="shared" si="41"/>
        <v>0</v>
      </c>
      <c r="P93" s="55">
        <v>88</v>
      </c>
      <c r="Q93" s="33">
        <f t="shared" si="49"/>
        <v>0</v>
      </c>
      <c r="R93" s="33">
        <f t="shared" si="55"/>
        <v>0</v>
      </c>
      <c r="S93" s="33">
        <f t="shared" si="56"/>
        <v>0</v>
      </c>
      <c r="T93" s="33">
        <f t="shared" si="42"/>
        <v>0</v>
      </c>
      <c r="U93" s="33">
        <f t="shared" si="50"/>
        <v>0</v>
      </c>
      <c r="V93" s="33">
        <f t="shared" si="43"/>
        <v>0</v>
      </c>
      <c r="W93" s="33">
        <v>0</v>
      </c>
      <c r="X93" s="33">
        <f t="shared" si="44"/>
        <v>0</v>
      </c>
      <c r="Y93" s="38">
        <f t="shared" si="45"/>
        <v>0</v>
      </c>
      <c r="AA93" s="71">
        <v>88</v>
      </c>
      <c r="AB93" s="33">
        <f t="shared" si="46"/>
        <v>0</v>
      </c>
      <c r="AC93" s="308">
        <f t="shared" si="39"/>
        <v>0</v>
      </c>
      <c r="AD93" s="101">
        <f t="shared" si="47"/>
        <v>0</v>
      </c>
      <c r="AE93" s="101">
        <f t="shared" si="48"/>
        <v>0</v>
      </c>
      <c r="AF93" s="197">
        <f t="shared" si="60"/>
        <v>0</v>
      </c>
      <c r="AG93" s="197">
        <f t="shared" si="61"/>
        <v>0</v>
      </c>
      <c r="AH93" s="197">
        <f t="shared" si="62"/>
        <v>0</v>
      </c>
      <c r="AI93" s="202">
        <f t="shared" si="63"/>
        <v>0</v>
      </c>
      <c r="AK93" s="71">
        <v>88</v>
      </c>
      <c r="AL93" s="33"/>
      <c r="AM93" s="33"/>
      <c r="AN93" s="33"/>
      <c r="AO93" s="33"/>
      <c r="AP93" s="33"/>
      <c r="AQ93" s="197"/>
      <c r="AR93" s="197"/>
      <c r="AS93" s="197"/>
      <c r="AT93" s="197"/>
      <c r="AU93" s="33"/>
      <c r="AV93" s="33"/>
      <c r="AW93" s="33"/>
      <c r="AX93" s="33"/>
      <c r="AY93" s="76"/>
    </row>
    <row r="94" spans="2:51">
      <c r="B94" s="187">
        <f>F18</f>
        <v>50</v>
      </c>
      <c r="C94" s="184">
        <f>IFERROR(VLOOKUP(B94,C25:D78,2),)</f>
        <v>458</v>
      </c>
      <c r="D94" s="185">
        <v>0.95</v>
      </c>
      <c r="E94" s="186">
        <f t="shared" si="58"/>
        <v>2.8000000000000028E-2</v>
      </c>
      <c r="F94" s="186">
        <f t="shared" si="59"/>
        <v>2.200000000000002E-2</v>
      </c>
      <c r="G94" s="154"/>
      <c r="H94" s="58">
        <f t="shared" si="57"/>
        <v>0</v>
      </c>
      <c r="I94" s="55">
        <v>89</v>
      </c>
      <c r="J94" s="33">
        <f t="shared" si="51"/>
        <v>0</v>
      </c>
      <c r="K94" s="33">
        <f t="shared" si="52"/>
        <v>0</v>
      </c>
      <c r="L94" s="33">
        <f t="shared" si="53"/>
        <v>0</v>
      </c>
      <c r="M94" s="33">
        <f t="shared" si="54"/>
        <v>0</v>
      </c>
      <c r="N94" s="33">
        <f t="shared" si="40"/>
        <v>0</v>
      </c>
      <c r="O94" s="34">
        <f t="shared" si="41"/>
        <v>0</v>
      </c>
      <c r="P94" s="55">
        <v>89</v>
      </c>
      <c r="Q94" s="33">
        <f t="shared" si="49"/>
        <v>0</v>
      </c>
      <c r="R94" s="33">
        <f t="shared" si="55"/>
        <v>0</v>
      </c>
      <c r="S94" s="33">
        <f t="shared" si="56"/>
        <v>0</v>
      </c>
      <c r="T94" s="33">
        <f t="shared" si="42"/>
        <v>0</v>
      </c>
      <c r="U94" s="33">
        <f t="shared" si="50"/>
        <v>0</v>
      </c>
      <c r="V94" s="33">
        <f t="shared" si="43"/>
        <v>0</v>
      </c>
      <c r="W94" s="33">
        <v>0</v>
      </c>
      <c r="X94" s="33">
        <f t="shared" si="44"/>
        <v>0</v>
      </c>
      <c r="Y94" s="38">
        <f t="shared" si="45"/>
        <v>0</v>
      </c>
      <c r="AA94" s="71">
        <v>89</v>
      </c>
      <c r="AB94" s="33">
        <f t="shared" si="46"/>
        <v>0</v>
      </c>
      <c r="AC94" s="308">
        <f t="shared" si="39"/>
        <v>0</v>
      </c>
      <c r="AD94" s="101">
        <f t="shared" si="47"/>
        <v>0</v>
      </c>
      <c r="AE94" s="101">
        <f t="shared" si="48"/>
        <v>0</v>
      </c>
      <c r="AF94" s="197">
        <f t="shared" si="60"/>
        <v>0</v>
      </c>
      <c r="AG94" s="197">
        <f t="shared" si="61"/>
        <v>0</v>
      </c>
      <c r="AH94" s="197">
        <f t="shared" si="62"/>
        <v>0</v>
      </c>
      <c r="AI94" s="202">
        <f t="shared" si="63"/>
        <v>0</v>
      </c>
      <c r="AK94" s="71">
        <v>89</v>
      </c>
      <c r="AL94" s="33"/>
      <c r="AM94" s="33"/>
      <c r="AN94" s="33"/>
      <c r="AO94" s="33"/>
      <c r="AP94" s="33"/>
      <c r="AQ94" s="197"/>
      <c r="AR94" s="197"/>
      <c r="AS94" s="197"/>
      <c r="AT94" s="197"/>
      <c r="AU94" s="33"/>
      <c r="AV94" s="33"/>
      <c r="AW94" s="33"/>
      <c r="AX94" s="33"/>
      <c r="AY94" s="76"/>
    </row>
    <row r="95" spans="2:51">
      <c r="I95" s="55">
        <v>90</v>
      </c>
      <c r="J95" s="33">
        <f t="shared" si="51"/>
        <v>0</v>
      </c>
      <c r="K95" s="33">
        <f t="shared" si="52"/>
        <v>0</v>
      </c>
      <c r="L95" s="33">
        <f t="shared" si="53"/>
        <v>0</v>
      </c>
      <c r="M95" s="33">
        <f t="shared" si="54"/>
        <v>0</v>
      </c>
      <c r="N95" s="33">
        <f t="shared" si="40"/>
        <v>0</v>
      </c>
      <c r="O95" s="34">
        <f t="shared" si="41"/>
        <v>0</v>
      </c>
      <c r="P95" s="55">
        <v>90</v>
      </c>
      <c r="Q95" s="33">
        <f t="shared" si="49"/>
        <v>0</v>
      </c>
      <c r="R95" s="33">
        <f t="shared" si="55"/>
        <v>0</v>
      </c>
      <c r="S95" s="33">
        <f t="shared" si="56"/>
        <v>0</v>
      </c>
      <c r="T95" s="33">
        <f t="shared" si="42"/>
        <v>0</v>
      </c>
      <c r="U95" s="33">
        <f t="shared" si="50"/>
        <v>0</v>
      </c>
      <c r="V95" s="33">
        <f t="shared" si="43"/>
        <v>0</v>
      </c>
      <c r="W95" s="33">
        <v>0</v>
      </c>
      <c r="X95" s="33">
        <f t="shared" si="44"/>
        <v>0</v>
      </c>
      <c r="Y95" s="38">
        <f t="shared" si="45"/>
        <v>0</v>
      </c>
      <c r="AA95" s="71">
        <v>90</v>
      </c>
      <c r="AB95" s="33">
        <f t="shared" si="46"/>
        <v>0</v>
      </c>
      <c r="AC95" s="308">
        <f t="shared" ref="AC95:AC158" si="64">IF(AA95&lt;=$F$18,IFERROR(VLOOKUP($AA95,$B$82:$G$94,3,FALSE),0),)*50%</f>
        <v>0</v>
      </c>
      <c r="AD95" s="101">
        <f t="shared" si="47"/>
        <v>0</v>
      </c>
      <c r="AE95" s="101">
        <f t="shared" si="48"/>
        <v>0</v>
      </c>
      <c r="AF95" s="197">
        <f t="shared" si="60"/>
        <v>0</v>
      </c>
      <c r="AG95" s="197">
        <f t="shared" si="61"/>
        <v>0</v>
      </c>
      <c r="AH95" s="197">
        <f t="shared" si="62"/>
        <v>0</v>
      </c>
      <c r="AI95" s="202">
        <f t="shared" si="63"/>
        <v>0</v>
      </c>
      <c r="AK95" s="71">
        <v>90</v>
      </c>
      <c r="AL95" s="33"/>
      <c r="AM95" s="33"/>
      <c r="AN95" s="33"/>
      <c r="AO95" s="33"/>
      <c r="AP95" s="33"/>
      <c r="AQ95" s="197"/>
      <c r="AR95" s="197"/>
      <c r="AS95" s="197"/>
      <c r="AT95" s="197"/>
      <c r="AU95" s="33"/>
      <c r="AV95" s="33"/>
      <c r="AW95" s="33"/>
      <c r="AX95" s="33"/>
      <c r="AY95" s="76"/>
    </row>
    <row r="96" spans="2:51">
      <c r="C96" s="67" t="s">
        <v>154</v>
      </c>
      <c r="D96" t="s">
        <v>137</v>
      </c>
      <c r="E96" s="6"/>
      <c r="I96" s="55">
        <v>91</v>
      </c>
      <c r="J96" s="33">
        <f t="shared" si="51"/>
        <v>0</v>
      </c>
      <c r="K96" s="33">
        <f t="shared" si="52"/>
        <v>0</v>
      </c>
      <c r="L96" s="33">
        <f t="shared" si="53"/>
        <v>0</v>
      </c>
      <c r="M96" s="33">
        <f t="shared" si="54"/>
        <v>0</v>
      </c>
      <c r="N96" s="33">
        <f t="shared" si="40"/>
        <v>0</v>
      </c>
      <c r="O96" s="34">
        <f t="shared" si="41"/>
        <v>0</v>
      </c>
      <c r="P96" s="55">
        <v>91</v>
      </c>
      <c r="Q96" s="33">
        <f t="shared" si="49"/>
        <v>0</v>
      </c>
      <c r="R96" s="33">
        <f t="shared" si="55"/>
        <v>0</v>
      </c>
      <c r="S96" s="33">
        <f t="shared" si="56"/>
        <v>0</v>
      </c>
      <c r="T96" s="33">
        <f t="shared" si="42"/>
        <v>0</v>
      </c>
      <c r="U96" s="33">
        <f t="shared" si="50"/>
        <v>0</v>
      </c>
      <c r="V96" s="33">
        <f t="shared" si="43"/>
        <v>0</v>
      </c>
      <c r="W96" s="33">
        <v>0</v>
      </c>
      <c r="X96" s="33">
        <f t="shared" si="44"/>
        <v>0</v>
      </c>
      <c r="Y96" s="38">
        <f t="shared" si="45"/>
        <v>0</v>
      </c>
      <c r="AA96" s="71">
        <v>91</v>
      </c>
      <c r="AB96" s="33">
        <f t="shared" si="46"/>
        <v>0</v>
      </c>
      <c r="AC96" s="308">
        <f t="shared" si="64"/>
        <v>0</v>
      </c>
      <c r="AD96" s="101">
        <f t="shared" si="47"/>
        <v>0</v>
      </c>
      <c r="AE96" s="101">
        <f t="shared" si="48"/>
        <v>0</v>
      </c>
      <c r="AF96" s="197">
        <f t="shared" si="60"/>
        <v>0</v>
      </c>
      <c r="AG96" s="197">
        <f t="shared" si="61"/>
        <v>0</v>
      </c>
      <c r="AH96" s="197">
        <f t="shared" si="62"/>
        <v>0</v>
      </c>
      <c r="AI96" s="202">
        <f t="shared" si="63"/>
        <v>0</v>
      </c>
      <c r="AK96" s="71">
        <v>91</v>
      </c>
      <c r="AL96" s="33"/>
      <c r="AM96" s="33"/>
      <c r="AN96" s="33"/>
      <c r="AO96" s="33"/>
      <c r="AP96" s="33"/>
      <c r="AQ96" s="197"/>
      <c r="AR96" s="197"/>
      <c r="AS96" s="197"/>
      <c r="AT96" s="197"/>
      <c r="AU96" s="33"/>
      <c r="AV96" s="33"/>
      <c r="AW96" s="33"/>
      <c r="AX96" s="33"/>
      <c r="AY96" s="76"/>
    </row>
    <row r="97" spans="2:51">
      <c r="B97" s="2" t="s">
        <v>0</v>
      </c>
      <c r="C97">
        <v>32</v>
      </c>
      <c r="D97">
        <v>0</v>
      </c>
      <c r="E97" s="6"/>
      <c r="I97" s="55">
        <v>92</v>
      </c>
      <c r="J97" s="33">
        <f t="shared" si="51"/>
        <v>0</v>
      </c>
      <c r="K97" s="33">
        <f t="shared" si="52"/>
        <v>0</v>
      </c>
      <c r="L97" s="33">
        <f t="shared" si="53"/>
        <v>0</v>
      </c>
      <c r="M97" s="33">
        <f t="shared" si="54"/>
        <v>0</v>
      </c>
      <c r="N97" s="33">
        <f t="shared" si="40"/>
        <v>0</v>
      </c>
      <c r="O97" s="34">
        <f t="shared" si="41"/>
        <v>0</v>
      </c>
      <c r="P97" s="55">
        <v>92</v>
      </c>
      <c r="Q97" s="33">
        <f t="shared" si="49"/>
        <v>0</v>
      </c>
      <c r="R97" s="33">
        <f t="shared" si="55"/>
        <v>0</v>
      </c>
      <c r="S97" s="33">
        <f t="shared" si="56"/>
        <v>0</v>
      </c>
      <c r="T97" s="33">
        <f t="shared" si="42"/>
        <v>0</v>
      </c>
      <c r="U97" s="33">
        <f t="shared" si="50"/>
        <v>0</v>
      </c>
      <c r="V97" s="33">
        <f t="shared" si="43"/>
        <v>0</v>
      </c>
      <c r="W97" s="33">
        <v>0</v>
      </c>
      <c r="X97" s="33">
        <f t="shared" si="44"/>
        <v>0</v>
      </c>
      <c r="Y97" s="38">
        <f t="shared" si="45"/>
        <v>0</v>
      </c>
      <c r="AA97" s="71">
        <v>92</v>
      </c>
      <c r="AB97" s="33">
        <f t="shared" si="46"/>
        <v>0</v>
      </c>
      <c r="AC97" s="308">
        <f t="shared" si="64"/>
        <v>0</v>
      </c>
      <c r="AD97" s="101">
        <f t="shared" si="47"/>
        <v>0</v>
      </c>
      <c r="AE97" s="101">
        <f t="shared" si="48"/>
        <v>0</v>
      </c>
      <c r="AF97" s="197">
        <f t="shared" si="60"/>
        <v>0</v>
      </c>
      <c r="AG97" s="197">
        <f t="shared" si="61"/>
        <v>0</v>
      </c>
      <c r="AH97" s="197">
        <f t="shared" si="62"/>
        <v>0</v>
      </c>
      <c r="AI97" s="202">
        <f t="shared" si="63"/>
        <v>0</v>
      </c>
      <c r="AK97" s="71">
        <v>92</v>
      </c>
      <c r="AL97" s="33"/>
      <c r="AM97" s="33"/>
      <c r="AN97" s="33"/>
      <c r="AO97" s="33"/>
      <c r="AP97" s="33"/>
      <c r="AQ97" s="197"/>
      <c r="AR97" s="197"/>
      <c r="AS97" s="197"/>
      <c r="AT97" s="197"/>
      <c r="AU97" s="33"/>
      <c r="AV97" s="33"/>
      <c r="AW97" s="33"/>
      <c r="AX97" s="33"/>
      <c r="AY97" s="76"/>
    </row>
    <row r="98" spans="2:51">
      <c r="B98" s="2" t="s">
        <v>1</v>
      </c>
      <c r="C98">
        <v>45</v>
      </c>
      <c r="D98">
        <v>0</v>
      </c>
      <c r="E98" s="6"/>
      <c r="I98" s="55">
        <v>93</v>
      </c>
      <c r="J98" s="33">
        <f t="shared" si="51"/>
        <v>0</v>
      </c>
      <c r="K98" s="33">
        <f t="shared" si="52"/>
        <v>0</v>
      </c>
      <c r="L98" s="33">
        <f t="shared" si="53"/>
        <v>0</v>
      </c>
      <c r="M98" s="33">
        <f t="shared" si="54"/>
        <v>0</v>
      </c>
      <c r="N98" s="33">
        <f t="shared" si="40"/>
        <v>0</v>
      </c>
      <c r="O98" s="34">
        <f t="shared" si="41"/>
        <v>0</v>
      </c>
      <c r="P98" s="55">
        <v>93</v>
      </c>
      <c r="Q98" s="33">
        <f t="shared" si="49"/>
        <v>0</v>
      </c>
      <c r="R98" s="33">
        <f t="shared" si="55"/>
        <v>0</v>
      </c>
      <c r="S98" s="33">
        <f t="shared" si="56"/>
        <v>0</v>
      </c>
      <c r="T98" s="33">
        <f t="shared" si="42"/>
        <v>0</v>
      </c>
      <c r="U98" s="33">
        <f t="shared" si="50"/>
        <v>0</v>
      </c>
      <c r="V98" s="33">
        <f t="shared" si="43"/>
        <v>0</v>
      </c>
      <c r="W98" s="33">
        <v>0</v>
      </c>
      <c r="X98" s="33">
        <f t="shared" si="44"/>
        <v>0</v>
      </c>
      <c r="Y98" s="38">
        <f t="shared" si="45"/>
        <v>0</v>
      </c>
      <c r="AA98" s="71">
        <v>93</v>
      </c>
      <c r="AB98" s="33">
        <f t="shared" si="46"/>
        <v>0</v>
      </c>
      <c r="AC98" s="308">
        <f t="shared" si="64"/>
        <v>0</v>
      </c>
      <c r="AD98" s="101">
        <f t="shared" si="47"/>
        <v>0</v>
      </c>
      <c r="AE98" s="101">
        <f t="shared" si="48"/>
        <v>0</v>
      </c>
      <c r="AF98" s="197">
        <f t="shared" si="60"/>
        <v>0</v>
      </c>
      <c r="AG98" s="197">
        <f t="shared" si="61"/>
        <v>0</v>
      </c>
      <c r="AH98" s="197">
        <f t="shared" si="62"/>
        <v>0</v>
      </c>
      <c r="AI98" s="202">
        <f t="shared" si="63"/>
        <v>0</v>
      </c>
      <c r="AK98" s="71">
        <v>93</v>
      </c>
      <c r="AL98" s="33"/>
      <c r="AM98" s="33"/>
      <c r="AN98" s="33"/>
      <c r="AO98" s="33"/>
      <c r="AP98" s="33"/>
      <c r="AQ98" s="197"/>
      <c r="AR98" s="197"/>
      <c r="AS98" s="197"/>
      <c r="AT98" s="197"/>
      <c r="AU98" s="33"/>
      <c r="AV98" s="33"/>
      <c r="AW98" s="33"/>
      <c r="AX98" s="33"/>
      <c r="AY98" s="76"/>
    </row>
    <row r="99" spans="2:51">
      <c r="B99" s="2" t="s">
        <v>2</v>
      </c>
      <c r="C99">
        <v>70</v>
      </c>
      <c r="D99">
        <v>0</v>
      </c>
      <c r="E99" s="6"/>
      <c r="I99" s="55">
        <v>94</v>
      </c>
      <c r="J99" s="33">
        <f t="shared" si="51"/>
        <v>0</v>
      </c>
      <c r="K99" s="33">
        <f t="shared" si="52"/>
        <v>0</v>
      </c>
      <c r="L99" s="33">
        <f t="shared" si="53"/>
        <v>0</v>
      </c>
      <c r="M99" s="33">
        <f t="shared" si="54"/>
        <v>0</v>
      </c>
      <c r="N99" s="33">
        <f t="shared" si="40"/>
        <v>0</v>
      </c>
      <c r="O99" s="34">
        <f t="shared" si="41"/>
        <v>0</v>
      </c>
      <c r="P99" s="55">
        <v>94</v>
      </c>
      <c r="Q99" s="33">
        <f t="shared" si="49"/>
        <v>0</v>
      </c>
      <c r="R99" s="33">
        <f t="shared" si="55"/>
        <v>0</v>
      </c>
      <c r="S99" s="33">
        <f t="shared" si="56"/>
        <v>0</v>
      </c>
      <c r="T99" s="33">
        <f t="shared" si="42"/>
        <v>0</v>
      </c>
      <c r="U99" s="33">
        <f t="shared" si="50"/>
        <v>0</v>
      </c>
      <c r="V99" s="33">
        <f t="shared" si="43"/>
        <v>0</v>
      </c>
      <c r="W99" s="33">
        <v>0</v>
      </c>
      <c r="X99" s="33">
        <f t="shared" si="44"/>
        <v>0</v>
      </c>
      <c r="Y99" s="38">
        <f t="shared" si="45"/>
        <v>0</v>
      </c>
      <c r="AA99" s="71">
        <v>94</v>
      </c>
      <c r="AB99" s="33">
        <f t="shared" si="46"/>
        <v>0</v>
      </c>
      <c r="AC99" s="308">
        <f t="shared" si="64"/>
        <v>0</v>
      </c>
      <c r="AD99" s="101">
        <f t="shared" si="47"/>
        <v>0</v>
      </c>
      <c r="AE99" s="101">
        <f t="shared" si="48"/>
        <v>0</v>
      </c>
      <c r="AF99" s="197">
        <f t="shared" si="60"/>
        <v>0</v>
      </c>
      <c r="AG99" s="197">
        <f t="shared" si="61"/>
        <v>0</v>
      </c>
      <c r="AH99" s="197">
        <f t="shared" si="62"/>
        <v>0</v>
      </c>
      <c r="AI99" s="202">
        <f t="shared" si="63"/>
        <v>0</v>
      </c>
      <c r="AK99" s="71">
        <v>94</v>
      </c>
      <c r="AL99" s="33"/>
      <c r="AM99" s="33"/>
      <c r="AN99" s="33"/>
      <c r="AO99" s="33"/>
      <c r="AP99" s="33"/>
      <c r="AQ99" s="197"/>
      <c r="AR99" s="197"/>
      <c r="AS99" s="197"/>
      <c r="AT99" s="197"/>
      <c r="AU99" s="33"/>
      <c r="AV99" s="33"/>
      <c r="AW99" s="33"/>
      <c r="AX99" s="33"/>
      <c r="AY99" s="76"/>
    </row>
    <row r="100" spans="2:51">
      <c r="B100" s="2" t="s">
        <v>135</v>
      </c>
      <c r="C100">
        <v>70</v>
      </c>
      <c r="D100">
        <v>0</v>
      </c>
      <c r="E100" s="6"/>
      <c r="I100" s="55">
        <v>95</v>
      </c>
      <c r="J100" s="33">
        <f t="shared" si="51"/>
        <v>0</v>
      </c>
      <c r="K100" s="33">
        <f t="shared" si="52"/>
        <v>0</v>
      </c>
      <c r="L100" s="33">
        <f t="shared" si="53"/>
        <v>0</v>
      </c>
      <c r="M100" s="33">
        <f t="shared" si="54"/>
        <v>0</v>
      </c>
      <c r="N100" s="33">
        <f t="shared" si="40"/>
        <v>0</v>
      </c>
      <c r="O100" s="34">
        <f t="shared" si="41"/>
        <v>0</v>
      </c>
      <c r="P100" s="55">
        <v>95</v>
      </c>
      <c r="Q100" s="33">
        <f t="shared" si="49"/>
        <v>0</v>
      </c>
      <c r="R100" s="33">
        <f t="shared" si="55"/>
        <v>0</v>
      </c>
      <c r="S100" s="33">
        <f t="shared" si="56"/>
        <v>0</v>
      </c>
      <c r="T100" s="33">
        <f t="shared" si="42"/>
        <v>0</v>
      </c>
      <c r="U100" s="33">
        <f t="shared" si="50"/>
        <v>0</v>
      </c>
      <c r="V100" s="33">
        <f t="shared" si="43"/>
        <v>0</v>
      </c>
      <c r="W100" s="33">
        <v>0</v>
      </c>
      <c r="X100" s="33">
        <f t="shared" si="44"/>
        <v>0</v>
      </c>
      <c r="Y100" s="38">
        <f t="shared" si="45"/>
        <v>0</v>
      </c>
      <c r="AA100" s="71">
        <v>95</v>
      </c>
      <c r="AB100" s="33">
        <f t="shared" si="46"/>
        <v>0</v>
      </c>
      <c r="AC100" s="308">
        <f t="shared" si="64"/>
        <v>0</v>
      </c>
      <c r="AD100" s="101">
        <f t="shared" si="47"/>
        <v>0</v>
      </c>
      <c r="AE100" s="101">
        <f t="shared" si="48"/>
        <v>0</v>
      </c>
      <c r="AF100" s="197">
        <f t="shared" si="60"/>
        <v>0</v>
      </c>
      <c r="AG100" s="197">
        <f t="shared" si="61"/>
        <v>0</v>
      </c>
      <c r="AH100" s="197">
        <f t="shared" si="62"/>
        <v>0</v>
      </c>
      <c r="AI100" s="202">
        <f t="shared" si="63"/>
        <v>0</v>
      </c>
      <c r="AK100" s="71">
        <v>95</v>
      </c>
      <c r="AL100" s="33"/>
      <c r="AM100" s="33"/>
      <c r="AN100" s="33"/>
      <c r="AO100" s="33"/>
      <c r="AP100" s="33"/>
      <c r="AQ100" s="197"/>
      <c r="AR100" s="197"/>
      <c r="AS100" s="197"/>
      <c r="AT100" s="197"/>
      <c r="AU100" s="33"/>
      <c r="AV100" s="33"/>
      <c r="AW100" s="33"/>
      <c r="AX100" s="33"/>
      <c r="AY100" s="76"/>
    </row>
    <row r="101" spans="2:51">
      <c r="C101" s="27"/>
      <c r="E101" s="6"/>
      <c r="I101" s="55">
        <v>96</v>
      </c>
      <c r="J101" s="33">
        <f t="shared" si="51"/>
        <v>0</v>
      </c>
      <c r="K101" s="33">
        <f t="shared" si="52"/>
        <v>0</v>
      </c>
      <c r="L101" s="33">
        <f t="shared" si="53"/>
        <v>0</v>
      </c>
      <c r="M101" s="33">
        <f t="shared" si="54"/>
        <v>0</v>
      </c>
      <c r="N101" s="33">
        <f t="shared" si="40"/>
        <v>0</v>
      </c>
      <c r="O101" s="34">
        <f t="shared" si="41"/>
        <v>0</v>
      </c>
      <c r="P101" s="55">
        <v>96</v>
      </c>
      <c r="Q101" s="33">
        <f t="shared" si="49"/>
        <v>0</v>
      </c>
      <c r="R101" s="33">
        <f t="shared" si="55"/>
        <v>0</v>
      </c>
      <c r="S101" s="33">
        <f t="shared" si="56"/>
        <v>0</v>
      </c>
      <c r="T101" s="33">
        <f t="shared" si="42"/>
        <v>0</v>
      </c>
      <c r="U101" s="33">
        <f t="shared" si="50"/>
        <v>0</v>
      </c>
      <c r="V101" s="33">
        <f t="shared" si="43"/>
        <v>0</v>
      </c>
      <c r="W101" s="33">
        <v>0</v>
      </c>
      <c r="X101" s="33">
        <f t="shared" si="44"/>
        <v>0</v>
      </c>
      <c r="Y101" s="38">
        <f t="shared" si="45"/>
        <v>0</v>
      </c>
      <c r="AA101" s="71">
        <v>96</v>
      </c>
      <c r="AB101" s="33">
        <f t="shared" si="46"/>
        <v>0</v>
      </c>
      <c r="AC101" s="308">
        <f t="shared" si="64"/>
        <v>0</v>
      </c>
      <c r="AD101" s="101">
        <f t="shared" si="47"/>
        <v>0</v>
      </c>
      <c r="AE101" s="101">
        <f t="shared" si="48"/>
        <v>0</v>
      </c>
      <c r="AF101" s="197">
        <f t="shared" si="60"/>
        <v>0</v>
      </c>
      <c r="AG101" s="197">
        <f t="shared" si="61"/>
        <v>0</v>
      </c>
      <c r="AH101" s="197">
        <f t="shared" si="62"/>
        <v>0</v>
      </c>
      <c r="AI101" s="202">
        <f t="shared" si="63"/>
        <v>0</v>
      </c>
      <c r="AK101" s="71">
        <v>96</v>
      </c>
      <c r="AL101" s="33"/>
      <c r="AM101" s="33"/>
      <c r="AN101" s="33"/>
      <c r="AO101" s="33"/>
      <c r="AP101" s="33"/>
      <c r="AQ101" s="197"/>
      <c r="AR101" s="197"/>
      <c r="AS101" s="197"/>
      <c r="AT101" s="197"/>
      <c r="AU101" s="33"/>
      <c r="AV101" s="33"/>
      <c r="AW101" s="33"/>
      <c r="AX101" s="33"/>
      <c r="AY101" s="76"/>
    </row>
    <row r="102" spans="2:51">
      <c r="C102" s="27"/>
      <c r="E102" s="6"/>
      <c r="I102" s="55">
        <v>97</v>
      </c>
      <c r="J102" s="33">
        <f t="shared" si="51"/>
        <v>0</v>
      </c>
      <c r="K102" s="33">
        <f t="shared" si="52"/>
        <v>0</v>
      </c>
      <c r="L102" s="33">
        <f t="shared" si="53"/>
        <v>0</v>
      </c>
      <c r="M102" s="33">
        <f t="shared" si="54"/>
        <v>0</v>
      </c>
      <c r="N102" s="33">
        <f t="shared" si="40"/>
        <v>0</v>
      </c>
      <c r="O102" s="34">
        <f t="shared" si="41"/>
        <v>0</v>
      </c>
      <c r="P102" s="55">
        <v>97</v>
      </c>
      <c r="Q102" s="33">
        <f t="shared" si="49"/>
        <v>0</v>
      </c>
      <c r="R102" s="33">
        <f t="shared" si="55"/>
        <v>0</v>
      </c>
      <c r="S102" s="33">
        <f t="shared" si="56"/>
        <v>0</v>
      </c>
      <c r="T102" s="33">
        <f t="shared" si="42"/>
        <v>0</v>
      </c>
      <c r="U102" s="33">
        <f t="shared" si="50"/>
        <v>0</v>
      </c>
      <c r="V102" s="33">
        <f t="shared" si="43"/>
        <v>0</v>
      </c>
      <c r="W102" s="33">
        <v>0</v>
      </c>
      <c r="X102" s="33">
        <f t="shared" si="44"/>
        <v>0</v>
      </c>
      <c r="Y102" s="38">
        <f t="shared" si="45"/>
        <v>0</v>
      </c>
      <c r="AA102" s="71">
        <v>97</v>
      </c>
      <c r="AB102" s="33">
        <f t="shared" si="46"/>
        <v>0</v>
      </c>
      <c r="AC102" s="308">
        <f t="shared" si="64"/>
        <v>0</v>
      </c>
      <c r="AD102" s="101">
        <f t="shared" si="47"/>
        <v>0</v>
      </c>
      <c r="AE102" s="101">
        <f t="shared" si="48"/>
        <v>0</v>
      </c>
      <c r="AF102" s="197">
        <f t="shared" si="60"/>
        <v>0</v>
      </c>
      <c r="AG102" s="197">
        <f t="shared" si="61"/>
        <v>0</v>
      </c>
      <c r="AH102" s="197">
        <f t="shared" si="62"/>
        <v>0</v>
      </c>
      <c r="AI102" s="202">
        <f t="shared" si="63"/>
        <v>0</v>
      </c>
      <c r="AK102" s="71">
        <v>97</v>
      </c>
      <c r="AL102" s="33"/>
      <c r="AM102" s="33"/>
      <c r="AN102" s="33"/>
      <c r="AO102" s="33"/>
      <c r="AP102" s="33"/>
      <c r="AQ102" s="197"/>
      <c r="AR102" s="197"/>
      <c r="AS102" s="197"/>
      <c r="AT102" s="197"/>
      <c r="AU102" s="33"/>
      <c r="AV102" s="33"/>
      <c r="AW102" s="33"/>
      <c r="AX102" s="33"/>
      <c r="AY102" s="76"/>
    </row>
    <row r="103" spans="2:51" ht="16">
      <c r="C103" s="25" t="s">
        <v>157</v>
      </c>
      <c r="D103" s="160" t="s">
        <v>158</v>
      </c>
      <c r="F103" s="193" t="s">
        <v>232</v>
      </c>
      <c r="I103" s="55">
        <v>98</v>
      </c>
      <c r="J103" s="33">
        <f t="shared" si="51"/>
        <v>0</v>
      </c>
      <c r="K103" s="33">
        <f t="shared" si="52"/>
        <v>0</v>
      </c>
      <c r="L103" s="33">
        <f t="shared" si="53"/>
        <v>0</v>
      </c>
      <c r="M103" s="33">
        <f t="shared" si="54"/>
        <v>0</v>
      </c>
      <c r="N103" s="33">
        <f t="shared" si="40"/>
        <v>0</v>
      </c>
      <c r="O103" s="34">
        <f t="shared" si="41"/>
        <v>0</v>
      </c>
      <c r="P103" s="55">
        <v>98</v>
      </c>
      <c r="Q103" s="33">
        <f t="shared" si="49"/>
        <v>0</v>
      </c>
      <c r="R103" s="33">
        <f t="shared" si="55"/>
        <v>0</v>
      </c>
      <c r="S103" s="33">
        <f t="shared" si="56"/>
        <v>0</v>
      </c>
      <c r="T103" s="33">
        <f t="shared" si="42"/>
        <v>0</v>
      </c>
      <c r="U103" s="33">
        <f t="shared" si="50"/>
        <v>0</v>
      </c>
      <c r="V103" s="33">
        <f t="shared" si="43"/>
        <v>0</v>
      </c>
      <c r="W103" s="33">
        <v>0</v>
      </c>
      <c r="X103" s="33">
        <f t="shared" si="44"/>
        <v>0</v>
      </c>
      <c r="Y103" s="38">
        <f t="shared" si="45"/>
        <v>0</v>
      </c>
      <c r="AA103" s="71">
        <v>98</v>
      </c>
      <c r="AB103" s="33">
        <f t="shared" si="46"/>
        <v>0</v>
      </c>
      <c r="AC103" s="308">
        <f t="shared" si="64"/>
        <v>0</v>
      </c>
      <c r="AD103" s="101">
        <f t="shared" si="47"/>
        <v>0</v>
      </c>
      <c r="AE103" s="101">
        <f t="shared" si="48"/>
        <v>0</v>
      </c>
      <c r="AF103" s="197">
        <f t="shared" si="60"/>
        <v>0</v>
      </c>
      <c r="AG103" s="197">
        <f t="shared" si="61"/>
        <v>0</v>
      </c>
      <c r="AH103" s="197">
        <f t="shared" si="62"/>
        <v>0</v>
      </c>
      <c r="AI103" s="202">
        <f t="shared" si="63"/>
        <v>0</v>
      </c>
      <c r="AK103" s="71">
        <v>98</v>
      </c>
      <c r="AL103" s="33"/>
      <c r="AM103" s="33"/>
      <c r="AN103" s="33"/>
      <c r="AO103" s="33"/>
      <c r="AP103" s="33"/>
      <c r="AQ103" s="197"/>
      <c r="AR103" s="197"/>
      <c r="AS103" s="197"/>
      <c r="AT103" s="197"/>
      <c r="AU103" s="33"/>
      <c r="AV103" s="33"/>
      <c r="AW103" s="33"/>
      <c r="AX103" s="33"/>
      <c r="AY103" s="76"/>
    </row>
    <row r="104" spans="2:51">
      <c r="B104" t="s">
        <v>78</v>
      </c>
      <c r="C104">
        <v>1.52</v>
      </c>
      <c r="D104">
        <v>35</v>
      </c>
      <c r="F104" s="192" t="s">
        <v>228</v>
      </c>
      <c r="G104" s="24">
        <v>0.25</v>
      </c>
      <c r="I104" s="55">
        <v>99</v>
      </c>
      <c r="J104" s="33">
        <f t="shared" si="51"/>
        <v>0</v>
      </c>
      <c r="K104" s="33">
        <f t="shared" si="52"/>
        <v>0</v>
      </c>
      <c r="L104" s="33">
        <f t="shared" si="53"/>
        <v>0</v>
      </c>
      <c r="M104" s="33">
        <f t="shared" si="54"/>
        <v>0</v>
      </c>
      <c r="N104" s="33">
        <f t="shared" si="40"/>
        <v>0</v>
      </c>
      <c r="O104" s="34">
        <f t="shared" si="41"/>
        <v>0</v>
      </c>
      <c r="P104" s="55">
        <v>99</v>
      </c>
      <c r="Q104" s="33">
        <f t="shared" si="49"/>
        <v>0</v>
      </c>
      <c r="R104" s="33">
        <f t="shared" si="55"/>
        <v>0</v>
      </c>
      <c r="S104" s="33">
        <f t="shared" si="56"/>
        <v>0</v>
      </c>
      <c r="T104" s="33">
        <f t="shared" si="42"/>
        <v>0</v>
      </c>
      <c r="U104" s="33">
        <f t="shared" si="50"/>
        <v>0</v>
      </c>
      <c r="V104" s="33">
        <f t="shared" si="43"/>
        <v>0</v>
      </c>
      <c r="W104" s="33">
        <v>0</v>
      </c>
      <c r="X104" s="33">
        <f t="shared" si="44"/>
        <v>0</v>
      </c>
      <c r="Y104" s="38">
        <f t="shared" si="45"/>
        <v>0</v>
      </c>
      <c r="AA104" s="71">
        <v>99</v>
      </c>
      <c r="AB104" s="33">
        <f t="shared" si="46"/>
        <v>0</v>
      </c>
      <c r="AC104" s="308">
        <f t="shared" si="64"/>
        <v>0</v>
      </c>
      <c r="AD104" s="101">
        <f t="shared" si="47"/>
        <v>0</v>
      </c>
      <c r="AE104" s="101">
        <f t="shared" si="48"/>
        <v>0</v>
      </c>
      <c r="AF104" s="197">
        <f t="shared" si="60"/>
        <v>0</v>
      </c>
      <c r="AG104" s="197">
        <f t="shared" si="61"/>
        <v>0</v>
      </c>
      <c r="AH104" s="197">
        <f t="shared" si="62"/>
        <v>0</v>
      </c>
      <c r="AI104" s="202">
        <f t="shared" si="63"/>
        <v>0</v>
      </c>
      <c r="AK104" s="71">
        <v>99</v>
      </c>
      <c r="AL104" s="33"/>
      <c r="AM104" s="33"/>
      <c r="AN104" s="33"/>
      <c r="AO104" s="33"/>
      <c r="AP104" s="33"/>
      <c r="AQ104" s="197"/>
      <c r="AR104" s="197"/>
      <c r="AS104" s="197"/>
      <c r="AT104" s="197"/>
      <c r="AU104" s="33"/>
      <c r="AV104" s="33"/>
      <c r="AW104" s="33"/>
      <c r="AX104" s="33"/>
      <c r="AY104" s="76"/>
    </row>
    <row r="105" spans="2:51">
      <c r="B105" t="s">
        <v>80</v>
      </c>
      <c r="C105">
        <v>0</v>
      </c>
      <c r="D105">
        <v>2</v>
      </c>
      <c r="F105" s="192" t="s">
        <v>230</v>
      </c>
      <c r="G105" s="24">
        <v>1.03</v>
      </c>
      <c r="I105" s="55">
        <v>100</v>
      </c>
      <c r="J105" s="33">
        <f t="shared" si="51"/>
        <v>0</v>
      </c>
      <c r="K105" s="33">
        <f t="shared" si="52"/>
        <v>0</v>
      </c>
      <c r="L105" s="33">
        <f t="shared" si="53"/>
        <v>0</v>
      </c>
      <c r="M105" s="33">
        <f t="shared" si="54"/>
        <v>0</v>
      </c>
      <c r="N105" s="33">
        <f t="shared" si="40"/>
        <v>0</v>
      </c>
      <c r="O105" s="34">
        <f t="shared" si="41"/>
        <v>0</v>
      </c>
      <c r="P105" s="55">
        <v>100</v>
      </c>
      <c r="Q105" s="33">
        <f t="shared" si="49"/>
        <v>0</v>
      </c>
      <c r="R105" s="33">
        <f t="shared" si="55"/>
        <v>0</v>
      </c>
      <c r="S105" s="33">
        <f t="shared" si="56"/>
        <v>0</v>
      </c>
      <c r="T105" s="33">
        <f t="shared" si="42"/>
        <v>0</v>
      </c>
      <c r="U105" s="33">
        <f t="shared" si="50"/>
        <v>0</v>
      </c>
      <c r="V105" s="33">
        <f t="shared" si="43"/>
        <v>0</v>
      </c>
      <c r="W105" s="33">
        <v>0</v>
      </c>
      <c r="X105" s="33">
        <f t="shared" si="44"/>
        <v>0</v>
      </c>
      <c r="Y105" s="38">
        <f t="shared" si="45"/>
        <v>0</v>
      </c>
      <c r="AA105" s="71">
        <v>100</v>
      </c>
      <c r="AB105" s="33">
        <f t="shared" si="46"/>
        <v>0</v>
      </c>
      <c r="AC105" s="308">
        <f t="shared" si="64"/>
        <v>0</v>
      </c>
      <c r="AD105" s="101">
        <f t="shared" si="47"/>
        <v>0</v>
      </c>
      <c r="AE105" s="101">
        <f t="shared" si="48"/>
        <v>0</v>
      </c>
      <c r="AF105" s="197">
        <f t="shared" si="60"/>
        <v>0</v>
      </c>
      <c r="AG105" s="197">
        <f t="shared" si="61"/>
        <v>0</v>
      </c>
      <c r="AH105" s="197">
        <f t="shared" si="62"/>
        <v>0</v>
      </c>
      <c r="AI105" s="202">
        <f t="shared" si="63"/>
        <v>0</v>
      </c>
      <c r="AK105" s="71">
        <v>100</v>
      </c>
      <c r="AL105" s="33"/>
      <c r="AM105" s="33"/>
      <c r="AN105" s="33"/>
      <c r="AO105" s="33"/>
      <c r="AP105" s="33"/>
      <c r="AQ105" s="197"/>
      <c r="AR105" s="197"/>
      <c r="AS105" s="197"/>
      <c r="AT105" s="197"/>
      <c r="AU105" s="33"/>
      <c r="AV105" s="33"/>
      <c r="AW105" s="33"/>
      <c r="AX105" s="33"/>
      <c r="AY105" s="76"/>
    </row>
    <row r="106" spans="2:51" ht="30">
      <c r="B106" t="s">
        <v>81</v>
      </c>
      <c r="C106">
        <v>0.77</v>
      </c>
      <c r="D106">
        <v>25</v>
      </c>
      <c r="F106" s="192" t="s">
        <v>231</v>
      </c>
      <c r="G106" s="24">
        <v>0.59</v>
      </c>
      <c r="I106" s="55">
        <v>101</v>
      </c>
      <c r="J106" s="33">
        <f t="shared" si="51"/>
        <v>0</v>
      </c>
      <c r="K106" s="33">
        <f t="shared" si="52"/>
        <v>0</v>
      </c>
      <c r="L106" s="33">
        <f t="shared" si="53"/>
        <v>0</v>
      </c>
      <c r="M106" s="33">
        <f t="shared" si="54"/>
        <v>0</v>
      </c>
      <c r="N106" s="33">
        <f t="shared" si="40"/>
        <v>0</v>
      </c>
      <c r="O106" s="34">
        <f t="shared" si="41"/>
        <v>0</v>
      </c>
      <c r="P106" s="55">
        <v>101</v>
      </c>
      <c r="Q106" s="33">
        <f t="shared" si="49"/>
        <v>0</v>
      </c>
      <c r="R106" s="33">
        <f t="shared" si="55"/>
        <v>0</v>
      </c>
      <c r="S106" s="33">
        <f t="shared" si="56"/>
        <v>0</v>
      </c>
      <c r="T106" s="33">
        <f t="shared" si="42"/>
        <v>0</v>
      </c>
      <c r="U106" s="33">
        <f t="shared" si="50"/>
        <v>0</v>
      </c>
      <c r="V106" s="33">
        <f t="shared" si="43"/>
        <v>0</v>
      </c>
      <c r="W106" s="33">
        <v>0</v>
      </c>
      <c r="X106" s="33">
        <f t="shared" si="44"/>
        <v>0</v>
      </c>
      <c r="Y106" s="38">
        <f t="shared" si="45"/>
        <v>0</v>
      </c>
      <c r="AA106" s="71">
        <v>101</v>
      </c>
      <c r="AB106" s="33">
        <f t="shared" si="46"/>
        <v>0</v>
      </c>
      <c r="AC106" s="308">
        <f t="shared" si="64"/>
        <v>0</v>
      </c>
      <c r="AD106" s="101">
        <f t="shared" si="47"/>
        <v>0</v>
      </c>
      <c r="AE106" s="101">
        <f t="shared" si="48"/>
        <v>0</v>
      </c>
      <c r="AF106" s="197">
        <f t="shared" si="60"/>
        <v>0</v>
      </c>
      <c r="AG106" s="197">
        <f t="shared" si="61"/>
        <v>0</v>
      </c>
      <c r="AH106" s="197">
        <f t="shared" si="62"/>
        <v>0</v>
      </c>
      <c r="AI106" s="202">
        <f t="shared" si="63"/>
        <v>0</v>
      </c>
      <c r="AK106" s="71">
        <v>101</v>
      </c>
      <c r="AL106" s="33"/>
      <c r="AM106" s="33"/>
      <c r="AN106" s="33"/>
      <c r="AO106" s="33"/>
      <c r="AP106" s="33"/>
      <c r="AQ106" s="197"/>
      <c r="AR106" s="197"/>
      <c r="AS106" s="197"/>
      <c r="AT106" s="197"/>
      <c r="AU106" s="33"/>
      <c r="AV106" s="33"/>
      <c r="AW106" s="33"/>
      <c r="AX106" s="33"/>
      <c r="AY106" s="76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192" t="s">
        <v>229</v>
      </c>
      <c r="G107" s="24">
        <v>0.43</v>
      </c>
      <c r="I107" s="55">
        <v>102</v>
      </c>
      <c r="J107" s="33">
        <f t="shared" si="51"/>
        <v>0</v>
      </c>
      <c r="K107" s="33">
        <f t="shared" si="52"/>
        <v>0</v>
      </c>
      <c r="L107" s="33">
        <f t="shared" si="53"/>
        <v>0</v>
      </c>
      <c r="M107" s="33">
        <f t="shared" si="54"/>
        <v>0</v>
      </c>
      <c r="N107" s="33">
        <f t="shared" si="40"/>
        <v>0</v>
      </c>
      <c r="O107" s="34">
        <f t="shared" si="41"/>
        <v>0</v>
      </c>
      <c r="P107" s="55">
        <v>102</v>
      </c>
      <c r="Q107" s="33">
        <f t="shared" si="49"/>
        <v>0</v>
      </c>
      <c r="R107" s="33">
        <f t="shared" si="55"/>
        <v>0</v>
      </c>
      <c r="S107" s="33">
        <f t="shared" si="56"/>
        <v>0</v>
      </c>
      <c r="T107" s="33">
        <f t="shared" si="42"/>
        <v>0</v>
      </c>
      <c r="U107" s="33">
        <f t="shared" si="50"/>
        <v>0</v>
      </c>
      <c r="V107" s="33">
        <f t="shared" si="43"/>
        <v>0</v>
      </c>
      <c r="W107" s="33">
        <v>0</v>
      </c>
      <c r="X107" s="33">
        <f t="shared" si="44"/>
        <v>0</v>
      </c>
      <c r="Y107" s="38">
        <f t="shared" si="45"/>
        <v>0</v>
      </c>
      <c r="AA107" s="71">
        <v>102</v>
      </c>
      <c r="AB107" s="33">
        <f t="shared" si="46"/>
        <v>0</v>
      </c>
      <c r="AC107" s="308">
        <f t="shared" si="64"/>
        <v>0</v>
      </c>
      <c r="AD107" s="101">
        <f t="shared" si="47"/>
        <v>0</v>
      </c>
      <c r="AE107" s="101">
        <f t="shared" si="48"/>
        <v>0</v>
      </c>
      <c r="AF107" s="197">
        <f t="shared" si="60"/>
        <v>0</v>
      </c>
      <c r="AG107" s="197">
        <f t="shared" si="61"/>
        <v>0</v>
      </c>
      <c r="AH107" s="197">
        <f t="shared" si="62"/>
        <v>0</v>
      </c>
      <c r="AI107" s="202">
        <f t="shared" si="63"/>
        <v>0</v>
      </c>
      <c r="AK107" s="71">
        <v>102</v>
      </c>
      <c r="AL107" s="33"/>
      <c r="AM107" s="33"/>
      <c r="AN107" s="33"/>
      <c r="AO107" s="33"/>
      <c r="AP107" s="33"/>
      <c r="AQ107" s="197"/>
      <c r="AR107" s="197"/>
      <c r="AS107" s="197"/>
      <c r="AT107" s="197"/>
      <c r="AU107" s="33"/>
      <c r="AV107" s="33"/>
      <c r="AW107" s="33"/>
      <c r="AX107" s="33"/>
      <c r="AY107" s="76"/>
    </row>
    <row r="108" spans="2:51">
      <c r="B108" t="s">
        <v>79</v>
      </c>
      <c r="C108">
        <v>0.25</v>
      </c>
      <c r="D108">
        <v>0</v>
      </c>
      <c r="F108" s="194" t="s">
        <v>233</v>
      </c>
      <c r="G108" s="195">
        <f>VLOOKUP(VLOOKUP(F17,C131:E195,3,FALSE),F104:G107,2,FALSE)</f>
        <v>0.43</v>
      </c>
      <c r="I108" s="55">
        <v>103</v>
      </c>
      <c r="J108" s="33">
        <f t="shared" si="51"/>
        <v>0</v>
      </c>
      <c r="K108" s="33">
        <f t="shared" si="52"/>
        <v>0</v>
      </c>
      <c r="L108" s="33">
        <f t="shared" si="53"/>
        <v>0</v>
      </c>
      <c r="M108" s="33">
        <f t="shared" si="54"/>
        <v>0</v>
      </c>
      <c r="N108" s="33">
        <f t="shared" si="40"/>
        <v>0</v>
      </c>
      <c r="O108" s="34">
        <f t="shared" si="41"/>
        <v>0</v>
      </c>
      <c r="P108" s="55">
        <v>103</v>
      </c>
      <c r="Q108" s="33">
        <f t="shared" si="49"/>
        <v>0</v>
      </c>
      <c r="R108" s="33">
        <f t="shared" si="55"/>
        <v>0</v>
      </c>
      <c r="S108" s="33">
        <f t="shared" si="56"/>
        <v>0</v>
      </c>
      <c r="T108" s="33">
        <f t="shared" si="42"/>
        <v>0</v>
      </c>
      <c r="U108" s="33">
        <f t="shared" si="50"/>
        <v>0</v>
      </c>
      <c r="V108" s="33">
        <f t="shared" si="43"/>
        <v>0</v>
      </c>
      <c r="W108" s="33">
        <v>0</v>
      </c>
      <c r="X108" s="33">
        <f t="shared" si="44"/>
        <v>0</v>
      </c>
      <c r="Y108" s="38">
        <f t="shared" si="45"/>
        <v>0</v>
      </c>
      <c r="AA108" s="71">
        <v>103</v>
      </c>
      <c r="AB108" s="33">
        <f t="shared" si="46"/>
        <v>0</v>
      </c>
      <c r="AC108" s="308">
        <f t="shared" si="64"/>
        <v>0</v>
      </c>
      <c r="AD108" s="101">
        <f t="shared" si="47"/>
        <v>0</v>
      </c>
      <c r="AE108" s="101">
        <f t="shared" si="48"/>
        <v>0</v>
      </c>
      <c r="AF108" s="197">
        <f t="shared" si="60"/>
        <v>0</v>
      </c>
      <c r="AG108" s="197">
        <f t="shared" si="61"/>
        <v>0</v>
      </c>
      <c r="AH108" s="197">
        <f t="shared" si="62"/>
        <v>0</v>
      </c>
      <c r="AI108" s="202">
        <f t="shared" si="63"/>
        <v>0</v>
      </c>
      <c r="AK108" s="71">
        <v>103</v>
      </c>
      <c r="AL108" s="33"/>
      <c r="AM108" s="33"/>
      <c r="AN108" s="33"/>
      <c r="AO108" s="33"/>
      <c r="AP108" s="33"/>
      <c r="AQ108" s="197"/>
      <c r="AR108" s="197"/>
      <c r="AS108" s="197"/>
      <c r="AT108" s="197"/>
      <c r="AU108" s="33"/>
      <c r="AV108" s="33"/>
      <c r="AW108" s="33"/>
      <c r="AX108" s="33"/>
      <c r="AY108" s="76"/>
    </row>
    <row r="109" spans="2:51">
      <c r="I109" s="55">
        <v>104</v>
      </c>
      <c r="J109" s="33">
        <f t="shared" si="51"/>
        <v>0</v>
      </c>
      <c r="K109" s="33">
        <f t="shared" si="52"/>
        <v>0</v>
      </c>
      <c r="L109" s="33">
        <f t="shared" si="53"/>
        <v>0</v>
      </c>
      <c r="M109" s="33">
        <f t="shared" si="54"/>
        <v>0</v>
      </c>
      <c r="N109" s="33">
        <f t="shared" si="40"/>
        <v>0</v>
      </c>
      <c r="O109" s="34">
        <f t="shared" si="41"/>
        <v>0</v>
      </c>
      <c r="P109" s="55">
        <v>104</v>
      </c>
      <c r="Q109" s="33">
        <f t="shared" si="49"/>
        <v>0</v>
      </c>
      <c r="R109" s="33">
        <f t="shared" si="55"/>
        <v>0</v>
      </c>
      <c r="S109" s="33">
        <f t="shared" si="56"/>
        <v>0</v>
      </c>
      <c r="T109" s="33">
        <f t="shared" si="42"/>
        <v>0</v>
      </c>
      <c r="U109" s="33">
        <f t="shared" si="50"/>
        <v>0</v>
      </c>
      <c r="V109" s="33">
        <f t="shared" si="43"/>
        <v>0</v>
      </c>
      <c r="W109" s="33">
        <v>0</v>
      </c>
      <c r="X109" s="33">
        <f t="shared" si="44"/>
        <v>0</v>
      </c>
      <c r="Y109" s="38">
        <f t="shared" si="45"/>
        <v>0</v>
      </c>
      <c r="AA109" s="71">
        <v>104</v>
      </c>
      <c r="AB109" s="33">
        <f t="shared" si="46"/>
        <v>0</v>
      </c>
      <c r="AC109" s="308">
        <f t="shared" si="64"/>
        <v>0</v>
      </c>
      <c r="AD109" s="101">
        <f t="shared" si="47"/>
        <v>0</v>
      </c>
      <c r="AE109" s="101">
        <f t="shared" si="48"/>
        <v>0</v>
      </c>
      <c r="AF109" s="197">
        <f t="shared" si="60"/>
        <v>0</v>
      </c>
      <c r="AG109" s="197">
        <f t="shared" si="61"/>
        <v>0</v>
      </c>
      <c r="AH109" s="197">
        <f t="shared" si="62"/>
        <v>0</v>
      </c>
      <c r="AI109" s="202">
        <f t="shared" si="63"/>
        <v>0</v>
      </c>
      <c r="AK109" s="71">
        <v>104</v>
      </c>
      <c r="AL109" s="33"/>
      <c r="AM109" s="33"/>
      <c r="AN109" s="33"/>
      <c r="AO109" s="33"/>
      <c r="AP109" s="33"/>
      <c r="AQ109" s="197"/>
      <c r="AR109" s="197"/>
      <c r="AS109" s="197"/>
      <c r="AT109" s="197"/>
      <c r="AU109" s="33"/>
      <c r="AV109" s="33"/>
      <c r="AW109" s="33"/>
      <c r="AX109" s="33"/>
      <c r="AY109" s="76"/>
    </row>
    <row r="110" spans="2:51">
      <c r="I110" s="55">
        <v>105</v>
      </c>
      <c r="J110" s="33">
        <f t="shared" si="51"/>
        <v>0</v>
      </c>
      <c r="K110" s="33">
        <f t="shared" si="52"/>
        <v>0</v>
      </c>
      <c r="L110" s="33">
        <f t="shared" si="53"/>
        <v>0</v>
      </c>
      <c r="M110" s="33">
        <f t="shared" si="54"/>
        <v>0</v>
      </c>
      <c r="N110" s="33">
        <f t="shared" si="40"/>
        <v>0</v>
      </c>
      <c r="O110" s="34">
        <f t="shared" si="41"/>
        <v>0</v>
      </c>
      <c r="P110" s="55">
        <v>105</v>
      </c>
      <c r="Q110" s="33">
        <f t="shared" si="49"/>
        <v>0</v>
      </c>
      <c r="R110" s="33">
        <f t="shared" si="55"/>
        <v>0</v>
      </c>
      <c r="S110" s="33">
        <f t="shared" si="56"/>
        <v>0</v>
      </c>
      <c r="T110" s="33">
        <f t="shared" si="42"/>
        <v>0</v>
      </c>
      <c r="U110" s="33">
        <f t="shared" si="50"/>
        <v>0</v>
      </c>
      <c r="V110" s="33">
        <f t="shared" si="43"/>
        <v>0</v>
      </c>
      <c r="W110" s="33">
        <v>0</v>
      </c>
      <c r="X110" s="33">
        <f t="shared" si="44"/>
        <v>0</v>
      </c>
      <c r="Y110" s="38">
        <f t="shared" si="45"/>
        <v>0</v>
      </c>
      <c r="AA110" s="71">
        <v>105</v>
      </c>
      <c r="AB110" s="33">
        <f t="shared" si="46"/>
        <v>0</v>
      </c>
      <c r="AC110" s="308">
        <f t="shared" si="64"/>
        <v>0</v>
      </c>
      <c r="AD110" s="101">
        <f t="shared" si="47"/>
        <v>0</v>
      </c>
      <c r="AE110" s="101">
        <f t="shared" si="48"/>
        <v>0</v>
      </c>
      <c r="AF110" s="197">
        <f t="shared" si="60"/>
        <v>0</v>
      </c>
      <c r="AG110" s="197">
        <f t="shared" si="61"/>
        <v>0</v>
      </c>
      <c r="AH110" s="197">
        <f t="shared" si="62"/>
        <v>0</v>
      </c>
      <c r="AI110" s="202">
        <f t="shared" si="63"/>
        <v>0</v>
      </c>
      <c r="AK110" s="71">
        <v>105</v>
      </c>
      <c r="AL110" s="33"/>
      <c r="AM110" s="33"/>
      <c r="AN110" s="33"/>
      <c r="AO110" s="33"/>
      <c r="AP110" s="33"/>
      <c r="AQ110" s="197"/>
      <c r="AR110" s="197"/>
      <c r="AS110" s="197"/>
      <c r="AT110" s="197"/>
      <c r="AU110" s="33"/>
      <c r="AV110" s="33"/>
      <c r="AW110" s="33"/>
      <c r="AX110" s="33"/>
      <c r="AY110" s="76"/>
    </row>
    <row r="111" spans="2:51">
      <c r="C111" s="160" t="s">
        <v>169</v>
      </c>
      <c r="D111" s="160"/>
      <c r="E111" s="160"/>
      <c r="I111" s="55">
        <v>106</v>
      </c>
      <c r="J111" s="33">
        <f t="shared" si="51"/>
        <v>0</v>
      </c>
      <c r="K111" s="33">
        <f t="shared" si="52"/>
        <v>0</v>
      </c>
      <c r="L111" s="33">
        <f t="shared" si="53"/>
        <v>0</v>
      </c>
      <c r="M111" s="33">
        <f t="shared" si="54"/>
        <v>0</v>
      </c>
      <c r="N111" s="33">
        <f t="shared" si="40"/>
        <v>0</v>
      </c>
      <c r="O111" s="34">
        <f t="shared" si="41"/>
        <v>0</v>
      </c>
      <c r="P111" s="55">
        <v>106</v>
      </c>
      <c r="Q111" s="33">
        <f t="shared" si="49"/>
        <v>0</v>
      </c>
      <c r="R111" s="33">
        <f t="shared" si="55"/>
        <v>0</v>
      </c>
      <c r="S111" s="33">
        <f t="shared" si="56"/>
        <v>0</v>
      </c>
      <c r="T111" s="33">
        <f t="shared" si="42"/>
        <v>0</v>
      </c>
      <c r="U111" s="33">
        <f t="shared" si="50"/>
        <v>0</v>
      </c>
      <c r="V111" s="33">
        <f t="shared" si="43"/>
        <v>0</v>
      </c>
      <c r="W111" s="33">
        <v>0</v>
      </c>
      <c r="X111" s="33">
        <f t="shared" si="44"/>
        <v>0</v>
      </c>
      <c r="Y111" s="38">
        <f t="shared" si="45"/>
        <v>0</v>
      </c>
      <c r="AA111" s="71">
        <v>106</v>
      </c>
      <c r="AB111" s="33">
        <f t="shared" si="46"/>
        <v>0</v>
      </c>
      <c r="AC111" s="308">
        <f t="shared" si="64"/>
        <v>0</v>
      </c>
      <c r="AD111" s="101">
        <f t="shared" si="47"/>
        <v>0</v>
      </c>
      <c r="AE111" s="101">
        <f t="shared" si="48"/>
        <v>0</v>
      </c>
      <c r="AF111" s="197">
        <f t="shared" si="60"/>
        <v>0</v>
      </c>
      <c r="AG111" s="197">
        <f t="shared" si="61"/>
        <v>0</v>
      </c>
      <c r="AH111" s="197">
        <f t="shared" si="62"/>
        <v>0</v>
      </c>
      <c r="AI111" s="202">
        <f t="shared" si="63"/>
        <v>0</v>
      </c>
      <c r="AK111" s="71">
        <v>106</v>
      </c>
      <c r="AL111" s="33"/>
      <c r="AM111" s="33"/>
      <c r="AN111" s="33"/>
      <c r="AO111" s="33"/>
      <c r="AP111" s="33"/>
      <c r="AQ111" s="197"/>
      <c r="AR111" s="197"/>
      <c r="AS111" s="197"/>
      <c r="AT111" s="197"/>
      <c r="AU111" s="33"/>
      <c r="AV111" s="33"/>
      <c r="AW111" s="33"/>
      <c r="AX111" s="33"/>
      <c r="AY111" s="76"/>
    </row>
    <row r="112" spans="2:51">
      <c r="C112" s="74" t="s">
        <v>145</v>
      </c>
      <c r="D112" s="74" t="s">
        <v>72</v>
      </c>
      <c r="E112" s="74" t="s">
        <v>166</v>
      </c>
      <c r="I112" s="55">
        <v>107</v>
      </c>
      <c r="J112" s="33">
        <f t="shared" si="51"/>
        <v>0</v>
      </c>
      <c r="K112" s="33">
        <f t="shared" si="52"/>
        <v>0</v>
      </c>
      <c r="L112" s="33">
        <f t="shared" si="53"/>
        <v>0</v>
      </c>
      <c r="M112" s="33">
        <f t="shared" si="54"/>
        <v>0</v>
      </c>
      <c r="N112" s="33">
        <f t="shared" si="40"/>
        <v>0</v>
      </c>
      <c r="O112" s="34">
        <f t="shared" si="41"/>
        <v>0</v>
      </c>
      <c r="P112" s="55">
        <v>107</v>
      </c>
      <c r="Q112" s="33">
        <f t="shared" si="49"/>
        <v>0</v>
      </c>
      <c r="R112" s="33">
        <f t="shared" si="55"/>
        <v>0</v>
      </c>
      <c r="S112" s="33">
        <f t="shared" si="56"/>
        <v>0</v>
      </c>
      <c r="T112" s="33">
        <f t="shared" si="42"/>
        <v>0</v>
      </c>
      <c r="U112" s="33">
        <f t="shared" si="50"/>
        <v>0</v>
      </c>
      <c r="V112" s="33">
        <f t="shared" si="43"/>
        <v>0</v>
      </c>
      <c r="W112" s="33">
        <v>0</v>
      </c>
      <c r="X112" s="33">
        <f t="shared" si="44"/>
        <v>0</v>
      </c>
      <c r="Y112" s="38">
        <f t="shared" si="45"/>
        <v>0</v>
      </c>
      <c r="AA112" s="71">
        <v>107</v>
      </c>
      <c r="AB112" s="33">
        <f t="shared" si="46"/>
        <v>0</v>
      </c>
      <c r="AC112" s="308">
        <f t="shared" si="64"/>
        <v>0</v>
      </c>
      <c r="AD112" s="101">
        <f t="shared" si="47"/>
        <v>0</v>
      </c>
      <c r="AE112" s="101">
        <f t="shared" si="48"/>
        <v>0</v>
      </c>
      <c r="AF112" s="197">
        <f t="shared" si="60"/>
        <v>0</v>
      </c>
      <c r="AG112" s="197">
        <f t="shared" si="61"/>
        <v>0</v>
      </c>
      <c r="AH112" s="197">
        <f t="shared" si="62"/>
        <v>0</v>
      </c>
      <c r="AI112" s="202">
        <f t="shared" si="63"/>
        <v>0</v>
      </c>
      <c r="AK112" s="71">
        <v>107</v>
      </c>
      <c r="AL112" s="33"/>
      <c r="AM112" s="33"/>
      <c r="AN112" s="33"/>
      <c r="AO112" s="33"/>
      <c r="AP112" s="33"/>
      <c r="AQ112" s="197"/>
      <c r="AR112" s="197"/>
      <c r="AS112" s="197"/>
      <c r="AT112" s="197"/>
      <c r="AU112" s="33"/>
      <c r="AV112" s="33"/>
      <c r="AW112" s="33"/>
      <c r="AX112" s="33"/>
      <c r="AY112" s="76"/>
    </row>
    <row r="113" spans="2:51">
      <c r="B113" s="67" t="s">
        <v>167</v>
      </c>
      <c r="C113" s="79">
        <f>1/$F$18*SUM(X6:X205)</f>
        <v>492.38950522367639</v>
      </c>
      <c r="D113" s="79">
        <f>1/$F$10*SUM(O6:O205)</f>
        <v>177.03590180507831</v>
      </c>
      <c r="E113" s="78">
        <f>C113-D113</f>
        <v>315.35360341859808</v>
      </c>
      <c r="I113" s="55">
        <v>108</v>
      </c>
      <c r="J113" s="33">
        <f t="shared" si="51"/>
        <v>0</v>
      </c>
      <c r="K113" s="33">
        <f t="shared" si="52"/>
        <v>0</v>
      </c>
      <c r="L113" s="33">
        <f t="shared" si="53"/>
        <v>0</v>
      </c>
      <c r="M113" s="33">
        <f t="shared" si="54"/>
        <v>0</v>
      </c>
      <c r="N113" s="33">
        <f t="shared" si="40"/>
        <v>0</v>
      </c>
      <c r="O113" s="34">
        <f t="shared" si="41"/>
        <v>0</v>
      </c>
      <c r="P113" s="55">
        <v>108</v>
      </c>
      <c r="Q113" s="33">
        <f t="shared" si="49"/>
        <v>0</v>
      </c>
      <c r="R113" s="33">
        <f t="shared" si="55"/>
        <v>0</v>
      </c>
      <c r="S113" s="33">
        <f t="shared" si="56"/>
        <v>0</v>
      </c>
      <c r="T113" s="33">
        <f t="shared" si="42"/>
        <v>0</v>
      </c>
      <c r="U113" s="33">
        <f t="shared" si="50"/>
        <v>0</v>
      </c>
      <c r="V113" s="33">
        <f t="shared" si="43"/>
        <v>0</v>
      </c>
      <c r="W113" s="33">
        <v>0</v>
      </c>
      <c r="X113" s="33">
        <f t="shared" si="44"/>
        <v>0</v>
      </c>
      <c r="Y113" s="38">
        <f t="shared" si="45"/>
        <v>0</v>
      </c>
      <c r="AA113" s="71">
        <v>108</v>
      </c>
      <c r="AB113" s="33">
        <f t="shared" si="46"/>
        <v>0</v>
      </c>
      <c r="AC113" s="308">
        <f t="shared" si="64"/>
        <v>0</v>
      </c>
      <c r="AD113" s="101">
        <f t="shared" si="47"/>
        <v>0</v>
      </c>
      <c r="AE113" s="101">
        <f t="shared" si="48"/>
        <v>0</v>
      </c>
      <c r="AF113" s="197">
        <f t="shared" si="60"/>
        <v>0</v>
      </c>
      <c r="AG113" s="197">
        <f t="shared" si="61"/>
        <v>0</v>
      </c>
      <c r="AH113" s="197">
        <f t="shared" si="62"/>
        <v>0</v>
      </c>
      <c r="AI113" s="202">
        <f t="shared" si="63"/>
        <v>0</v>
      </c>
      <c r="AK113" s="71">
        <v>108</v>
      </c>
      <c r="AL113" s="33"/>
      <c r="AM113" s="33"/>
      <c r="AN113" s="33"/>
      <c r="AO113" s="33"/>
      <c r="AP113" s="33"/>
      <c r="AQ113" s="197"/>
      <c r="AR113" s="197"/>
      <c r="AS113" s="197"/>
      <c r="AT113" s="197"/>
      <c r="AU113" s="33"/>
      <c r="AV113" s="33"/>
      <c r="AW113" s="33"/>
      <c r="AX113" s="33"/>
      <c r="AY113" s="76"/>
    </row>
    <row r="114" spans="2:51">
      <c r="B114" s="67" t="s">
        <v>168</v>
      </c>
      <c r="C114" s="79">
        <f>X35</f>
        <v>600.95505498466264</v>
      </c>
      <c r="D114" s="79">
        <f>O35</f>
        <v>177.03590180507811</v>
      </c>
      <c r="E114" s="78">
        <f>VLOOKUP(30,I5:Y205,17,FALSE)</f>
        <v>423.91915317958455</v>
      </c>
      <c r="I114" s="55">
        <v>109</v>
      </c>
      <c r="J114" s="33">
        <f t="shared" si="51"/>
        <v>0</v>
      </c>
      <c r="K114" s="33">
        <f t="shared" si="52"/>
        <v>0</v>
      </c>
      <c r="L114" s="33">
        <f t="shared" si="53"/>
        <v>0</v>
      </c>
      <c r="M114" s="33">
        <f t="shared" si="54"/>
        <v>0</v>
      </c>
      <c r="N114" s="33">
        <f t="shared" si="40"/>
        <v>0</v>
      </c>
      <c r="O114" s="34">
        <f t="shared" si="41"/>
        <v>0</v>
      </c>
      <c r="P114" s="55">
        <v>109</v>
      </c>
      <c r="Q114" s="33">
        <f t="shared" si="49"/>
        <v>0</v>
      </c>
      <c r="R114" s="33">
        <f t="shared" si="55"/>
        <v>0</v>
      </c>
      <c r="S114" s="33">
        <f t="shared" si="56"/>
        <v>0</v>
      </c>
      <c r="T114" s="33">
        <f t="shared" si="42"/>
        <v>0</v>
      </c>
      <c r="U114" s="33">
        <f t="shared" si="50"/>
        <v>0</v>
      </c>
      <c r="V114" s="33">
        <f t="shared" si="43"/>
        <v>0</v>
      </c>
      <c r="W114" s="33">
        <v>0</v>
      </c>
      <c r="X114" s="33">
        <f t="shared" si="44"/>
        <v>0</v>
      </c>
      <c r="Y114" s="38">
        <f t="shared" si="45"/>
        <v>0</v>
      </c>
      <c r="AA114" s="71">
        <v>109</v>
      </c>
      <c r="AB114" s="33">
        <f t="shared" si="46"/>
        <v>0</v>
      </c>
      <c r="AC114" s="308">
        <f t="shared" si="64"/>
        <v>0</v>
      </c>
      <c r="AD114" s="101">
        <f t="shared" si="47"/>
        <v>0</v>
      </c>
      <c r="AE114" s="101">
        <f t="shared" si="48"/>
        <v>0</v>
      </c>
      <c r="AF114" s="197">
        <f t="shared" si="60"/>
        <v>0</v>
      </c>
      <c r="AG114" s="197">
        <f t="shared" si="61"/>
        <v>0</v>
      </c>
      <c r="AH114" s="197">
        <f t="shared" si="62"/>
        <v>0</v>
      </c>
      <c r="AI114" s="202">
        <f t="shared" si="63"/>
        <v>0</v>
      </c>
      <c r="AK114" s="71">
        <v>109</v>
      </c>
      <c r="AL114" s="33"/>
      <c r="AM114" s="33"/>
      <c r="AN114" s="33"/>
      <c r="AO114" s="33"/>
      <c r="AP114" s="33"/>
      <c r="AQ114" s="197"/>
      <c r="AR114" s="197"/>
      <c r="AS114" s="197"/>
      <c r="AT114" s="197"/>
      <c r="AU114" s="33"/>
      <c r="AV114" s="33"/>
      <c r="AW114" s="33"/>
      <c r="AX114" s="33"/>
      <c r="AY114" s="76"/>
    </row>
    <row r="115" spans="2:51">
      <c r="C115" s="80"/>
      <c r="D115" s="80"/>
      <c r="E115" s="80"/>
      <c r="I115" s="55">
        <v>110</v>
      </c>
      <c r="J115" s="33">
        <f t="shared" si="51"/>
        <v>0</v>
      </c>
      <c r="K115" s="33">
        <f t="shared" si="52"/>
        <v>0</v>
      </c>
      <c r="L115" s="33">
        <f t="shared" si="53"/>
        <v>0</v>
      </c>
      <c r="M115" s="33">
        <f t="shared" si="54"/>
        <v>0</v>
      </c>
      <c r="N115" s="33">
        <f t="shared" si="40"/>
        <v>0</v>
      </c>
      <c r="O115" s="34">
        <f t="shared" si="41"/>
        <v>0</v>
      </c>
      <c r="P115" s="55">
        <v>110</v>
      </c>
      <c r="Q115" s="33">
        <f t="shared" si="49"/>
        <v>0</v>
      </c>
      <c r="R115" s="33">
        <f t="shared" si="55"/>
        <v>0</v>
      </c>
      <c r="S115" s="33">
        <f t="shared" si="56"/>
        <v>0</v>
      </c>
      <c r="T115" s="33">
        <f t="shared" si="42"/>
        <v>0</v>
      </c>
      <c r="U115" s="33">
        <f t="shared" si="50"/>
        <v>0</v>
      </c>
      <c r="V115" s="33">
        <f t="shared" si="43"/>
        <v>0</v>
      </c>
      <c r="W115" s="33">
        <v>0</v>
      </c>
      <c r="X115" s="33">
        <f t="shared" si="44"/>
        <v>0</v>
      </c>
      <c r="Y115" s="38">
        <f t="shared" si="45"/>
        <v>0</v>
      </c>
      <c r="AA115" s="71">
        <v>110</v>
      </c>
      <c r="AB115" s="33">
        <f t="shared" si="46"/>
        <v>0</v>
      </c>
      <c r="AC115" s="308">
        <f t="shared" si="64"/>
        <v>0</v>
      </c>
      <c r="AD115" s="101">
        <f t="shared" si="47"/>
        <v>0</v>
      </c>
      <c r="AE115" s="101">
        <f t="shared" si="48"/>
        <v>0</v>
      </c>
      <c r="AF115" s="197">
        <f t="shared" si="60"/>
        <v>0</v>
      </c>
      <c r="AG115" s="197">
        <f t="shared" si="61"/>
        <v>0</v>
      </c>
      <c r="AH115" s="197">
        <f t="shared" si="62"/>
        <v>0</v>
      </c>
      <c r="AI115" s="202">
        <f t="shared" si="63"/>
        <v>0</v>
      </c>
      <c r="AK115" s="71">
        <v>110</v>
      </c>
      <c r="AL115" s="33"/>
      <c r="AM115" s="33"/>
      <c r="AN115" s="33"/>
      <c r="AO115" s="33"/>
      <c r="AP115" s="33"/>
      <c r="AQ115" s="197"/>
      <c r="AR115" s="197"/>
      <c r="AS115" s="197"/>
      <c r="AT115" s="197"/>
      <c r="AU115" s="33"/>
      <c r="AV115" s="33"/>
      <c r="AW115" s="33"/>
      <c r="AX115" s="33"/>
      <c r="AY115" s="76"/>
    </row>
    <row r="116" spans="2:51">
      <c r="C116" s="136" t="s">
        <v>125</v>
      </c>
      <c r="D116" s="136"/>
      <c r="E116" s="136"/>
      <c r="I116" s="55">
        <v>111</v>
      </c>
      <c r="J116" s="33">
        <f t="shared" si="51"/>
        <v>0</v>
      </c>
      <c r="K116" s="33">
        <f t="shared" si="52"/>
        <v>0</v>
      </c>
      <c r="L116" s="33">
        <f t="shared" si="53"/>
        <v>0</v>
      </c>
      <c r="M116" s="33">
        <f t="shared" si="54"/>
        <v>0</v>
      </c>
      <c r="N116" s="33">
        <f t="shared" si="40"/>
        <v>0</v>
      </c>
      <c r="O116" s="34">
        <f t="shared" si="41"/>
        <v>0</v>
      </c>
      <c r="P116" s="55">
        <v>111</v>
      </c>
      <c r="Q116" s="33">
        <f t="shared" si="49"/>
        <v>0</v>
      </c>
      <c r="R116" s="33">
        <f t="shared" si="55"/>
        <v>0</v>
      </c>
      <c r="S116" s="33">
        <f t="shared" si="56"/>
        <v>0</v>
      </c>
      <c r="T116" s="33">
        <f t="shared" si="42"/>
        <v>0</v>
      </c>
      <c r="U116" s="33">
        <f t="shared" si="50"/>
        <v>0</v>
      </c>
      <c r="V116" s="33">
        <f t="shared" si="43"/>
        <v>0</v>
      </c>
      <c r="W116" s="33">
        <v>0</v>
      </c>
      <c r="X116" s="33">
        <f t="shared" si="44"/>
        <v>0</v>
      </c>
      <c r="Y116" s="38">
        <f t="shared" si="45"/>
        <v>0</v>
      </c>
      <c r="AA116" s="71">
        <v>111</v>
      </c>
      <c r="AB116" s="33">
        <f t="shared" si="46"/>
        <v>0</v>
      </c>
      <c r="AC116" s="308">
        <f t="shared" si="64"/>
        <v>0</v>
      </c>
      <c r="AD116" s="101">
        <f t="shared" si="47"/>
        <v>0</v>
      </c>
      <c r="AE116" s="101">
        <f t="shared" si="48"/>
        <v>0</v>
      </c>
      <c r="AF116" s="197">
        <f t="shared" si="60"/>
        <v>0</v>
      </c>
      <c r="AG116" s="197">
        <f t="shared" si="61"/>
        <v>0</v>
      </c>
      <c r="AH116" s="197">
        <f t="shared" si="62"/>
        <v>0</v>
      </c>
      <c r="AI116" s="202">
        <f t="shared" si="63"/>
        <v>0</v>
      </c>
      <c r="AK116" s="71">
        <v>111</v>
      </c>
      <c r="AL116" s="33"/>
      <c r="AM116" s="33"/>
      <c r="AN116" s="33"/>
      <c r="AO116" s="33"/>
      <c r="AP116" s="33"/>
      <c r="AQ116" s="197"/>
      <c r="AR116" s="197"/>
      <c r="AS116" s="197"/>
      <c r="AT116" s="197"/>
      <c r="AU116" s="33"/>
      <c r="AV116" s="33"/>
      <c r="AW116" s="33"/>
      <c r="AX116" s="33"/>
      <c r="AY116" s="76"/>
    </row>
    <row r="117" spans="2:51">
      <c r="C117" s="136" t="s">
        <v>145</v>
      </c>
      <c r="D117" s="136" t="s">
        <v>72</v>
      </c>
      <c r="E117" s="81" t="s">
        <v>166</v>
      </c>
      <c r="I117" s="55">
        <v>112</v>
      </c>
      <c r="J117" s="33">
        <f t="shared" si="51"/>
        <v>0</v>
      </c>
      <c r="K117" s="33">
        <f t="shared" si="52"/>
        <v>0</v>
      </c>
      <c r="L117" s="33">
        <f t="shared" si="53"/>
        <v>0</v>
      </c>
      <c r="M117" s="33">
        <f t="shared" si="54"/>
        <v>0</v>
      </c>
      <c r="N117" s="33">
        <f t="shared" si="40"/>
        <v>0</v>
      </c>
      <c r="O117" s="34">
        <f t="shared" si="41"/>
        <v>0</v>
      </c>
      <c r="P117" s="55">
        <v>112</v>
      </c>
      <c r="Q117" s="33">
        <f t="shared" si="49"/>
        <v>0</v>
      </c>
      <c r="R117" s="33">
        <f t="shared" si="55"/>
        <v>0</v>
      </c>
      <c r="S117" s="33">
        <f t="shared" si="56"/>
        <v>0</v>
      </c>
      <c r="T117" s="33">
        <f t="shared" si="42"/>
        <v>0</v>
      </c>
      <c r="U117" s="33">
        <f t="shared" si="50"/>
        <v>0</v>
      </c>
      <c r="V117" s="33">
        <f t="shared" si="43"/>
        <v>0</v>
      </c>
      <c r="W117" s="33">
        <v>0</v>
      </c>
      <c r="X117" s="33">
        <f t="shared" si="44"/>
        <v>0</v>
      </c>
      <c r="Y117" s="38">
        <f t="shared" si="45"/>
        <v>0</v>
      </c>
      <c r="AA117" s="71">
        <v>112</v>
      </c>
      <c r="AB117" s="33">
        <f t="shared" si="46"/>
        <v>0</v>
      </c>
      <c r="AC117" s="308">
        <f t="shared" si="64"/>
        <v>0</v>
      </c>
      <c r="AD117" s="101">
        <f t="shared" si="47"/>
        <v>0</v>
      </c>
      <c r="AE117" s="101">
        <f t="shared" si="48"/>
        <v>0</v>
      </c>
      <c r="AF117" s="197">
        <f t="shared" si="60"/>
        <v>0</v>
      </c>
      <c r="AG117" s="197">
        <f t="shared" si="61"/>
        <v>0</v>
      </c>
      <c r="AH117" s="197">
        <f t="shared" si="62"/>
        <v>0</v>
      </c>
      <c r="AI117" s="202">
        <f t="shared" si="63"/>
        <v>0</v>
      </c>
      <c r="AK117" s="71">
        <v>112</v>
      </c>
      <c r="AL117" s="33"/>
      <c r="AM117" s="33"/>
      <c r="AN117" s="33"/>
      <c r="AO117" s="33"/>
      <c r="AP117" s="33"/>
      <c r="AQ117" s="197"/>
      <c r="AR117" s="197"/>
      <c r="AS117" s="197"/>
      <c r="AT117" s="197"/>
      <c r="AU117" s="33"/>
      <c r="AV117" s="33"/>
      <c r="AW117" s="33"/>
      <c r="AX117" s="33"/>
      <c r="AY117" s="76"/>
    </row>
    <row r="118" spans="2:51">
      <c r="B118" s="67" t="s">
        <v>261</v>
      </c>
      <c r="C118" s="306">
        <f>1/30*SUM(AI6:AI35)</f>
        <v>15.495574602478504</v>
      </c>
      <c r="D118" s="79">
        <v>0</v>
      </c>
      <c r="E118" s="78">
        <f>C118-D118</f>
        <v>15.495574602478504</v>
      </c>
      <c r="I118" s="55">
        <v>113</v>
      </c>
      <c r="J118" s="33">
        <f t="shared" si="51"/>
        <v>0</v>
      </c>
      <c r="K118" s="33">
        <f t="shared" si="52"/>
        <v>0</v>
      </c>
      <c r="L118" s="33">
        <f t="shared" si="53"/>
        <v>0</v>
      </c>
      <c r="M118" s="33">
        <f t="shared" si="54"/>
        <v>0</v>
      </c>
      <c r="N118" s="33">
        <f t="shared" si="40"/>
        <v>0</v>
      </c>
      <c r="O118" s="34">
        <f t="shared" si="41"/>
        <v>0</v>
      </c>
      <c r="P118" s="55">
        <v>113</v>
      </c>
      <c r="Q118" s="33">
        <f t="shared" si="49"/>
        <v>0</v>
      </c>
      <c r="R118" s="33">
        <f t="shared" si="55"/>
        <v>0</v>
      </c>
      <c r="S118" s="33">
        <f t="shared" si="56"/>
        <v>0</v>
      </c>
      <c r="T118" s="33">
        <f t="shared" si="42"/>
        <v>0</v>
      </c>
      <c r="U118" s="33">
        <f t="shared" si="50"/>
        <v>0</v>
      </c>
      <c r="V118" s="33">
        <f t="shared" si="43"/>
        <v>0</v>
      </c>
      <c r="W118" s="33">
        <v>0</v>
      </c>
      <c r="X118" s="33">
        <f t="shared" si="44"/>
        <v>0</v>
      </c>
      <c r="Y118" s="38">
        <f t="shared" si="45"/>
        <v>0</v>
      </c>
      <c r="AA118" s="71">
        <v>113</v>
      </c>
      <c r="AB118" s="33">
        <f t="shared" si="46"/>
        <v>0</v>
      </c>
      <c r="AC118" s="308">
        <f t="shared" si="64"/>
        <v>0</v>
      </c>
      <c r="AD118" s="101">
        <f t="shared" si="47"/>
        <v>0</v>
      </c>
      <c r="AE118" s="101">
        <f t="shared" si="48"/>
        <v>0</v>
      </c>
      <c r="AF118" s="197">
        <f t="shared" si="60"/>
        <v>0</v>
      </c>
      <c r="AG118" s="197">
        <f t="shared" si="61"/>
        <v>0</v>
      </c>
      <c r="AH118" s="197">
        <f t="shared" si="62"/>
        <v>0</v>
      </c>
      <c r="AI118" s="202">
        <f t="shared" si="63"/>
        <v>0</v>
      </c>
      <c r="AK118" s="71">
        <v>113</v>
      </c>
      <c r="AL118" s="33"/>
      <c r="AM118" s="33"/>
      <c r="AN118" s="33"/>
      <c r="AO118" s="33"/>
      <c r="AP118" s="33"/>
      <c r="AQ118" s="197"/>
      <c r="AR118" s="197"/>
      <c r="AS118" s="197"/>
      <c r="AT118" s="197"/>
      <c r="AU118" s="33"/>
      <c r="AV118" s="33"/>
      <c r="AW118" s="33"/>
      <c r="AX118" s="33"/>
      <c r="AY118" s="76"/>
    </row>
    <row r="119" spans="2:51">
      <c r="B119" s="67"/>
      <c r="C119" s="82"/>
      <c r="D119" s="79"/>
      <c r="E119" s="78"/>
      <c r="I119" s="55">
        <v>114</v>
      </c>
      <c r="J119" s="33">
        <f t="shared" si="51"/>
        <v>0</v>
      </c>
      <c r="K119" s="33">
        <f t="shared" si="52"/>
        <v>0</v>
      </c>
      <c r="L119" s="33">
        <f t="shared" si="53"/>
        <v>0</v>
      </c>
      <c r="M119" s="33">
        <f t="shared" si="54"/>
        <v>0</v>
      </c>
      <c r="N119" s="33">
        <f t="shared" si="40"/>
        <v>0</v>
      </c>
      <c r="O119" s="34">
        <f t="shared" si="41"/>
        <v>0</v>
      </c>
      <c r="P119" s="55">
        <v>114</v>
      </c>
      <c r="Q119" s="33">
        <f t="shared" si="49"/>
        <v>0</v>
      </c>
      <c r="R119" s="33">
        <f t="shared" si="55"/>
        <v>0</v>
      </c>
      <c r="S119" s="33">
        <f t="shared" si="56"/>
        <v>0</v>
      </c>
      <c r="T119" s="33">
        <f t="shared" si="42"/>
        <v>0</v>
      </c>
      <c r="U119" s="33">
        <f t="shared" si="50"/>
        <v>0</v>
      </c>
      <c r="V119" s="33">
        <f t="shared" si="43"/>
        <v>0</v>
      </c>
      <c r="W119" s="33">
        <v>0</v>
      </c>
      <c r="X119" s="33">
        <f t="shared" si="44"/>
        <v>0</v>
      </c>
      <c r="Y119" s="38">
        <f t="shared" si="45"/>
        <v>0</v>
      </c>
      <c r="AA119" s="71">
        <v>114</v>
      </c>
      <c r="AB119" s="33">
        <f t="shared" si="46"/>
        <v>0</v>
      </c>
      <c r="AC119" s="308">
        <f t="shared" si="64"/>
        <v>0</v>
      </c>
      <c r="AD119" s="101">
        <f t="shared" si="47"/>
        <v>0</v>
      </c>
      <c r="AE119" s="101">
        <f t="shared" si="48"/>
        <v>0</v>
      </c>
      <c r="AF119" s="197">
        <f t="shared" si="60"/>
        <v>0</v>
      </c>
      <c r="AG119" s="197">
        <f t="shared" si="61"/>
        <v>0</v>
      </c>
      <c r="AH119" s="197">
        <f t="shared" si="62"/>
        <v>0</v>
      </c>
      <c r="AI119" s="202">
        <f t="shared" si="63"/>
        <v>0</v>
      </c>
      <c r="AK119" s="71">
        <v>114</v>
      </c>
      <c r="AL119" s="33"/>
      <c r="AM119" s="33"/>
      <c r="AN119" s="33"/>
      <c r="AO119" s="33"/>
      <c r="AP119" s="33"/>
      <c r="AQ119" s="197"/>
      <c r="AR119" s="197"/>
      <c r="AS119" s="197"/>
      <c r="AT119" s="197"/>
      <c r="AU119" s="33"/>
      <c r="AV119" s="33"/>
      <c r="AW119" s="33"/>
      <c r="AX119" s="33"/>
      <c r="AY119" s="76"/>
    </row>
    <row r="120" spans="2:51">
      <c r="C120" s="80"/>
      <c r="D120" s="80"/>
      <c r="E120" s="83"/>
      <c r="I120" s="55">
        <v>115</v>
      </c>
      <c r="J120" s="33">
        <f t="shared" si="51"/>
        <v>0</v>
      </c>
      <c r="K120" s="33">
        <f t="shared" si="52"/>
        <v>0</v>
      </c>
      <c r="L120" s="33">
        <f t="shared" si="53"/>
        <v>0</v>
      </c>
      <c r="M120" s="33">
        <f t="shared" si="54"/>
        <v>0</v>
      </c>
      <c r="N120" s="33">
        <f t="shared" si="40"/>
        <v>0</v>
      </c>
      <c r="O120" s="34">
        <f t="shared" si="41"/>
        <v>0</v>
      </c>
      <c r="P120" s="55">
        <v>115</v>
      </c>
      <c r="Q120" s="33">
        <f t="shared" si="49"/>
        <v>0</v>
      </c>
      <c r="R120" s="33">
        <f t="shared" si="55"/>
        <v>0</v>
      </c>
      <c r="S120" s="33">
        <f t="shared" si="56"/>
        <v>0</v>
      </c>
      <c r="T120" s="33">
        <f t="shared" si="42"/>
        <v>0</v>
      </c>
      <c r="U120" s="33">
        <f t="shared" si="50"/>
        <v>0</v>
      </c>
      <c r="V120" s="33">
        <f t="shared" si="43"/>
        <v>0</v>
      </c>
      <c r="W120" s="33">
        <v>0</v>
      </c>
      <c r="X120" s="33">
        <f t="shared" si="44"/>
        <v>0</v>
      </c>
      <c r="Y120" s="38">
        <f t="shared" si="45"/>
        <v>0</v>
      </c>
      <c r="AA120" s="71">
        <v>115</v>
      </c>
      <c r="AB120" s="33">
        <f t="shared" si="46"/>
        <v>0</v>
      </c>
      <c r="AC120" s="308">
        <f t="shared" si="64"/>
        <v>0</v>
      </c>
      <c r="AD120" s="101">
        <f t="shared" si="47"/>
        <v>0</v>
      </c>
      <c r="AE120" s="101">
        <f t="shared" si="48"/>
        <v>0</v>
      </c>
      <c r="AF120" s="197">
        <f t="shared" si="60"/>
        <v>0</v>
      </c>
      <c r="AG120" s="197">
        <f t="shared" si="61"/>
        <v>0</v>
      </c>
      <c r="AH120" s="197">
        <f t="shared" si="62"/>
        <v>0</v>
      </c>
      <c r="AI120" s="202">
        <f t="shared" si="63"/>
        <v>0</v>
      </c>
      <c r="AK120" s="71">
        <v>115</v>
      </c>
      <c r="AL120" s="33"/>
      <c r="AM120" s="33"/>
      <c r="AN120" s="33"/>
      <c r="AO120" s="33"/>
      <c r="AP120" s="33"/>
      <c r="AQ120" s="197"/>
      <c r="AR120" s="197"/>
      <c r="AS120" s="197"/>
      <c r="AT120" s="197"/>
      <c r="AU120" s="33"/>
      <c r="AV120" s="33"/>
      <c r="AW120" s="33"/>
      <c r="AX120" s="33"/>
      <c r="AY120" s="76"/>
    </row>
    <row r="121" spans="2:51">
      <c r="C121" s="136" t="s">
        <v>160</v>
      </c>
      <c r="D121" s="136"/>
      <c r="E121" s="136"/>
      <c r="I121" s="55">
        <v>116</v>
      </c>
      <c r="J121" s="33">
        <f t="shared" si="51"/>
        <v>0</v>
      </c>
      <c r="K121" s="33">
        <f t="shared" si="52"/>
        <v>0</v>
      </c>
      <c r="L121" s="33">
        <f t="shared" si="53"/>
        <v>0</v>
      </c>
      <c r="M121" s="33">
        <f t="shared" si="54"/>
        <v>0</v>
      </c>
      <c r="N121" s="33">
        <f t="shared" si="40"/>
        <v>0</v>
      </c>
      <c r="O121" s="34">
        <f t="shared" si="41"/>
        <v>0</v>
      </c>
      <c r="P121" s="55">
        <v>116</v>
      </c>
      <c r="Q121" s="33">
        <f t="shared" si="49"/>
        <v>0</v>
      </c>
      <c r="R121" s="33">
        <f t="shared" si="55"/>
        <v>0</v>
      </c>
      <c r="S121" s="33">
        <f t="shared" si="56"/>
        <v>0</v>
      </c>
      <c r="T121" s="33">
        <f t="shared" si="42"/>
        <v>0</v>
      </c>
      <c r="U121" s="33">
        <f t="shared" si="50"/>
        <v>0</v>
      </c>
      <c r="V121" s="33">
        <f t="shared" si="43"/>
        <v>0</v>
      </c>
      <c r="W121" s="33">
        <v>0</v>
      </c>
      <c r="X121" s="33">
        <f t="shared" si="44"/>
        <v>0</v>
      </c>
      <c r="Y121" s="38">
        <f t="shared" si="45"/>
        <v>0</v>
      </c>
      <c r="AA121" s="71">
        <v>116</v>
      </c>
      <c r="AB121" s="33">
        <f t="shared" si="46"/>
        <v>0</v>
      </c>
      <c r="AC121" s="308">
        <f t="shared" si="64"/>
        <v>0</v>
      </c>
      <c r="AD121" s="101">
        <f t="shared" si="47"/>
        <v>0</v>
      </c>
      <c r="AE121" s="101">
        <f t="shared" si="48"/>
        <v>0</v>
      </c>
      <c r="AF121" s="197">
        <f t="shared" si="60"/>
        <v>0</v>
      </c>
      <c r="AG121" s="197">
        <f t="shared" si="61"/>
        <v>0</v>
      </c>
      <c r="AH121" s="197">
        <f t="shared" si="62"/>
        <v>0</v>
      </c>
      <c r="AI121" s="202">
        <f t="shared" si="63"/>
        <v>0</v>
      </c>
      <c r="AK121" s="71">
        <v>116</v>
      </c>
      <c r="AL121" s="33"/>
      <c r="AM121" s="33"/>
      <c r="AN121" s="33"/>
      <c r="AO121" s="33"/>
      <c r="AP121" s="33"/>
      <c r="AQ121" s="197"/>
      <c r="AR121" s="197"/>
      <c r="AS121" s="197"/>
      <c r="AT121" s="197"/>
      <c r="AU121" s="33"/>
      <c r="AV121" s="33"/>
      <c r="AW121" s="33"/>
      <c r="AX121" s="33"/>
      <c r="AY121" s="76"/>
    </row>
    <row r="122" spans="2:51">
      <c r="C122" s="136" t="s">
        <v>145</v>
      </c>
      <c r="D122" s="136" t="s">
        <v>72</v>
      </c>
      <c r="E122" s="81" t="s">
        <v>166</v>
      </c>
      <c r="I122" s="55">
        <v>117</v>
      </c>
      <c r="J122" s="33">
        <f t="shared" si="51"/>
        <v>0</v>
      </c>
      <c r="K122" s="33">
        <f t="shared" si="52"/>
        <v>0</v>
      </c>
      <c r="L122" s="33">
        <f t="shared" si="53"/>
        <v>0</v>
      </c>
      <c r="M122" s="33">
        <f t="shared" si="54"/>
        <v>0</v>
      </c>
      <c r="N122" s="33">
        <f t="shared" si="40"/>
        <v>0</v>
      </c>
      <c r="O122" s="34">
        <f t="shared" si="41"/>
        <v>0</v>
      </c>
      <c r="P122" s="55">
        <v>117</v>
      </c>
      <c r="Q122" s="33">
        <f t="shared" si="49"/>
        <v>0</v>
      </c>
      <c r="R122" s="33">
        <f t="shared" si="55"/>
        <v>0</v>
      </c>
      <c r="S122" s="33">
        <f t="shared" si="56"/>
        <v>0</v>
      </c>
      <c r="T122" s="33">
        <f t="shared" si="42"/>
        <v>0</v>
      </c>
      <c r="U122" s="33">
        <f t="shared" si="50"/>
        <v>0</v>
      </c>
      <c r="V122" s="33">
        <f t="shared" si="43"/>
        <v>0</v>
      </c>
      <c r="W122" s="33">
        <v>0</v>
      </c>
      <c r="X122" s="33">
        <f t="shared" si="44"/>
        <v>0</v>
      </c>
      <c r="Y122" s="38">
        <f t="shared" si="45"/>
        <v>0</v>
      </c>
      <c r="AA122" s="71">
        <v>117</v>
      </c>
      <c r="AB122" s="33">
        <f t="shared" si="46"/>
        <v>0</v>
      </c>
      <c r="AC122" s="308">
        <f t="shared" si="64"/>
        <v>0</v>
      </c>
      <c r="AD122" s="101">
        <f t="shared" si="47"/>
        <v>0</v>
      </c>
      <c r="AE122" s="101">
        <f t="shared" si="48"/>
        <v>0</v>
      </c>
      <c r="AF122" s="197">
        <f t="shared" si="60"/>
        <v>0</v>
      </c>
      <c r="AG122" s="197">
        <f t="shared" si="61"/>
        <v>0</v>
      </c>
      <c r="AH122" s="197">
        <f t="shared" si="62"/>
        <v>0</v>
      </c>
      <c r="AI122" s="202">
        <f t="shared" si="63"/>
        <v>0</v>
      </c>
      <c r="AK122" s="71">
        <v>117</v>
      </c>
      <c r="AL122" s="33"/>
      <c r="AM122" s="33"/>
      <c r="AN122" s="33"/>
      <c r="AO122" s="33"/>
      <c r="AP122" s="33"/>
      <c r="AQ122" s="197"/>
      <c r="AR122" s="197"/>
      <c r="AS122" s="197"/>
      <c r="AT122" s="197"/>
      <c r="AU122" s="33"/>
      <c r="AV122" s="33"/>
      <c r="AW122" s="33"/>
      <c r="AX122" s="33"/>
      <c r="AY122" s="76"/>
    </row>
    <row r="123" spans="2:51">
      <c r="B123" s="67" t="s">
        <v>168</v>
      </c>
      <c r="C123" s="82">
        <f>AY35</f>
        <v>49.879999999999995</v>
      </c>
      <c r="D123" s="307">
        <f>IF(AND(D8=B100,F12=C194),J34*50%*G107,0)</f>
        <v>0</v>
      </c>
      <c r="E123" s="78">
        <f>C123-D123</f>
        <v>49.879999999999995</v>
      </c>
      <c r="I123" s="55">
        <v>118</v>
      </c>
      <c r="J123" s="33">
        <f t="shared" si="51"/>
        <v>0</v>
      </c>
      <c r="K123" s="33">
        <f t="shared" si="52"/>
        <v>0</v>
      </c>
      <c r="L123" s="33">
        <f t="shared" si="53"/>
        <v>0</v>
      </c>
      <c r="M123" s="33">
        <f t="shared" si="54"/>
        <v>0</v>
      </c>
      <c r="N123" s="33">
        <f t="shared" si="40"/>
        <v>0</v>
      </c>
      <c r="O123" s="34">
        <f t="shared" si="41"/>
        <v>0</v>
      </c>
      <c r="P123" s="55">
        <v>118</v>
      </c>
      <c r="Q123" s="33">
        <f t="shared" si="49"/>
        <v>0</v>
      </c>
      <c r="R123" s="33">
        <f t="shared" si="55"/>
        <v>0</v>
      </c>
      <c r="S123" s="33">
        <f t="shared" si="56"/>
        <v>0</v>
      </c>
      <c r="T123" s="33">
        <f t="shared" si="42"/>
        <v>0</v>
      </c>
      <c r="U123" s="33">
        <f t="shared" si="50"/>
        <v>0</v>
      </c>
      <c r="V123" s="33">
        <f t="shared" si="43"/>
        <v>0</v>
      </c>
      <c r="W123" s="33">
        <v>0</v>
      </c>
      <c r="X123" s="33">
        <f t="shared" si="44"/>
        <v>0</v>
      </c>
      <c r="Y123" s="38">
        <f t="shared" si="45"/>
        <v>0</v>
      </c>
      <c r="AA123" s="71">
        <v>118</v>
      </c>
      <c r="AB123" s="33">
        <f t="shared" si="46"/>
        <v>0</v>
      </c>
      <c r="AC123" s="308">
        <f t="shared" si="64"/>
        <v>0</v>
      </c>
      <c r="AD123" s="101">
        <f t="shared" si="47"/>
        <v>0</v>
      </c>
      <c r="AE123" s="101">
        <f t="shared" si="48"/>
        <v>0</v>
      </c>
      <c r="AF123" s="197">
        <f t="shared" si="60"/>
        <v>0</v>
      </c>
      <c r="AG123" s="197">
        <f t="shared" si="61"/>
        <v>0</v>
      </c>
      <c r="AH123" s="197">
        <f t="shared" si="62"/>
        <v>0</v>
      </c>
      <c r="AI123" s="202">
        <f t="shared" si="63"/>
        <v>0</v>
      </c>
      <c r="AK123" s="71">
        <v>118</v>
      </c>
      <c r="AL123" s="33"/>
      <c r="AM123" s="33"/>
      <c r="AN123" s="33"/>
      <c r="AO123" s="33"/>
      <c r="AP123" s="33"/>
      <c r="AQ123" s="197"/>
      <c r="AR123" s="197"/>
      <c r="AS123" s="197"/>
      <c r="AT123" s="197"/>
      <c r="AU123" s="33"/>
      <c r="AV123" s="33"/>
      <c r="AW123" s="33"/>
      <c r="AX123" s="33"/>
      <c r="AY123" s="76"/>
    </row>
    <row r="124" spans="2:51">
      <c r="I124" s="55">
        <v>119</v>
      </c>
      <c r="J124" s="33">
        <f t="shared" si="51"/>
        <v>0</v>
      </c>
      <c r="K124" s="33">
        <f t="shared" si="52"/>
        <v>0</v>
      </c>
      <c r="L124" s="33">
        <f t="shared" si="53"/>
        <v>0</v>
      </c>
      <c r="M124" s="33">
        <f t="shared" si="54"/>
        <v>0</v>
      </c>
      <c r="N124" s="33">
        <f t="shared" si="40"/>
        <v>0</v>
      </c>
      <c r="O124" s="34">
        <f t="shared" si="41"/>
        <v>0</v>
      </c>
      <c r="P124" s="55">
        <v>119</v>
      </c>
      <c r="Q124" s="33">
        <f t="shared" si="49"/>
        <v>0</v>
      </c>
      <c r="R124" s="33">
        <f t="shared" si="55"/>
        <v>0</v>
      </c>
      <c r="S124" s="33">
        <f t="shared" si="56"/>
        <v>0</v>
      </c>
      <c r="T124" s="33">
        <f t="shared" si="42"/>
        <v>0</v>
      </c>
      <c r="U124" s="33">
        <f t="shared" si="50"/>
        <v>0</v>
      </c>
      <c r="V124" s="33">
        <f t="shared" si="43"/>
        <v>0</v>
      </c>
      <c r="W124" s="33">
        <v>0</v>
      </c>
      <c r="X124" s="33">
        <f t="shared" si="44"/>
        <v>0</v>
      </c>
      <c r="Y124" s="38">
        <f t="shared" si="45"/>
        <v>0</v>
      </c>
      <c r="AA124" s="71">
        <v>119</v>
      </c>
      <c r="AB124" s="33">
        <f t="shared" si="46"/>
        <v>0</v>
      </c>
      <c r="AC124" s="308">
        <f t="shared" si="64"/>
        <v>0</v>
      </c>
      <c r="AD124" s="101">
        <f t="shared" si="47"/>
        <v>0</v>
      </c>
      <c r="AE124" s="101">
        <f t="shared" si="48"/>
        <v>0</v>
      </c>
      <c r="AF124" s="197">
        <f t="shared" si="60"/>
        <v>0</v>
      </c>
      <c r="AG124" s="197">
        <f t="shared" si="61"/>
        <v>0</v>
      </c>
      <c r="AH124" s="197">
        <f t="shared" si="62"/>
        <v>0</v>
      </c>
      <c r="AI124" s="202">
        <f t="shared" si="63"/>
        <v>0</v>
      </c>
      <c r="AK124" s="71">
        <v>119</v>
      </c>
      <c r="AL124" s="33"/>
      <c r="AM124" s="33"/>
      <c r="AN124" s="33"/>
      <c r="AO124" s="33"/>
      <c r="AP124" s="33"/>
      <c r="AQ124" s="197"/>
      <c r="AR124" s="197"/>
      <c r="AS124" s="197"/>
      <c r="AT124" s="197"/>
      <c r="AU124" s="33"/>
      <c r="AV124" s="33"/>
      <c r="AW124" s="33"/>
      <c r="AX124" s="33"/>
      <c r="AY124" s="76"/>
    </row>
    <row r="125" spans="2:51">
      <c r="C125" s="80"/>
      <c r="D125" s="80"/>
      <c r="E125" s="83"/>
      <c r="I125" s="55">
        <v>120</v>
      </c>
      <c r="J125" s="33">
        <f t="shared" si="51"/>
        <v>0</v>
      </c>
      <c r="K125" s="33">
        <f t="shared" si="52"/>
        <v>0</v>
      </c>
      <c r="L125" s="33">
        <f t="shared" si="53"/>
        <v>0</v>
      </c>
      <c r="M125" s="33">
        <f t="shared" si="54"/>
        <v>0</v>
      </c>
      <c r="N125" s="33">
        <f t="shared" si="40"/>
        <v>0</v>
      </c>
      <c r="O125" s="34">
        <f t="shared" si="41"/>
        <v>0</v>
      </c>
      <c r="P125" s="55">
        <v>120</v>
      </c>
      <c r="Q125" s="33">
        <f t="shared" si="49"/>
        <v>0</v>
      </c>
      <c r="R125" s="33">
        <f t="shared" si="55"/>
        <v>0</v>
      </c>
      <c r="S125" s="33">
        <f t="shared" si="56"/>
        <v>0</v>
      </c>
      <c r="T125" s="33">
        <f t="shared" si="42"/>
        <v>0</v>
      </c>
      <c r="U125" s="33">
        <f t="shared" si="50"/>
        <v>0</v>
      </c>
      <c r="V125" s="33">
        <f t="shared" si="43"/>
        <v>0</v>
      </c>
      <c r="W125" s="33">
        <v>0</v>
      </c>
      <c r="X125" s="33">
        <f t="shared" si="44"/>
        <v>0</v>
      </c>
      <c r="Y125" s="38">
        <f t="shared" si="45"/>
        <v>0</v>
      </c>
      <c r="AA125" s="71">
        <v>120</v>
      </c>
      <c r="AB125" s="33">
        <f t="shared" si="46"/>
        <v>0</v>
      </c>
      <c r="AC125" s="308">
        <f t="shared" si="64"/>
        <v>0</v>
      </c>
      <c r="AD125" s="101">
        <f t="shared" si="47"/>
        <v>0</v>
      </c>
      <c r="AE125" s="101">
        <f t="shared" si="48"/>
        <v>0</v>
      </c>
      <c r="AF125" s="197">
        <f t="shared" si="60"/>
        <v>0</v>
      </c>
      <c r="AG125" s="197">
        <f t="shared" si="61"/>
        <v>0</v>
      </c>
      <c r="AH125" s="197">
        <f t="shared" si="62"/>
        <v>0</v>
      </c>
      <c r="AI125" s="202">
        <f t="shared" si="63"/>
        <v>0</v>
      </c>
      <c r="AK125" s="71">
        <v>120</v>
      </c>
      <c r="AL125" s="33"/>
      <c r="AM125" s="33"/>
      <c r="AN125" s="33"/>
      <c r="AO125" s="33"/>
      <c r="AP125" s="33"/>
      <c r="AQ125" s="197"/>
      <c r="AR125" s="197"/>
      <c r="AS125" s="197"/>
      <c r="AT125" s="197"/>
      <c r="AU125" s="33"/>
      <c r="AV125" s="33"/>
      <c r="AW125" s="33"/>
      <c r="AX125" s="33"/>
      <c r="AY125" s="76"/>
    </row>
    <row r="126" spans="2:51">
      <c r="C126" s="84" t="s">
        <v>129</v>
      </c>
      <c r="D126" s="84" t="s">
        <v>130</v>
      </c>
      <c r="E126" s="84" t="s">
        <v>160</v>
      </c>
      <c r="F126" s="160" t="s">
        <v>170</v>
      </c>
      <c r="I126" s="55">
        <v>121</v>
      </c>
      <c r="J126" s="33">
        <f t="shared" si="51"/>
        <v>0</v>
      </c>
      <c r="K126" s="33">
        <f t="shared" si="52"/>
        <v>0</v>
      </c>
      <c r="L126" s="33">
        <f t="shared" si="53"/>
        <v>0</v>
      </c>
      <c r="M126" s="33">
        <f t="shared" si="54"/>
        <v>0</v>
      </c>
      <c r="N126" s="33">
        <f t="shared" si="40"/>
        <v>0</v>
      </c>
      <c r="O126" s="34">
        <f t="shared" si="41"/>
        <v>0</v>
      </c>
      <c r="P126" s="55">
        <v>121</v>
      </c>
      <c r="Q126" s="33">
        <f t="shared" si="49"/>
        <v>0</v>
      </c>
      <c r="R126" s="33">
        <f t="shared" si="55"/>
        <v>0</v>
      </c>
      <c r="S126" s="33">
        <f t="shared" si="56"/>
        <v>0</v>
      </c>
      <c r="T126" s="33">
        <f t="shared" si="42"/>
        <v>0</v>
      </c>
      <c r="U126" s="33">
        <f t="shared" si="50"/>
        <v>0</v>
      </c>
      <c r="V126" s="33">
        <f t="shared" si="43"/>
        <v>0</v>
      </c>
      <c r="W126" s="33">
        <v>0</v>
      </c>
      <c r="X126" s="33">
        <f t="shared" si="44"/>
        <v>0</v>
      </c>
      <c r="Y126" s="38">
        <f t="shared" si="45"/>
        <v>0</v>
      </c>
      <c r="AA126" s="71">
        <v>121</v>
      </c>
      <c r="AB126" s="33">
        <f t="shared" si="46"/>
        <v>0</v>
      </c>
      <c r="AC126" s="308">
        <f t="shared" si="64"/>
        <v>0</v>
      </c>
      <c r="AD126" s="101">
        <f t="shared" si="47"/>
        <v>0</v>
      </c>
      <c r="AE126" s="101">
        <f t="shared" si="48"/>
        <v>0</v>
      </c>
      <c r="AF126" s="197">
        <f t="shared" si="60"/>
        <v>0</v>
      </c>
      <c r="AG126" s="197">
        <f t="shared" si="61"/>
        <v>0</v>
      </c>
      <c r="AH126" s="197">
        <f t="shared" si="62"/>
        <v>0</v>
      </c>
      <c r="AI126" s="202">
        <f t="shared" si="63"/>
        <v>0</v>
      </c>
      <c r="AK126" s="71">
        <v>121</v>
      </c>
      <c r="AL126" s="33"/>
      <c r="AM126" s="33"/>
      <c r="AN126" s="33"/>
      <c r="AO126" s="33"/>
      <c r="AP126" s="33"/>
      <c r="AQ126" s="197"/>
      <c r="AR126" s="197"/>
      <c r="AS126" s="197"/>
      <c r="AT126" s="197"/>
      <c r="AU126" s="33"/>
      <c r="AV126" s="33"/>
      <c r="AW126" s="33"/>
      <c r="AX126" s="33"/>
      <c r="AY126" s="76"/>
    </row>
    <row r="127" spans="2:51">
      <c r="C127" s="82">
        <f>IF(F18&gt;30,MIN(E113:E114),E113)</f>
        <v>315.35360341859808</v>
      </c>
      <c r="D127" s="82">
        <f>MIN(E118:E119)</f>
        <v>15.495574602478504</v>
      </c>
      <c r="E127" s="85">
        <f>E123</f>
        <v>49.879999999999995</v>
      </c>
      <c r="F127" s="86">
        <f>SUM(C127:E127)</f>
        <v>380.72917802107656</v>
      </c>
      <c r="I127" s="55">
        <v>122</v>
      </c>
      <c r="J127" s="33">
        <f t="shared" si="51"/>
        <v>0</v>
      </c>
      <c r="K127" s="33">
        <f t="shared" si="52"/>
        <v>0</v>
      </c>
      <c r="L127" s="33">
        <f t="shared" si="53"/>
        <v>0</v>
      </c>
      <c r="M127" s="33">
        <f t="shared" si="54"/>
        <v>0</v>
      </c>
      <c r="N127" s="33">
        <f t="shared" si="40"/>
        <v>0</v>
      </c>
      <c r="O127" s="34">
        <f t="shared" si="41"/>
        <v>0</v>
      </c>
      <c r="P127" s="55">
        <v>122</v>
      </c>
      <c r="Q127" s="33">
        <f t="shared" si="49"/>
        <v>0</v>
      </c>
      <c r="R127" s="33">
        <f t="shared" si="55"/>
        <v>0</v>
      </c>
      <c r="S127" s="33">
        <f t="shared" si="56"/>
        <v>0</v>
      </c>
      <c r="T127" s="33">
        <f t="shared" si="42"/>
        <v>0</v>
      </c>
      <c r="U127" s="33">
        <f t="shared" si="50"/>
        <v>0</v>
      </c>
      <c r="V127" s="33">
        <f t="shared" si="43"/>
        <v>0</v>
      </c>
      <c r="W127" s="33">
        <v>0</v>
      </c>
      <c r="X127" s="33">
        <f t="shared" si="44"/>
        <v>0</v>
      </c>
      <c r="Y127" s="38">
        <f t="shared" si="45"/>
        <v>0</v>
      </c>
      <c r="AA127" s="71">
        <v>122</v>
      </c>
      <c r="AB127" s="33">
        <f t="shared" si="46"/>
        <v>0</v>
      </c>
      <c r="AC127" s="308">
        <f t="shared" si="64"/>
        <v>0</v>
      </c>
      <c r="AD127" s="101">
        <f t="shared" si="47"/>
        <v>0</v>
      </c>
      <c r="AE127" s="101">
        <f t="shared" si="48"/>
        <v>0</v>
      </c>
      <c r="AF127" s="197">
        <f t="shared" si="60"/>
        <v>0</v>
      </c>
      <c r="AG127" s="197">
        <f t="shared" si="61"/>
        <v>0</v>
      </c>
      <c r="AH127" s="197">
        <f t="shared" si="62"/>
        <v>0</v>
      </c>
      <c r="AI127" s="202">
        <f t="shared" si="63"/>
        <v>0</v>
      </c>
      <c r="AK127" s="71">
        <v>122</v>
      </c>
      <c r="AL127" s="33"/>
      <c r="AM127" s="33"/>
      <c r="AN127" s="33"/>
      <c r="AO127" s="33"/>
      <c r="AP127" s="33"/>
      <c r="AQ127" s="197"/>
      <c r="AR127" s="197"/>
      <c r="AS127" s="197"/>
      <c r="AT127" s="197"/>
      <c r="AU127" s="33"/>
      <c r="AV127" s="33"/>
      <c r="AW127" s="33"/>
      <c r="AX127" s="33"/>
      <c r="AY127" s="76"/>
    </row>
    <row r="128" spans="2:51">
      <c r="E128" s="24"/>
      <c r="I128" s="55">
        <v>123</v>
      </c>
      <c r="J128" s="33">
        <f t="shared" si="51"/>
        <v>0</v>
      </c>
      <c r="K128" s="33">
        <f t="shared" si="52"/>
        <v>0</v>
      </c>
      <c r="L128" s="33">
        <f t="shared" si="53"/>
        <v>0</v>
      </c>
      <c r="M128" s="33">
        <f t="shared" si="54"/>
        <v>0</v>
      </c>
      <c r="N128" s="33">
        <f t="shared" si="40"/>
        <v>0</v>
      </c>
      <c r="O128" s="34">
        <f t="shared" si="41"/>
        <v>0</v>
      </c>
      <c r="P128" s="55">
        <v>123</v>
      </c>
      <c r="Q128" s="33">
        <f t="shared" si="49"/>
        <v>0</v>
      </c>
      <c r="R128" s="33">
        <f t="shared" si="55"/>
        <v>0</v>
      </c>
      <c r="S128" s="33">
        <f t="shared" si="56"/>
        <v>0</v>
      </c>
      <c r="T128" s="33">
        <f t="shared" si="42"/>
        <v>0</v>
      </c>
      <c r="U128" s="33">
        <f t="shared" si="50"/>
        <v>0</v>
      </c>
      <c r="V128" s="33">
        <f t="shared" si="43"/>
        <v>0</v>
      </c>
      <c r="W128" s="33">
        <v>0</v>
      </c>
      <c r="X128" s="33">
        <f t="shared" si="44"/>
        <v>0</v>
      </c>
      <c r="Y128" s="38">
        <f t="shared" si="45"/>
        <v>0</v>
      </c>
      <c r="AA128" s="71">
        <v>123</v>
      </c>
      <c r="AB128" s="33">
        <f t="shared" si="46"/>
        <v>0</v>
      </c>
      <c r="AC128" s="308">
        <f t="shared" si="64"/>
        <v>0</v>
      </c>
      <c r="AD128" s="101">
        <f t="shared" si="47"/>
        <v>0</v>
      </c>
      <c r="AE128" s="101">
        <f t="shared" si="48"/>
        <v>0</v>
      </c>
      <c r="AF128" s="197">
        <f t="shared" si="60"/>
        <v>0</v>
      </c>
      <c r="AG128" s="197">
        <f t="shared" si="61"/>
        <v>0</v>
      </c>
      <c r="AH128" s="197">
        <f t="shared" si="62"/>
        <v>0</v>
      </c>
      <c r="AI128" s="202">
        <f t="shared" si="63"/>
        <v>0</v>
      </c>
      <c r="AK128" s="71">
        <v>123</v>
      </c>
      <c r="AL128" s="33"/>
      <c r="AM128" s="33"/>
      <c r="AN128" s="33"/>
      <c r="AO128" s="33"/>
      <c r="AP128" s="33"/>
      <c r="AQ128" s="197"/>
      <c r="AR128" s="197"/>
      <c r="AS128" s="197"/>
      <c r="AT128" s="197"/>
      <c r="AU128" s="33"/>
      <c r="AV128" s="33"/>
      <c r="AW128" s="33"/>
      <c r="AX128" s="33"/>
      <c r="AY128" s="76"/>
    </row>
    <row r="129" spans="3:51">
      <c r="E129" s="24"/>
      <c r="I129" s="55">
        <v>124</v>
      </c>
      <c r="J129" s="33">
        <f t="shared" si="51"/>
        <v>0</v>
      </c>
      <c r="K129" s="33">
        <f t="shared" si="52"/>
        <v>0</v>
      </c>
      <c r="L129" s="33">
        <f t="shared" si="53"/>
        <v>0</v>
      </c>
      <c r="M129" s="33">
        <f t="shared" si="54"/>
        <v>0</v>
      </c>
      <c r="N129" s="33">
        <f t="shared" si="40"/>
        <v>0</v>
      </c>
      <c r="O129" s="34">
        <f t="shared" si="41"/>
        <v>0</v>
      </c>
      <c r="P129" s="55">
        <v>124</v>
      </c>
      <c r="Q129" s="33">
        <f t="shared" si="49"/>
        <v>0</v>
      </c>
      <c r="R129" s="33">
        <f t="shared" si="55"/>
        <v>0</v>
      </c>
      <c r="S129" s="33">
        <f t="shared" si="56"/>
        <v>0</v>
      </c>
      <c r="T129" s="33">
        <f t="shared" si="42"/>
        <v>0</v>
      </c>
      <c r="U129" s="33">
        <f t="shared" si="50"/>
        <v>0</v>
      </c>
      <c r="V129" s="33">
        <f t="shared" si="43"/>
        <v>0</v>
      </c>
      <c r="W129" s="33">
        <v>0</v>
      </c>
      <c r="X129" s="33">
        <f t="shared" si="44"/>
        <v>0</v>
      </c>
      <c r="Y129" s="38">
        <f t="shared" si="45"/>
        <v>0</v>
      </c>
      <c r="AA129" s="71">
        <v>124</v>
      </c>
      <c r="AB129" s="33">
        <f t="shared" si="46"/>
        <v>0</v>
      </c>
      <c r="AC129" s="308">
        <f t="shared" si="64"/>
        <v>0</v>
      </c>
      <c r="AD129" s="101">
        <f t="shared" si="47"/>
        <v>0</v>
      </c>
      <c r="AE129" s="101">
        <f t="shared" si="48"/>
        <v>0</v>
      </c>
      <c r="AF129" s="197">
        <f t="shared" si="60"/>
        <v>0</v>
      </c>
      <c r="AG129" s="197">
        <f t="shared" si="61"/>
        <v>0</v>
      </c>
      <c r="AH129" s="197">
        <f t="shared" si="62"/>
        <v>0</v>
      </c>
      <c r="AI129" s="202">
        <f t="shared" si="63"/>
        <v>0</v>
      </c>
      <c r="AK129" s="71">
        <v>124</v>
      </c>
      <c r="AL129" s="33"/>
      <c r="AM129" s="33"/>
      <c r="AN129" s="33"/>
      <c r="AO129" s="33"/>
      <c r="AP129" s="33"/>
      <c r="AQ129" s="197"/>
      <c r="AR129" s="197"/>
      <c r="AS129" s="197"/>
      <c r="AT129" s="197"/>
      <c r="AU129" s="33"/>
      <c r="AV129" s="33"/>
      <c r="AW129" s="33"/>
      <c r="AX129" s="33"/>
      <c r="AY129" s="76"/>
    </row>
    <row r="130" spans="3:51" ht="30">
      <c r="C130" s="3" t="s">
        <v>5</v>
      </c>
      <c r="D130" s="3" t="s">
        <v>6</v>
      </c>
      <c r="E130" s="191" t="s">
        <v>227</v>
      </c>
      <c r="I130" s="55">
        <v>125</v>
      </c>
      <c r="J130" s="33">
        <f t="shared" si="51"/>
        <v>0</v>
      </c>
      <c r="K130" s="33">
        <f t="shared" si="52"/>
        <v>0</v>
      </c>
      <c r="L130" s="33">
        <f t="shared" si="53"/>
        <v>0</v>
      </c>
      <c r="M130" s="33">
        <f t="shared" si="54"/>
        <v>0</v>
      </c>
      <c r="N130" s="33">
        <f t="shared" si="40"/>
        <v>0</v>
      </c>
      <c r="O130" s="34">
        <f t="shared" si="41"/>
        <v>0</v>
      </c>
      <c r="P130" s="55">
        <v>125</v>
      </c>
      <c r="Q130" s="33">
        <f t="shared" si="49"/>
        <v>0</v>
      </c>
      <c r="R130" s="33">
        <f t="shared" si="55"/>
        <v>0</v>
      </c>
      <c r="S130" s="33">
        <f t="shared" si="56"/>
        <v>0</v>
      </c>
      <c r="T130" s="33">
        <f t="shared" si="42"/>
        <v>0</v>
      </c>
      <c r="U130" s="33">
        <f t="shared" si="50"/>
        <v>0</v>
      </c>
      <c r="V130" s="33">
        <f t="shared" si="43"/>
        <v>0</v>
      </c>
      <c r="W130" s="33">
        <v>0</v>
      </c>
      <c r="X130" s="33">
        <f t="shared" si="44"/>
        <v>0</v>
      </c>
      <c r="Y130" s="38">
        <f t="shared" si="45"/>
        <v>0</v>
      </c>
      <c r="AA130" s="71">
        <v>125</v>
      </c>
      <c r="AB130" s="33">
        <f t="shared" si="46"/>
        <v>0</v>
      </c>
      <c r="AC130" s="308">
        <f t="shared" si="64"/>
        <v>0</v>
      </c>
      <c r="AD130" s="101">
        <f t="shared" si="47"/>
        <v>0</v>
      </c>
      <c r="AE130" s="101">
        <f t="shared" si="48"/>
        <v>0</v>
      </c>
      <c r="AF130" s="197">
        <f t="shared" si="60"/>
        <v>0</v>
      </c>
      <c r="AG130" s="197">
        <f t="shared" si="61"/>
        <v>0</v>
      </c>
      <c r="AH130" s="197">
        <f t="shared" si="62"/>
        <v>0</v>
      </c>
      <c r="AI130" s="202">
        <f t="shared" si="63"/>
        <v>0</v>
      </c>
      <c r="AK130" s="71">
        <v>125</v>
      </c>
      <c r="AL130" s="33"/>
      <c r="AM130" s="33"/>
      <c r="AN130" s="33"/>
      <c r="AO130" s="33"/>
      <c r="AP130" s="33"/>
      <c r="AQ130" s="197"/>
      <c r="AR130" s="197"/>
      <c r="AS130" s="197"/>
      <c r="AT130" s="197"/>
      <c r="AU130" s="33"/>
      <c r="AV130" s="33"/>
      <c r="AW130" s="33"/>
      <c r="AX130" s="33"/>
      <c r="AY130" s="76"/>
    </row>
    <row r="131" spans="3:51">
      <c r="C131" s="169" t="s">
        <v>7</v>
      </c>
      <c r="D131" s="4">
        <v>0.62</v>
      </c>
      <c r="E131" s="191" t="s">
        <v>228</v>
      </c>
      <c r="I131" s="55">
        <v>126</v>
      </c>
      <c r="J131" s="33">
        <f t="shared" si="51"/>
        <v>0</v>
      </c>
      <c r="K131" s="33">
        <f t="shared" si="52"/>
        <v>0</v>
      </c>
      <c r="L131" s="33">
        <f t="shared" si="53"/>
        <v>0</v>
      </c>
      <c r="M131" s="33">
        <f t="shared" si="54"/>
        <v>0</v>
      </c>
      <c r="N131" s="33">
        <f t="shared" si="40"/>
        <v>0</v>
      </c>
      <c r="O131" s="34">
        <f t="shared" si="41"/>
        <v>0</v>
      </c>
      <c r="P131" s="55">
        <v>126</v>
      </c>
      <c r="Q131" s="33">
        <f t="shared" si="49"/>
        <v>0</v>
      </c>
      <c r="R131" s="33">
        <f t="shared" si="55"/>
        <v>0</v>
      </c>
      <c r="S131" s="33">
        <f t="shared" si="56"/>
        <v>0</v>
      </c>
      <c r="T131" s="33">
        <f t="shared" si="42"/>
        <v>0</v>
      </c>
      <c r="U131" s="33">
        <f t="shared" si="50"/>
        <v>0</v>
      </c>
      <c r="V131" s="33">
        <f t="shared" si="43"/>
        <v>0</v>
      </c>
      <c r="W131" s="33">
        <v>0</v>
      </c>
      <c r="X131" s="33">
        <f t="shared" si="44"/>
        <v>0</v>
      </c>
      <c r="Y131" s="38">
        <f t="shared" si="45"/>
        <v>0</v>
      </c>
      <c r="AA131" s="71">
        <v>126</v>
      </c>
      <c r="AB131" s="33">
        <f t="shared" si="46"/>
        <v>0</v>
      </c>
      <c r="AC131" s="308">
        <f t="shared" si="64"/>
        <v>0</v>
      </c>
      <c r="AD131" s="101">
        <f t="shared" si="47"/>
        <v>0</v>
      </c>
      <c r="AE131" s="101">
        <f t="shared" si="48"/>
        <v>0</v>
      </c>
      <c r="AF131" s="197">
        <f t="shared" si="60"/>
        <v>0</v>
      </c>
      <c r="AG131" s="197">
        <f t="shared" si="61"/>
        <v>0</v>
      </c>
      <c r="AH131" s="197">
        <f t="shared" si="62"/>
        <v>0</v>
      </c>
      <c r="AI131" s="202">
        <f t="shared" si="63"/>
        <v>0</v>
      </c>
      <c r="AK131" s="71">
        <v>126</v>
      </c>
      <c r="AL131" s="33"/>
      <c r="AM131" s="33"/>
      <c r="AN131" s="33"/>
      <c r="AO131" s="33"/>
      <c r="AP131" s="33"/>
      <c r="AQ131" s="197"/>
      <c r="AR131" s="197"/>
      <c r="AS131" s="197"/>
      <c r="AT131" s="197"/>
      <c r="AU131" s="33"/>
      <c r="AV131" s="33"/>
      <c r="AW131" s="33"/>
      <c r="AX131" s="33"/>
      <c r="AY131" s="76"/>
    </row>
    <row r="132" spans="3:51">
      <c r="C132" s="169" t="s">
        <v>4</v>
      </c>
      <c r="D132" s="4">
        <v>0.64</v>
      </c>
      <c r="E132" s="191" t="s">
        <v>228</v>
      </c>
      <c r="I132" s="55">
        <v>127</v>
      </c>
      <c r="J132" s="33">
        <f t="shared" si="51"/>
        <v>0</v>
      </c>
      <c r="K132" s="33">
        <f t="shared" si="52"/>
        <v>0</v>
      </c>
      <c r="L132" s="33">
        <f t="shared" si="53"/>
        <v>0</v>
      </c>
      <c r="M132" s="33">
        <f t="shared" si="54"/>
        <v>0</v>
      </c>
      <c r="N132" s="33">
        <f t="shared" si="40"/>
        <v>0</v>
      </c>
      <c r="O132" s="34">
        <f t="shared" si="41"/>
        <v>0</v>
      </c>
      <c r="P132" s="55">
        <v>127</v>
      </c>
      <c r="Q132" s="33">
        <f t="shared" si="49"/>
        <v>0</v>
      </c>
      <c r="R132" s="33">
        <f t="shared" si="55"/>
        <v>0</v>
      </c>
      <c r="S132" s="33">
        <f t="shared" si="56"/>
        <v>0</v>
      </c>
      <c r="T132" s="33">
        <f t="shared" si="42"/>
        <v>0</v>
      </c>
      <c r="U132" s="33">
        <f t="shared" si="50"/>
        <v>0</v>
      </c>
      <c r="V132" s="33">
        <f t="shared" si="43"/>
        <v>0</v>
      </c>
      <c r="W132" s="33">
        <v>0</v>
      </c>
      <c r="X132" s="33">
        <f t="shared" si="44"/>
        <v>0</v>
      </c>
      <c r="Y132" s="38">
        <f t="shared" si="45"/>
        <v>0</v>
      </c>
      <c r="AA132" s="71">
        <v>127</v>
      </c>
      <c r="AB132" s="33">
        <f t="shared" si="46"/>
        <v>0</v>
      </c>
      <c r="AC132" s="308">
        <f t="shared" si="64"/>
        <v>0</v>
      </c>
      <c r="AD132" s="101">
        <f t="shared" si="47"/>
        <v>0</v>
      </c>
      <c r="AE132" s="101">
        <f t="shared" si="48"/>
        <v>0</v>
      </c>
      <c r="AF132" s="197">
        <f t="shared" si="60"/>
        <v>0</v>
      </c>
      <c r="AG132" s="197">
        <f t="shared" si="61"/>
        <v>0</v>
      </c>
      <c r="AH132" s="197">
        <f t="shared" si="62"/>
        <v>0</v>
      </c>
      <c r="AI132" s="202">
        <f t="shared" si="63"/>
        <v>0</v>
      </c>
      <c r="AK132" s="71">
        <v>127</v>
      </c>
      <c r="AL132" s="33"/>
      <c r="AM132" s="33"/>
      <c r="AN132" s="33"/>
      <c r="AO132" s="33"/>
      <c r="AP132" s="33"/>
      <c r="AQ132" s="197"/>
      <c r="AR132" s="197"/>
      <c r="AS132" s="197"/>
      <c r="AT132" s="197"/>
      <c r="AU132" s="33"/>
      <c r="AV132" s="33"/>
      <c r="AW132" s="33"/>
      <c r="AX132" s="33"/>
      <c r="AY132" s="76"/>
    </row>
    <row r="133" spans="3:51">
      <c r="C133" s="169" t="s">
        <v>8</v>
      </c>
      <c r="D133" s="4">
        <v>0.42</v>
      </c>
      <c r="E133" s="191" t="s">
        <v>228</v>
      </c>
      <c r="I133" s="55">
        <v>128</v>
      </c>
      <c r="J133" s="33">
        <f t="shared" si="51"/>
        <v>0</v>
      </c>
      <c r="K133" s="33">
        <f t="shared" si="52"/>
        <v>0</v>
      </c>
      <c r="L133" s="33">
        <f t="shared" si="53"/>
        <v>0</v>
      </c>
      <c r="M133" s="33">
        <f t="shared" si="54"/>
        <v>0</v>
      </c>
      <c r="N133" s="33">
        <f t="shared" ref="N133:N196" si="65">IF(P134&lt;=$F$18,0,)</f>
        <v>0</v>
      </c>
      <c r="O133" s="34">
        <f t="shared" ref="O133:O196" si="66">((J133+K133)*0.475+L133+M133+N133)*44/12</f>
        <v>0</v>
      </c>
      <c r="P133" s="55">
        <v>128</v>
      </c>
      <c r="Q133" s="33">
        <f t="shared" si="49"/>
        <v>0</v>
      </c>
      <c r="R133" s="33">
        <f t="shared" si="55"/>
        <v>0</v>
      </c>
      <c r="S133" s="33">
        <f t="shared" si="56"/>
        <v>0</v>
      </c>
      <c r="T133" s="33">
        <f t="shared" ref="T133:T196" si="67">IF(S133=0,0,EXP(-1.0587+0.8836*LN(S133)+0.284))</f>
        <v>0</v>
      </c>
      <c r="U133" s="33">
        <f t="shared" si="50"/>
        <v>0</v>
      </c>
      <c r="V133" s="33">
        <f t="shared" ref="V133:V196" si="68">IF(P133&lt;=$F$18,IF(P133&lt;=30,P133*($F$16-$F$6)/30,$F$16-$F$6),)</f>
        <v>0</v>
      </c>
      <c r="W133" s="33">
        <v>0</v>
      </c>
      <c r="X133" s="33">
        <f t="shared" ref="X133:X196" si="69">((S133+T133)*0.475+U133+V133+W133)*44/12</f>
        <v>0</v>
      </c>
      <c r="Y133" s="38">
        <f t="shared" ref="Y133:Y196" si="70">IF(P133&lt;=$F$18,X133-O133,)</f>
        <v>0</v>
      </c>
      <c r="AA133" s="71">
        <v>128</v>
      </c>
      <c r="AB133" s="33">
        <f t="shared" ref="AB133:AB196" si="71">IF(AA133&lt;=$F$18,IFERROR(VLOOKUP($AA133,$B$82:$G$94,2,FALSE),0),)</f>
        <v>0</v>
      </c>
      <c r="AC133" s="308">
        <f t="shared" si="64"/>
        <v>0</v>
      </c>
      <c r="AD133" s="101">
        <f t="shared" ref="AD133:AD196" si="72">IF(AA133&lt;=$F$18,IFERROR(VLOOKUP($AA133,$B$82:$G$94,4,FALSE),0),)</f>
        <v>0</v>
      </c>
      <c r="AE133" s="101">
        <f t="shared" ref="AE133:AE196" si="73">IF(AA133&lt;=$F$18,IFERROR(VLOOKUP($AA133,$B$82:$G$94,5,FALSE),0),)</f>
        <v>0</v>
      </c>
      <c r="AF133" s="197">
        <f t="shared" si="60"/>
        <v>0</v>
      </c>
      <c r="AG133" s="197">
        <f t="shared" si="61"/>
        <v>0</v>
      </c>
      <c r="AH133" s="197">
        <f t="shared" si="62"/>
        <v>0</v>
      </c>
      <c r="AI133" s="202">
        <f t="shared" si="63"/>
        <v>0</v>
      </c>
      <c r="AK133" s="71">
        <v>128</v>
      </c>
      <c r="AL133" s="33"/>
      <c r="AM133" s="33"/>
      <c r="AN133" s="33"/>
      <c r="AO133" s="33"/>
      <c r="AP133" s="33"/>
      <c r="AQ133" s="197"/>
      <c r="AR133" s="197"/>
      <c r="AS133" s="197"/>
      <c r="AT133" s="197"/>
      <c r="AU133" s="33"/>
      <c r="AV133" s="33"/>
      <c r="AW133" s="33"/>
      <c r="AX133" s="33"/>
      <c r="AY133" s="76"/>
    </row>
    <row r="134" spans="3:51">
      <c r="C134" s="169" t="s">
        <v>9</v>
      </c>
      <c r="D134" s="4">
        <v>0.42</v>
      </c>
      <c r="E134" s="191" t="s">
        <v>228</v>
      </c>
      <c r="I134" s="55">
        <v>129</v>
      </c>
      <c r="J134" s="33">
        <f t="shared" si="51"/>
        <v>0</v>
      </c>
      <c r="K134" s="33">
        <f t="shared" si="52"/>
        <v>0</v>
      </c>
      <c r="L134" s="33">
        <f t="shared" si="53"/>
        <v>0</v>
      </c>
      <c r="M134" s="33">
        <f t="shared" si="54"/>
        <v>0</v>
      </c>
      <c r="N134" s="33">
        <f t="shared" si="65"/>
        <v>0</v>
      </c>
      <c r="O134" s="34">
        <f t="shared" si="66"/>
        <v>0</v>
      </c>
      <c r="P134" s="55">
        <v>129</v>
      </c>
      <c r="Q134" s="33">
        <f t="shared" ref="Q134:Q197" si="74">IF(P134&lt;=$F$18,LOOKUP(P134-1,$B$25:$B$78,$G$25:$G$78),)</f>
        <v>0</v>
      </c>
      <c r="R134" s="33">
        <f t="shared" si="55"/>
        <v>0</v>
      </c>
      <c r="S134" s="33">
        <f t="shared" si="56"/>
        <v>0</v>
      </c>
      <c r="T134" s="33">
        <f t="shared" si="67"/>
        <v>0</v>
      </c>
      <c r="U134" s="33">
        <f t="shared" ref="U134:U197" si="75">IF(P134&lt;=$F$18,$F$5+($F$15-$F$5)*(1-EXP(-0.0175*P134)),)</f>
        <v>0</v>
      </c>
      <c r="V134" s="33">
        <f t="shared" si="68"/>
        <v>0</v>
      </c>
      <c r="W134" s="33">
        <v>0</v>
      </c>
      <c r="X134" s="33">
        <f t="shared" si="69"/>
        <v>0</v>
      </c>
      <c r="Y134" s="38">
        <f t="shared" si="70"/>
        <v>0</v>
      </c>
      <c r="AA134" s="71">
        <v>129</v>
      </c>
      <c r="AB134" s="33">
        <f t="shared" si="71"/>
        <v>0</v>
      </c>
      <c r="AC134" s="308">
        <f t="shared" si="64"/>
        <v>0</v>
      </c>
      <c r="AD134" s="101">
        <f t="shared" si="72"/>
        <v>0</v>
      </c>
      <c r="AE134" s="101">
        <f t="shared" si="73"/>
        <v>0</v>
      </c>
      <c r="AF134" s="197">
        <f t="shared" si="60"/>
        <v>0</v>
      </c>
      <c r="AG134" s="197">
        <f t="shared" si="61"/>
        <v>0</v>
      </c>
      <c r="AH134" s="197">
        <f t="shared" si="62"/>
        <v>0</v>
      </c>
      <c r="AI134" s="202">
        <f t="shared" si="63"/>
        <v>0</v>
      </c>
      <c r="AK134" s="71">
        <v>129</v>
      </c>
      <c r="AL134" s="33"/>
      <c r="AM134" s="33"/>
      <c r="AN134" s="33"/>
      <c r="AO134" s="33"/>
      <c r="AP134" s="33"/>
      <c r="AQ134" s="197"/>
      <c r="AR134" s="197"/>
      <c r="AS134" s="197"/>
      <c r="AT134" s="197"/>
      <c r="AU134" s="33"/>
      <c r="AV134" s="33"/>
      <c r="AW134" s="33"/>
      <c r="AX134" s="33"/>
      <c r="AY134" s="76"/>
    </row>
    <row r="135" spans="3:51">
      <c r="C135" s="169" t="s">
        <v>10</v>
      </c>
      <c r="D135" s="4">
        <v>0.52</v>
      </c>
      <c r="E135" s="191" t="s">
        <v>228</v>
      </c>
      <c r="I135" s="55">
        <v>130</v>
      </c>
      <c r="J135" s="33">
        <f t="shared" ref="J135:J198" si="76">IF($I135&lt;=$F$10,$F$11*$F$13+J134,)</f>
        <v>0</v>
      </c>
      <c r="K135" s="33">
        <f t="shared" ref="K135:K198" si="77">IF(J135=0,0,EXP(-1.0587+0.8836*LN(J135)+0.284))</f>
        <v>0</v>
      </c>
      <c r="L135" s="33">
        <f t="shared" ref="L135:L198" si="78">IF(I135&lt;=$F$10,$F$5+($F$8-$F$5)*(1-EXP(-0.0175*I135)),)</f>
        <v>0</v>
      </c>
      <c r="M135" s="33">
        <f t="shared" ref="M135:M198" si="79">IF(I135&lt;=$F$10,IF(I135&lt;=30,I135*($F$9-$F$6)/30,$F$9-$F$6),)</f>
        <v>0</v>
      </c>
      <c r="N135" s="33">
        <f t="shared" si="65"/>
        <v>0</v>
      </c>
      <c r="O135" s="34">
        <f t="shared" si="66"/>
        <v>0</v>
      </c>
      <c r="P135" s="55">
        <v>130</v>
      </c>
      <c r="Q135" s="33">
        <f t="shared" si="74"/>
        <v>0</v>
      </c>
      <c r="R135" s="33">
        <f t="shared" ref="R135:R198" si="80">IF(P135&lt;=$F$18,Q135+R134,)</f>
        <v>0</v>
      </c>
      <c r="S135" s="33">
        <f t="shared" ref="S135:S198" si="81">$F$19*R135</f>
        <v>0</v>
      </c>
      <c r="T135" s="33">
        <f t="shared" si="67"/>
        <v>0</v>
      </c>
      <c r="U135" s="33">
        <f t="shared" si="75"/>
        <v>0</v>
      </c>
      <c r="V135" s="33">
        <f t="shared" si="68"/>
        <v>0</v>
      </c>
      <c r="W135" s="33">
        <v>0</v>
      </c>
      <c r="X135" s="33">
        <f t="shared" si="69"/>
        <v>0</v>
      </c>
      <c r="Y135" s="38">
        <f t="shared" si="70"/>
        <v>0</v>
      </c>
      <c r="AA135" s="71">
        <v>130</v>
      </c>
      <c r="AB135" s="33">
        <f t="shared" si="71"/>
        <v>0</v>
      </c>
      <c r="AC135" s="308">
        <f t="shared" si="64"/>
        <v>0</v>
      </c>
      <c r="AD135" s="101">
        <f t="shared" si="72"/>
        <v>0</v>
      </c>
      <c r="AE135" s="101">
        <f t="shared" si="73"/>
        <v>0</v>
      </c>
      <c r="AF135" s="197">
        <f t="shared" si="60"/>
        <v>0</v>
      </c>
      <c r="AG135" s="197">
        <f t="shared" si="61"/>
        <v>0</v>
      </c>
      <c r="AH135" s="197">
        <f t="shared" si="62"/>
        <v>0</v>
      </c>
      <c r="AI135" s="202">
        <f t="shared" si="63"/>
        <v>0</v>
      </c>
      <c r="AK135" s="71">
        <v>130</v>
      </c>
      <c r="AL135" s="33"/>
      <c r="AM135" s="33"/>
      <c r="AN135" s="33"/>
      <c r="AO135" s="33"/>
      <c r="AP135" s="33"/>
      <c r="AQ135" s="197"/>
      <c r="AR135" s="197"/>
      <c r="AS135" s="197"/>
      <c r="AT135" s="197"/>
      <c r="AU135" s="33"/>
      <c r="AV135" s="33"/>
      <c r="AW135" s="33"/>
      <c r="AX135" s="33"/>
      <c r="AY135" s="76"/>
    </row>
    <row r="136" spans="3:51">
      <c r="C136" s="169" t="s">
        <v>11</v>
      </c>
      <c r="D136" s="4">
        <v>0.36</v>
      </c>
      <c r="E136" s="191" t="s">
        <v>229</v>
      </c>
      <c r="I136" s="55">
        <v>131</v>
      </c>
      <c r="J136" s="33">
        <f t="shared" si="76"/>
        <v>0</v>
      </c>
      <c r="K136" s="33">
        <f t="shared" si="77"/>
        <v>0</v>
      </c>
      <c r="L136" s="33">
        <f t="shared" si="78"/>
        <v>0</v>
      </c>
      <c r="M136" s="33">
        <f t="shared" si="79"/>
        <v>0</v>
      </c>
      <c r="N136" s="33">
        <f t="shared" si="65"/>
        <v>0</v>
      </c>
      <c r="O136" s="34">
        <f t="shared" si="66"/>
        <v>0</v>
      </c>
      <c r="P136" s="55">
        <v>131</v>
      </c>
      <c r="Q136" s="33">
        <f t="shared" si="74"/>
        <v>0</v>
      </c>
      <c r="R136" s="33">
        <f t="shared" si="80"/>
        <v>0</v>
      </c>
      <c r="S136" s="33">
        <f t="shared" si="81"/>
        <v>0</v>
      </c>
      <c r="T136" s="33">
        <f t="shared" si="67"/>
        <v>0</v>
      </c>
      <c r="U136" s="33">
        <f t="shared" si="75"/>
        <v>0</v>
      </c>
      <c r="V136" s="33">
        <f t="shared" si="68"/>
        <v>0</v>
      </c>
      <c r="W136" s="33">
        <v>0</v>
      </c>
      <c r="X136" s="33">
        <f t="shared" si="69"/>
        <v>0</v>
      </c>
      <c r="Y136" s="38">
        <f t="shared" si="70"/>
        <v>0</v>
      </c>
      <c r="AA136" s="71">
        <v>131</v>
      </c>
      <c r="AB136" s="33">
        <f t="shared" si="71"/>
        <v>0</v>
      </c>
      <c r="AC136" s="308">
        <f t="shared" si="64"/>
        <v>0</v>
      </c>
      <c r="AD136" s="101">
        <f t="shared" si="72"/>
        <v>0</v>
      </c>
      <c r="AE136" s="101">
        <f t="shared" si="73"/>
        <v>0</v>
      </c>
      <c r="AF136" s="197">
        <f t="shared" si="60"/>
        <v>0</v>
      </c>
      <c r="AG136" s="197">
        <f t="shared" si="61"/>
        <v>0</v>
      </c>
      <c r="AH136" s="197">
        <f t="shared" si="62"/>
        <v>0</v>
      </c>
      <c r="AI136" s="202">
        <f t="shared" si="63"/>
        <v>0</v>
      </c>
      <c r="AK136" s="71">
        <v>131</v>
      </c>
      <c r="AL136" s="33"/>
      <c r="AM136" s="33"/>
      <c r="AN136" s="33"/>
      <c r="AO136" s="33"/>
      <c r="AP136" s="33"/>
      <c r="AQ136" s="197"/>
      <c r="AR136" s="197"/>
      <c r="AS136" s="197"/>
      <c r="AT136" s="197"/>
      <c r="AU136" s="33"/>
      <c r="AV136" s="33"/>
      <c r="AW136" s="33"/>
      <c r="AX136" s="33"/>
      <c r="AY136" s="76"/>
    </row>
    <row r="137" spans="3:51">
      <c r="C137" s="169" t="s">
        <v>12</v>
      </c>
      <c r="D137" s="4">
        <v>0.61</v>
      </c>
      <c r="E137" s="191" t="s">
        <v>228</v>
      </c>
      <c r="I137" s="55">
        <v>132</v>
      </c>
      <c r="J137" s="33">
        <f t="shared" si="76"/>
        <v>0</v>
      </c>
      <c r="K137" s="33">
        <f t="shared" si="77"/>
        <v>0</v>
      </c>
      <c r="L137" s="33">
        <f t="shared" si="78"/>
        <v>0</v>
      </c>
      <c r="M137" s="33">
        <f t="shared" si="79"/>
        <v>0</v>
      </c>
      <c r="N137" s="33">
        <f t="shared" si="65"/>
        <v>0</v>
      </c>
      <c r="O137" s="34">
        <f t="shared" si="66"/>
        <v>0</v>
      </c>
      <c r="P137" s="55">
        <v>132</v>
      </c>
      <c r="Q137" s="33">
        <f t="shared" si="74"/>
        <v>0</v>
      </c>
      <c r="R137" s="33">
        <f t="shared" si="80"/>
        <v>0</v>
      </c>
      <c r="S137" s="33">
        <f t="shared" si="81"/>
        <v>0</v>
      </c>
      <c r="T137" s="33">
        <f t="shared" si="67"/>
        <v>0</v>
      </c>
      <c r="U137" s="33">
        <f t="shared" si="75"/>
        <v>0</v>
      </c>
      <c r="V137" s="33">
        <f t="shared" si="68"/>
        <v>0</v>
      </c>
      <c r="W137" s="33">
        <v>0</v>
      </c>
      <c r="X137" s="33">
        <f t="shared" si="69"/>
        <v>0</v>
      </c>
      <c r="Y137" s="38">
        <f t="shared" si="70"/>
        <v>0</v>
      </c>
      <c r="AA137" s="71">
        <v>132</v>
      </c>
      <c r="AB137" s="33">
        <f t="shared" si="71"/>
        <v>0</v>
      </c>
      <c r="AC137" s="308">
        <f t="shared" si="64"/>
        <v>0</v>
      </c>
      <c r="AD137" s="101">
        <f t="shared" si="72"/>
        <v>0</v>
      </c>
      <c r="AE137" s="101">
        <f t="shared" si="73"/>
        <v>0</v>
      </c>
      <c r="AF137" s="197">
        <f t="shared" si="60"/>
        <v>0</v>
      </c>
      <c r="AG137" s="197">
        <f t="shared" si="61"/>
        <v>0</v>
      </c>
      <c r="AH137" s="197">
        <f t="shared" si="62"/>
        <v>0</v>
      </c>
      <c r="AI137" s="202">
        <f t="shared" si="63"/>
        <v>0</v>
      </c>
      <c r="AK137" s="71">
        <v>132</v>
      </c>
      <c r="AL137" s="33"/>
      <c r="AM137" s="33"/>
      <c r="AN137" s="33"/>
      <c r="AO137" s="33"/>
      <c r="AP137" s="33"/>
      <c r="AQ137" s="197"/>
      <c r="AR137" s="197"/>
      <c r="AS137" s="197"/>
      <c r="AT137" s="197"/>
      <c r="AU137" s="33"/>
      <c r="AV137" s="33"/>
      <c r="AW137" s="33"/>
      <c r="AX137" s="33"/>
      <c r="AY137" s="76"/>
    </row>
    <row r="138" spans="3:51">
      <c r="C138" s="169" t="s">
        <v>13</v>
      </c>
      <c r="D138" s="4">
        <v>0.66</v>
      </c>
      <c r="E138" s="191" t="s">
        <v>228</v>
      </c>
      <c r="I138" s="55">
        <v>133</v>
      </c>
      <c r="J138" s="33">
        <f t="shared" si="76"/>
        <v>0</v>
      </c>
      <c r="K138" s="33">
        <f t="shared" si="77"/>
        <v>0</v>
      </c>
      <c r="L138" s="33">
        <f t="shared" si="78"/>
        <v>0</v>
      </c>
      <c r="M138" s="33">
        <f t="shared" si="79"/>
        <v>0</v>
      </c>
      <c r="N138" s="33">
        <f t="shared" si="65"/>
        <v>0</v>
      </c>
      <c r="O138" s="34">
        <f t="shared" si="66"/>
        <v>0</v>
      </c>
      <c r="P138" s="55">
        <v>133</v>
      </c>
      <c r="Q138" s="33">
        <f t="shared" si="74"/>
        <v>0</v>
      </c>
      <c r="R138" s="33">
        <f t="shared" si="80"/>
        <v>0</v>
      </c>
      <c r="S138" s="33">
        <f t="shared" si="81"/>
        <v>0</v>
      </c>
      <c r="T138" s="33">
        <f t="shared" si="67"/>
        <v>0</v>
      </c>
      <c r="U138" s="33">
        <f t="shared" si="75"/>
        <v>0</v>
      </c>
      <c r="V138" s="33">
        <f t="shared" si="68"/>
        <v>0</v>
      </c>
      <c r="W138" s="33">
        <v>0</v>
      </c>
      <c r="X138" s="33">
        <f t="shared" si="69"/>
        <v>0</v>
      </c>
      <c r="Y138" s="38">
        <f t="shared" si="70"/>
        <v>0</v>
      </c>
      <c r="AA138" s="71">
        <v>133</v>
      </c>
      <c r="AB138" s="33">
        <f t="shared" si="71"/>
        <v>0</v>
      </c>
      <c r="AC138" s="308">
        <f t="shared" si="64"/>
        <v>0</v>
      </c>
      <c r="AD138" s="101">
        <f t="shared" si="72"/>
        <v>0</v>
      </c>
      <c r="AE138" s="101">
        <f t="shared" si="73"/>
        <v>0</v>
      </c>
      <c r="AF138" s="197">
        <f t="shared" si="60"/>
        <v>0</v>
      </c>
      <c r="AG138" s="197">
        <f t="shared" si="61"/>
        <v>0</v>
      </c>
      <c r="AH138" s="197">
        <f t="shared" si="62"/>
        <v>0</v>
      </c>
      <c r="AI138" s="202">
        <f t="shared" si="63"/>
        <v>0</v>
      </c>
      <c r="AK138" s="71">
        <v>133</v>
      </c>
      <c r="AL138" s="33"/>
      <c r="AM138" s="33"/>
      <c r="AN138" s="33"/>
      <c r="AO138" s="33"/>
      <c r="AP138" s="33"/>
      <c r="AQ138" s="197"/>
      <c r="AR138" s="197"/>
      <c r="AS138" s="197"/>
      <c r="AT138" s="197"/>
      <c r="AU138" s="33"/>
      <c r="AV138" s="33"/>
      <c r="AW138" s="33"/>
      <c r="AX138" s="33"/>
      <c r="AY138" s="76"/>
    </row>
    <row r="139" spans="3:51">
      <c r="C139" s="170" t="s">
        <v>14</v>
      </c>
      <c r="D139" s="135">
        <v>0.47</v>
      </c>
      <c r="E139" s="191" t="s">
        <v>228</v>
      </c>
      <c r="I139" s="55">
        <v>134</v>
      </c>
      <c r="J139" s="33">
        <f t="shared" si="76"/>
        <v>0</v>
      </c>
      <c r="K139" s="33">
        <f t="shared" si="77"/>
        <v>0</v>
      </c>
      <c r="L139" s="33">
        <f t="shared" si="78"/>
        <v>0</v>
      </c>
      <c r="M139" s="33">
        <f t="shared" si="79"/>
        <v>0</v>
      </c>
      <c r="N139" s="33">
        <f t="shared" si="65"/>
        <v>0</v>
      </c>
      <c r="O139" s="34">
        <f t="shared" si="66"/>
        <v>0</v>
      </c>
      <c r="P139" s="55">
        <v>134</v>
      </c>
      <c r="Q139" s="33">
        <f t="shared" si="74"/>
        <v>0</v>
      </c>
      <c r="R139" s="33">
        <f t="shared" si="80"/>
        <v>0</v>
      </c>
      <c r="S139" s="33">
        <f t="shared" si="81"/>
        <v>0</v>
      </c>
      <c r="T139" s="33">
        <f t="shared" si="67"/>
        <v>0</v>
      </c>
      <c r="U139" s="33">
        <f t="shared" si="75"/>
        <v>0</v>
      </c>
      <c r="V139" s="33">
        <f t="shared" si="68"/>
        <v>0</v>
      </c>
      <c r="W139" s="33">
        <v>0</v>
      </c>
      <c r="X139" s="33">
        <f t="shared" si="69"/>
        <v>0</v>
      </c>
      <c r="Y139" s="38">
        <f t="shared" si="70"/>
        <v>0</v>
      </c>
      <c r="AA139" s="71">
        <v>134</v>
      </c>
      <c r="AB139" s="33">
        <f t="shared" si="71"/>
        <v>0</v>
      </c>
      <c r="AC139" s="308">
        <f t="shared" si="64"/>
        <v>0</v>
      </c>
      <c r="AD139" s="101">
        <f t="shared" si="72"/>
        <v>0</v>
      </c>
      <c r="AE139" s="101">
        <f t="shared" si="73"/>
        <v>0</v>
      </c>
      <c r="AF139" s="197">
        <f t="shared" si="60"/>
        <v>0</v>
      </c>
      <c r="AG139" s="197">
        <f t="shared" si="61"/>
        <v>0</v>
      </c>
      <c r="AH139" s="197">
        <f t="shared" si="62"/>
        <v>0</v>
      </c>
      <c r="AI139" s="202">
        <f t="shared" si="63"/>
        <v>0</v>
      </c>
      <c r="AK139" s="71">
        <v>134</v>
      </c>
      <c r="AL139" s="33"/>
      <c r="AM139" s="33"/>
      <c r="AN139" s="33"/>
      <c r="AO139" s="33"/>
      <c r="AP139" s="33"/>
      <c r="AQ139" s="197"/>
      <c r="AR139" s="197"/>
      <c r="AS139" s="197"/>
      <c r="AT139" s="197"/>
      <c r="AU139" s="33"/>
      <c r="AV139" s="33"/>
      <c r="AW139" s="33"/>
      <c r="AX139" s="33"/>
      <c r="AY139" s="76"/>
    </row>
    <row r="140" spans="3:51">
      <c r="C140" s="169" t="s">
        <v>15</v>
      </c>
      <c r="D140" s="4">
        <v>0.67</v>
      </c>
      <c r="E140" s="191" t="s">
        <v>228</v>
      </c>
      <c r="I140" s="55">
        <v>135</v>
      </c>
      <c r="J140" s="33">
        <f t="shared" si="76"/>
        <v>0</v>
      </c>
      <c r="K140" s="33">
        <f t="shared" si="77"/>
        <v>0</v>
      </c>
      <c r="L140" s="33">
        <f t="shared" si="78"/>
        <v>0</v>
      </c>
      <c r="M140" s="33">
        <f t="shared" si="79"/>
        <v>0</v>
      </c>
      <c r="N140" s="33">
        <f t="shared" si="65"/>
        <v>0</v>
      </c>
      <c r="O140" s="34">
        <f t="shared" si="66"/>
        <v>0</v>
      </c>
      <c r="P140" s="55">
        <v>135</v>
      </c>
      <c r="Q140" s="33">
        <f t="shared" si="74"/>
        <v>0</v>
      </c>
      <c r="R140" s="33">
        <f t="shared" si="80"/>
        <v>0</v>
      </c>
      <c r="S140" s="33">
        <f t="shared" si="81"/>
        <v>0</v>
      </c>
      <c r="T140" s="33">
        <f t="shared" si="67"/>
        <v>0</v>
      </c>
      <c r="U140" s="33">
        <f t="shared" si="75"/>
        <v>0</v>
      </c>
      <c r="V140" s="33">
        <f t="shared" si="68"/>
        <v>0</v>
      </c>
      <c r="W140" s="33">
        <v>0</v>
      </c>
      <c r="X140" s="33">
        <f t="shared" si="69"/>
        <v>0</v>
      </c>
      <c r="Y140" s="38">
        <f t="shared" si="70"/>
        <v>0</v>
      </c>
      <c r="AA140" s="71">
        <v>135</v>
      </c>
      <c r="AB140" s="33">
        <f t="shared" si="71"/>
        <v>0</v>
      </c>
      <c r="AC140" s="308">
        <f t="shared" si="64"/>
        <v>0</v>
      </c>
      <c r="AD140" s="101">
        <f t="shared" si="72"/>
        <v>0</v>
      </c>
      <c r="AE140" s="101">
        <f t="shared" si="73"/>
        <v>0</v>
      </c>
      <c r="AF140" s="197">
        <f t="shared" si="60"/>
        <v>0</v>
      </c>
      <c r="AG140" s="197">
        <f t="shared" si="61"/>
        <v>0</v>
      </c>
      <c r="AH140" s="197">
        <f t="shared" si="62"/>
        <v>0</v>
      </c>
      <c r="AI140" s="202">
        <f t="shared" si="63"/>
        <v>0</v>
      </c>
      <c r="AK140" s="71">
        <v>135</v>
      </c>
      <c r="AL140" s="33"/>
      <c r="AM140" s="33"/>
      <c r="AN140" s="33"/>
      <c r="AO140" s="33"/>
      <c r="AP140" s="33"/>
      <c r="AQ140" s="197"/>
      <c r="AR140" s="197"/>
      <c r="AS140" s="197"/>
      <c r="AT140" s="197"/>
      <c r="AU140" s="33"/>
      <c r="AV140" s="33"/>
      <c r="AW140" s="33"/>
      <c r="AX140" s="33"/>
      <c r="AY140" s="76"/>
    </row>
    <row r="141" spans="3:51">
      <c r="C141" s="169" t="s">
        <v>16</v>
      </c>
      <c r="D141" s="4">
        <v>0.7</v>
      </c>
      <c r="E141" s="191" t="s">
        <v>228</v>
      </c>
      <c r="I141" s="55">
        <v>136</v>
      </c>
      <c r="J141" s="33">
        <f t="shared" si="76"/>
        <v>0</v>
      </c>
      <c r="K141" s="33">
        <f t="shared" si="77"/>
        <v>0</v>
      </c>
      <c r="L141" s="33">
        <f t="shared" si="78"/>
        <v>0</v>
      </c>
      <c r="M141" s="33">
        <f t="shared" si="79"/>
        <v>0</v>
      </c>
      <c r="N141" s="33">
        <f t="shared" si="65"/>
        <v>0</v>
      </c>
      <c r="O141" s="34">
        <f t="shared" si="66"/>
        <v>0</v>
      </c>
      <c r="P141" s="55">
        <v>136</v>
      </c>
      <c r="Q141" s="33">
        <f t="shared" si="74"/>
        <v>0</v>
      </c>
      <c r="R141" s="33">
        <f t="shared" si="80"/>
        <v>0</v>
      </c>
      <c r="S141" s="33">
        <f t="shared" si="81"/>
        <v>0</v>
      </c>
      <c r="T141" s="33">
        <f t="shared" si="67"/>
        <v>0</v>
      </c>
      <c r="U141" s="33">
        <f t="shared" si="75"/>
        <v>0</v>
      </c>
      <c r="V141" s="33">
        <f t="shared" si="68"/>
        <v>0</v>
      </c>
      <c r="W141" s="33">
        <v>0</v>
      </c>
      <c r="X141" s="33">
        <f t="shared" si="69"/>
        <v>0</v>
      </c>
      <c r="Y141" s="38">
        <f t="shared" si="70"/>
        <v>0</v>
      </c>
      <c r="AA141" s="71">
        <v>136</v>
      </c>
      <c r="AB141" s="33">
        <f t="shared" si="71"/>
        <v>0</v>
      </c>
      <c r="AC141" s="308">
        <f t="shared" si="64"/>
        <v>0</v>
      </c>
      <c r="AD141" s="101">
        <f t="shared" si="72"/>
        <v>0</v>
      </c>
      <c r="AE141" s="101">
        <f t="shared" si="73"/>
        <v>0</v>
      </c>
      <c r="AF141" s="197">
        <f t="shared" si="60"/>
        <v>0</v>
      </c>
      <c r="AG141" s="197">
        <f t="shared" si="61"/>
        <v>0</v>
      </c>
      <c r="AH141" s="197">
        <f t="shared" si="62"/>
        <v>0</v>
      </c>
      <c r="AI141" s="202">
        <f t="shared" si="63"/>
        <v>0</v>
      </c>
      <c r="AK141" s="71">
        <v>136</v>
      </c>
      <c r="AL141" s="33"/>
      <c r="AM141" s="33"/>
      <c r="AN141" s="33"/>
      <c r="AO141" s="33"/>
      <c r="AP141" s="33"/>
      <c r="AQ141" s="197"/>
      <c r="AR141" s="197"/>
      <c r="AS141" s="197"/>
      <c r="AT141" s="197"/>
      <c r="AU141" s="33"/>
      <c r="AV141" s="33"/>
      <c r="AW141" s="33"/>
      <c r="AX141" s="33"/>
      <c r="AY141" s="76"/>
    </row>
    <row r="142" spans="3:51">
      <c r="C142" s="169" t="s">
        <v>17</v>
      </c>
      <c r="D142" s="4">
        <v>0.54</v>
      </c>
      <c r="E142" s="191" t="s">
        <v>228</v>
      </c>
      <c r="I142" s="55">
        <v>137</v>
      </c>
      <c r="J142" s="33">
        <f t="shared" si="76"/>
        <v>0</v>
      </c>
      <c r="K142" s="33">
        <f t="shared" si="77"/>
        <v>0</v>
      </c>
      <c r="L142" s="33">
        <f t="shared" si="78"/>
        <v>0</v>
      </c>
      <c r="M142" s="33">
        <f t="shared" si="79"/>
        <v>0</v>
      </c>
      <c r="N142" s="33">
        <f t="shared" si="65"/>
        <v>0</v>
      </c>
      <c r="O142" s="34">
        <f t="shared" si="66"/>
        <v>0</v>
      </c>
      <c r="P142" s="55">
        <v>137</v>
      </c>
      <c r="Q142" s="33">
        <f t="shared" si="74"/>
        <v>0</v>
      </c>
      <c r="R142" s="33">
        <f t="shared" si="80"/>
        <v>0</v>
      </c>
      <c r="S142" s="33">
        <f t="shared" si="81"/>
        <v>0</v>
      </c>
      <c r="T142" s="33">
        <f t="shared" si="67"/>
        <v>0</v>
      </c>
      <c r="U142" s="33">
        <f t="shared" si="75"/>
        <v>0</v>
      </c>
      <c r="V142" s="33">
        <f t="shared" si="68"/>
        <v>0</v>
      </c>
      <c r="W142" s="33">
        <v>0</v>
      </c>
      <c r="X142" s="33">
        <f t="shared" si="69"/>
        <v>0</v>
      </c>
      <c r="Y142" s="38">
        <f t="shared" si="70"/>
        <v>0</v>
      </c>
      <c r="AA142" s="71">
        <v>137</v>
      </c>
      <c r="AB142" s="33">
        <f t="shared" si="71"/>
        <v>0</v>
      </c>
      <c r="AC142" s="308">
        <f t="shared" si="64"/>
        <v>0</v>
      </c>
      <c r="AD142" s="101">
        <f t="shared" si="72"/>
        <v>0</v>
      </c>
      <c r="AE142" s="101">
        <f t="shared" si="73"/>
        <v>0</v>
      </c>
      <c r="AF142" s="197">
        <f t="shared" si="60"/>
        <v>0</v>
      </c>
      <c r="AG142" s="197">
        <f t="shared" si="61"/>
        <v>0</v>
      </c>
      <c r="AH142" s="197">
        <f t="shared" si="62"/>
        <v>0</v>
      </c>
      <c r="AI142" s="202">
        <f t="shared" si="63"/>
        <v>0</v>
      </c>
      <c r="AK142" s="71">
        <v>137</v>
      </c>
      <c r="AL142" s="33"/>
      <c r="AM142" s="33"/>
      <c r="AN142" s="33"/>
      <c r="AO142" s="33"/>
      <c r="AP142" s="33"/>
      <c r="AQ142" s="197"/>
      <c r="AR142" s="197"/>
      <c r="AS142" s="197"/>
      <c r="AT142" s="197"/>
      <c r="AU142" s="33"/>
      <c r="AV142" s="33"/>
      <c r="AW142" s="33"/>
      <c r="AX142" s="33"/>
      <c r="AY142" s="76"/>
    </row>
    <row r="143" spans="3:51">
      <c r="C143" s="169" t="s">
        <v>18</v>
      </c>
      <c r="D143" s="4">
        <v>0.65</v>
      </c>
      <c r="E143" s="191" t="s">
        <v>228</v>
      </c>
      <c r="I143" s="55">
        <v>138</v>
      </c>
      <c r="J143" s="33">
        <f t="shared" si="76"/>
        <v>0</v>
      </c>
      <c r="K143" s="33">
        <f t="shared" si="77"/>
        <v>0</v>
      </c>
      <c r="L143" s="33">
        <f t="shared" si="78"/>
        <v>0</v>
      </c>
      <c r="M143" s="33">
        <f t="shared" si="79"/>
        <v>0</v>
      </c>
      <c r="N143" s="33">
        <f t="shared" si="65"/>
        <v>0</v>
      </c>
      <c r="O143" s="34">
        <f t="shared" si="66"/>
        <v>0</v>
      </c>
      <c r="P143" s="55">
        <v>138</v>
      </c>
      <c r="Q143" s="33">
        <f t="shared" si="74"/>
        <v>0</v>
      </c>
      <c r="R143" s="33">
        <f t="shared" si="80"/>
        <v>0</v>
      </c>
      <c r="S143" s="33">
        <f t="shared" si="81"/>
        <v>0</v>
      </c>
      <c r="T143" s="33">
        <f t="shared" si="67"/>
        <v>0</v>
      </c>
      <c r="U143" s="33">
        <f t="shared" si="75"/>
        <v>0</v>
      </c>
      <c r="V143" s="33">
        <f t="shared" si="68"/>
        <v>0</v>
      </c>
      <c r="W143" s="33">
        <v>0</v>
      </c>
      <c r="X143" s="33">
        <f t="shared" si="69"/>
        <v>0</v>
      </c>
      <c r="Y143" s="38">
        <f t="shared" si="70"/>
        <v>0</v>
      </c>
      <c r="AA143" s="71">
        <v>138</v>
      </c>
      <c r="AB143" s="33">
        <f t="shared" si="71"/>
        <v>0</v>
      </c>
      <c r="AC143" s="308">
        <f t="shared" si="64"/>
        <v>0</v>
      </c>
      <c r="AD143" s="101">
        <f t="shared" si="72"/>
        <v>0</v>
      </c>
      <c r="AE143" s="101">
        <f t="shared" si="73"/>
        <v>0</v>
      </c>
      <c r="AF143" s="197">
        <f t="shared" si="60"/>
        <v>0</v>
      </c>
      <c r="AG143" s="197">
        <f t="shared" si="61"/>
        <v>0</v>
      </c>
      <c r="AH143" s="197">
        <f t="shared" si="62"/>
        <v>0</v>
      </c>
      <c r="AI143" s="202">
        <f t="shared" si="63"/>
        <v>0</v>
      </c>
      <c r="AK143" s="71">
        <v>138</v>
      </c>
      <c r="AL143" s="33"/>
      <c r="AM143" s="33"/>
      <c r="AN143" s="33"/>
      <c r="AO143" s="33"/>
      <c r="AP143" s="33"/>
      <c r="AQ143" s="197"/>
      <c r="AR143" s="197"/>
      <c r="AS143" s="197"/>
      <c r="AT143" s="197"/>
      <c r="AU143" s="33"/>
      <c r="AV143" s="33"/>
      <c r="AW143" s="33"/>
      <c r="AX143" s="33"/>
      <c r="AY143" s="76"/>
    </row>
    <row r="144" spans="3:51">
      <c r="C144" s="169" t="s">
        <v>19</v>
      </c>
      <c r="D144" s="4">
        <v>0.56000000000000005</v>
      </c>
      <c r="E144" s="191" t="s">
        <v>228</v>
      </c>
      <c r="I144" s="55">
        <v>139</v>
      </c>
      <c r="J144" s="33">
        <f t="shared" si="76"/>
        <v>0</v>
      </c>
      <c r="K144" s="33">
        <f t="shared" si="77"/>
        <v>0</v>
      </c>
      <c r="L144" s="33">
        <f t="shared" si="78"/>
        <v>0</v>
      </c>
      <c r="M144" s="33">
        <f t="shared" si="79"/>
        <v>0</v>
      </c>
      <c r="N144" s="33">
        <f t="shared" si="65"/>
        <v>0</v>
      </c>
      <c r="O144" s="34">
        <f t="shared" si="66"/>
        <v>0</v>
      </c>
      <c r="P144" s="55">
        <v>139</v>
      </c>
      <c r="Q144" s="33">
        <f t="shared" si="74"/>
        <v>0</v>
      </c>
      <c r="R144" s="33">
        <f t="shared" si="80"/>
        <v>0</v>
      </c>
      <c r="S144" s="33">
        <f t="shared" si="81"/>
        <v>0</v>
      </c>
      <c r="T144" s="33">
        <f t="shared" si="67"/>
        <v>0</v>
      </c>
      <c r="U144" s="33">
        <f t="shared" si="75"/>
        <v>0</v>
      </c>
      <c r="V144" s="33">
        <f t="shared" si="68"/>
        <v>0</v>
      </c>
      <c r="W144" s="33">
        <v>0</v>
      </c>
      <c r="X144" s="33">
        <f t="shared" si="69"/>
        <v>0</v>
      </c>
      <c r="Y144" s="38">
        <f t="shared" si="70"/>
        <v>0</v>
      </c>
      <c r="AA144" s="71">
        <v>139</v>
      </c>
      <c r="AB144" s="33">
        <f t="shared" si="71"/>
        <v>0</v>
      </c>
      <c r="AC144" s="308">
        <f t="shared" si="64"/>
        <v>0</v>
      </c>
      <c r="AD144" s="101">
        <f t="shared" si="72"/>
        <v>0</v>
      </c>
      <c r="AE144" s="101">
        <f t="shared" si="73"/>
        <v>0</v>
      </c>
      <c r="AF144" s="197">
        <f t="shared" si="60"/>
        <v>0</v>
      </c>
      <c r="AG144" s="197">
        <f t="shared" si="61"/>
        <v>0</v>
      </c>
      <c r="AH144" s="197">
        <f t="shared" si="62"/>
        <v>0</v>
      </c>
      <c r="AI144" s="202">
        <f t="shared" si="63"/>
        <v>0</v>
      </c>
      <c r="AK144" s="71">
        <v>139</v>
      </c>
      <c r="AL144" s="33"/>
      <c r="AM144" s="33"/>
      <c r="AN144" s="33"/>
      <c r="AO144" s="33"/>
      <c r="AP144" s="33"/>
      <c r="AQ144" s="197"/>
      <c r="AR144" s="197"/>
      <c r="AS144" s="197"/>
      <c r="AT144" s="197"/>
      <c r="AU144" s="33"/>
      <c r="AV144" s="33"/>
      <c r="AW144" s="33"/>
      <c r="AX144" s="33"/>
      <c r="AY144" s="76"/>
    </row>
    <row r="145" spans="3:51">
      <c r="C145" s="169" t="s">
        <v>20</v>
      </c>
      <c r="D145" s="4">
        <v>0.57999999999999996</v>
      </c>
      <c r="E145" s="191" t="s">
        <v>228</v>
      </c>
      <c r="I145" s="55">
        <v>140</v>
      </c>
      <c r="J145" s="33">
        <f t="shared" si="76"/>
        <v>0</v>
      </c>
      <c r="K145" s="33">
        <f t="shared" si="77"/>
        <v>0</v>
      </c>
      <c r="L145" s="33">
        <f t="shared" si="78"/>
        <v>0</v>
      </c>
      <c r="M145" s="33">
        <f t="shared" si="79"/>
        <v>0</v>
      </c>
      <c r="N145" s="33">
        <f t="shared" si="65"/>
        <v>0</v>
      </c>
      <c r="O145" s="34">
        <f t="shared" si="66"/>
        <v>0</v>
      </c>
      <c r="P145" s="55">
        <v>140</v>
      </c>
      <c r="Q145" s="33">
        <f t="shared" si="74"/>
        <v>0</v>
      </c>
      <c r="R145" s="33">
        <f t="shared" si="80"/>
        <v>0</v>
      </c>
      <c r="S145" s="33">
        <f t="shared" si="81"/>
        <v>0</v>
      </c>
      <c r="T145" s="33">
        <f t="shared" si="67"/>
        <v>0</v>
      </c>
      <c r="U145" s="33">
        <f t="shared" si="75"/>
        <v>0</v>
      </c>
      <c r="V145" s="33">
        <f t="shared" si="68"/>
        <v>0</v>
      </c>
      <c r="W145" s="33">
        <v>0</v>
      </c>
      <c r="X145" s="33">
        <f t="shared" si="69"/>
        <v>0</v>
      </c>
      <c r="Y145" s="38">
        <f t="shared" si="70"/>
        <v>0</v>
      </c>
      <c r="AA145" s="71">
        <v>140</v>
      </c>
      <c r="AB145" s="33">
        <f t="shared" si="71"/>
        <v>0</v>
      </c>
      <c r="AC145" s="308">
        <f t="shared" si="64"/>
        <v>0</v>
      </c>
      <c r="AD145" s="101">
        <f t="shared" si="72"/>
        <v>0</v>
      </c>
      <c r="AE145" s="101">
        <f t="shared" si="73"/>
        <v>0</v>
      </c>
      <c r="AF145" s="197">
        <f t="shared" si="60"/>
        <v>0</v>
      </c>
      <c r="AG145" s="197">
        <f t="shared" si="61"/>
        <v>0</v>
      </c>
      <c r="AH145" s="197">
        <f t="shared" si="62"/>
        <v>0</v>
      </c>
      <c r="AI145" s="202">
        <f t="shared" si="63"/>
        <v>0</v>
      </c>
      <c r="AK145" s="71">
        <v>140</v>
      </c>
      <c r="AL145" s="33"/>
      <c r="AM145" s="33"/>
      <c r="AN145" s="33"/>
      <c r="AO145" s="33"/>
      <c r="AP145" s="33"/>
      <c r="AQ145" s="197"/>
      <c r="AR145" s="197"/>
      <c r="AS145" s="197"/>
      <c r="AT145" s="197"/>
      <c r="AU145" s="33"/>
      <c r="AV145" s="33"/>
      <c r="AW145" s="33"/>
      <c r="AX145" s="33"/>
      <c r="AY145" s="76"/>
    </row>
    <row r="146" spans="3:51">
      <c r="C146" s="169" t="s">
        <v>21</v>
      </c>
      <c r="D146" s="4">
        <v>0.64</v>
      </c>
      <c r="E146" s="191" t="s">
        <v>228</v>
      </c>
      <c r="I146" s="55">
        <v>141</v>
      </c>
      <c r="J146" s="33">
        <f t="shared" si="76"/>
        <v>0</v>
      </c>
      <c r="K146" s="33">
        <f t="shared" si="77"/>
        <v>0</v>
      </c>
      <c r="L146" s="33">
        <f t="shared" si="78"/>
        <v>0</v>
      </c>
      <c r="M146" s="33">
        <f t="shared" si="79"/>
        <v>0</v>
      </c>
      <c r="N146" s="33">
        <f t="shared" si="65"/>
        <v>0</v>
      </c>
      <c r="O146" s="34">
        <f t="shared" si="66"/>
        <v>0</v>
      </c>
      <c r="P146" s="55">
        <v>141</v>
      </c>
      <c r="Q146" s="33">
        <f t="shared" si="74"/>
        <v>0</v>
      </c>
      <c r="R146" s="33">
        <f t="shared" si="80"/>
        <v>0</v>
      </c>
      <c r="S146" s="33">
        <f t="shared" si="81"/>
        <v>0</v>
      </c>
      <c r="T146" s="33">
        <f t="shared" si="67"/>
        <v>0</v>
      </c>
      <c r="U146" s="33">
        <f t="shared" si="75"/>
        <v>0</v>
      </c>
      <c r="V146" s="33">
        <f t="shared" si="68"/>
        <v>0</v>
      </c>
      <c r="W146" s="33">
        <v>0</v>
      </c>
      <c r="X146" s="33">
        <f t="shared" si="69"/>
        <v>0</v>
      </c>
      <c r="Y146" s="38">
        <f t="shared" si="70"/>
        <v>0</v>
      </c>
      <c r="AA146" s="71">
        <v>141</v>
      </c>
      <c r="AB146" s="33">
        <f t="shared" si="71"/>
        <v>0</v>
      </c>
      <c r="AC146" s="308">
        <f t="shared" si="64"/>
        <v>0</v>
      </c>
      <c r="AD146" s="101">
        <f t="shared" si="72"/>
        <v>0</v>
      </c>
      <c r="AE146" s="101">
        <f t="shared" si="73"/>
        <v>0</v>
      </c>
      <c r="AF146" s="197">
        <f t="shared" si="60"/>
        <v>0</v>
      </c>
      <c r="AG146" s="197">
        <f t="shared" si="61"/>
        <v>0</v>
      </c>
      <c r="AH146" s="197">
        <f t="shared" si="62"/>
        <v>0</v>
      </c>
      <c r="AI146" s="202">
        <f t="shared" si="63"/>
        <v>0</v>
      </c>
      <c r="AK146" s="71">
        <v>141</v>
      </c>
      <c r="AL146" s="33"/>
      <c r="AM146" s="33"/>
      <c r="AN146" s="33"/>
      <c r="AO146" s="33"/>
      <c r="AP146" s="33"/>
      <c r="AQ146" s="197"/>
      <c r="AR146" s="197"/>
      <c r="AS146" s="197"/>
      <c r="AT146" s="197"/>
      <c r="AU146" s="33"/>
      <c r="AV146" s="33"/>
      <c r="AW146" s="33"/>
      <c r="AX146" s="33"/>
      <c r="AY146" s="76"/>
    </row>
    <row r="147" spans="3:51">
      <c r="C147" s="169" t="s">
        <v>22</v>
      </c>
      <c r="D147" s="4">
        <v>0.73</v>
      </c>
      <c r="E147" s="191" t="s">
        <v>228</v>
      </c>
      <c r="I147" s="55">
        <v>142</v>
      </c>
      <c r="J147" s="33">
        <f t="shared" si="76"/>
        <v>0</v>
      </c>
      <c r="K147" s="33">
        <f t="shared" si="77"/>
        <v>0</v>
      </c>
      <c r="L147" s="33">
        <f t="shared" si="78"/>
        <v>0</v>
      </c>
      <c r="M147" s="33">
        <f t="shared" si="79"/>
        <v>0</v>
      </c>
      <c r="N147" s="33">
        <f t="shared" si="65"/>
        <v>0</v>
      </c>
      <c r="O147" s="34">
        <f t="shared" si="66"/>
        <v>0</v>
      </c>
      <c r="P147" s="55">
        <v>142</v>
      </c>
      <c r="Q147" s="33">
        <f t="shared" si="74"/>
        <v>0</v>
      </c>
      <c r="R147" s="33">
        <f t="shared" si="80"/>
        <v>0</v>
      </c>
      <c r="S147" s="33">
        <f t="shared" si="81"/>
        <v>0</v>
      </c>
      <c r="T147" s="33">
        <f t="shared" si="67"/>
        <v>0</v>
      </c>
      <c r="U147" s="33">
        <f t="shared" si="75"/>
        <v>0</v>
      </c>
      <c r="V147" s="33">
        <f t="shared" si="68"/>
        <v>0</v>
      </c>
      <c r="W147" s="33">
        <v>0</v>
      </c>
      <c r="X147" s="33">
        <f t="shared" si="69"/>
        <v>0</v>
      </c>
      <c r="Y147" s="38">
        <f t="shared" si="70"/>
        <v>0</v>
      </c>
      <c r="AA147" s="71">
        <v>142</v>
      </c>
      <c r="AB147" s="33">
        <f t="shared" si="71"/>
        <v>0</v>
      </c>
      <c r="AC147" s="308">
        <f t="shared" si="64"/>
        <v>0</v>
      </c>
      <c r="AD147" s="101">
        <f t="shared" si="72"/>
        <v>0</v>
      </c>
      <c r="AE147" s="101">
        <f t="shared" si="73"/>
        <v>0</v>
      </c>
      <c r="AF147" s="197">
        <f t="shared" si="60"/>
        <v>0</v>
      </c>
      <c r="AG147" s="197">
        <f t="shared" si="61"/>
        <v>0</v>
      </c>
      <c r="AH147" s="197">
        <f t="shared" si="62"/>
        <v>0</v>
      </c>
      <c r="AI147" s="202">
        <f t="shared" si="63"/>
        <v>0</v>
      </c>
      <c r="AK147" s="71">
        <v>142</v>
      </c>
      <c r="AL147" s="33"/>
      <c r="AM147" s="33"/>
      <c r="AN147" s="33"/>
      <c r="AO147" s="33"/>
      <c r="AP147" s="33"/>
      <c r="AQ147" s="197"/>
      <c r="AR147" s="197"/>
      <c r="AS147" s="197"/>
      <c r="AT147" s="197"/>
      <c r="AU147" s="33"/>
      <c r="AV147" s="33"/>
      <c r="AW147" s="33"/>
      <c r="AX147" s="33"/>
      <c r="AY147" s="76"/>
    </row>
    <row r="148" spans="3:51">
      <c r="C148" s="169" t="s">
        <v>23</v>
      </c>
      <c r="D148" s="4">
        <v>0.56000000000000005</v>
      </c>
      <c r="E148" s="191" t="s">
        <v>228</v>
      </c>
      <c r="I148" s="55">
        <v>143</v>
      </c>
      <c r="J148" s="33">
        <f t="shared" si="76"/>
        <v>0</v>
      </c>
      <c r="K148" s="33">
        <f t="shared" si="77"/>
        <v>0</v>
      </c>
      <c r="L148" s="33">
        <f t="shared" si="78"/>
        <v>0</v>
      </c>
      <c r="M148" s="33">
        <f t="shared" si="79"/>
        <v>0</v>
      </c>
      <c r="N148" s="33">
        <f t="shared" si="65"/>
        <v>0</v>
      </c>
      <c r="O148" s="34">
        <f t="shared" si="66"/>
        <v>0</v>
      </c>
      <c r="P148" s="55">
        <v>143</v>
      </c>
      <c r="Q148" s="33">
        <f t="shared" si="74"/>
        <v>0</v>
      </c>
      <c r="R148" s="33">
        <f t="shared" si="80"/>
        <v>0</v>
      </c>
      <c r="S148" s="33">
        <f t="shared" si="81"/>
        <v>0</v>
      </c>
      <c r="T148" s="33">
        <f t="shared" si="67"/>
        <v>0</v>
      </c>
      <c r="U148" s="33">
        <f t="shared" si="75"/>
        <v>0</v>
      </c>
      <c r="V148" s="33">
        <f t="shared" si="68"/>
        <v>0</v>
      </c>
      <c r="W148" s="33">
        <v>0</v>
      </c>
      <c r="X148" s="33">
        <f t="shared" si="69"/>
        <v>0</v>
      </c>
      <c r="Y148" s="38">
        <f t="shared" si="70"/>
        <v>0</v>
      </c>
      <c r="AA148" s="71">
        <v>143</v>
      </c>
      <c r="AB148" s="33">
        <f t="shared" si="71"/>
        <v>0</v>
      </c>
      <c r="AC148" s="308">
        <f t="shared" si="64"/>
        <v>0</v>
      </c>
      <c r="AD148" s="101">
        <f t="shared" si="72"/>
        <v>0</v>
      </c>
      <c r="AE148" s="101">
        <f t="shared" si="73"/>
        <v>0</v>
      </c>
      <c r="AF148" s="197">
        <f t="shared" si="60"/>
        <v>0</v>
      </c>
      <c r="AG148" s="197">
        <f t="shared" si="61"/>
        <v>0</v>
      </c>
      <c r="AH148" s="197">
        <f t="shared" si="62"/>
        <v>0</v>
      </c>
      <c r="AI148" s="202">
        <f t="shared" si="63"/>
        <v>0</v>
      </c>
      <c r="AK148" s="71">
        <v>143</v>
      </c>
      <c r="AL148" s="33"/>
      <c r="AM148" s="33"/>
      <c r="AN148" s="33"/>
      <c r="AO148" s="33"/>
      <c r="AP148" s="33"/>
      <c r="AQ148" s="197"/>
      <c r="AR148" s="197"/>
      <c r="AS148" s="197"/>
      <c r="AT148" s="197"/>
      <c r="AU148" s="33"/>
      <c r="AV148" s="33"/>
      <c r="AW148" s="33"/>
      <c r="AX148" s="33"/>
      <c r="AY148" s="76"/>
    </row>
    <row r="149" spans="3:51">
      <c r="C149" s="169" t="s">
        <v>24</v>
      </c>
      <c r="D149" s="4">
        <v>0.74</v>
      </c>
      <c r="E149" s="191" t="s">
        <v>228</v>
      </c>
      <c r="I149" s="55">
        <v>144</v>
      </c>
      <c r="J149" s="33">
        <f t="shared" si="76"/>
        <v>0</v>
      </c>
      <c r="K149" s="33">
        <f t="shared" si="77"/>
        <v>0</v>
      </c>
      <c r="L149" s="33">
        <f t="shared" si="78"/>
        <v>0</v>
      </c>
      <c r="M149" s="33">
        <f t="shared" si="79"/>
        <v>0</v>
      </c>
      <c r="N149" s="33">
        <f t="shared" si="65"/>
        <v>0</v>
      </c>
      <c r="O149" s="34">
        <f t="shared" si="66"/>
        <v>0</v>
      </c>
      <c r="P149" s="55">
        <v>144</v>
      </c>
      <c r="Q149" s="33">
        <f t="shared" si="74"/>
        <v>0</v>
      </c>
      <c r="R149" s="33">
        <f t="shared" si="80"/>
        <v>0</v>
      </c>
      <c r="S149" s="33">
        <f t="shared" si="81"/>
        <v>0</v>
      </c>
      <c r="T149" s="33">
        <f t="shared" si="67"/>
        <v>0</v>
      </c>
      <c r="U149" s="33">
        <f t="shared" si="75"/>
        <v>0</v>
      </c>
      <c r="V149" s="33">
        <f t="shared" si="68"/>
        <v>0</v>
      </c>
      <c r="W149" s="33">
        <v>0</v>
      </c>
      <c r="X149" s="33">
        <f t="shared" si="69"/>
        <v>0</v>
      </c>
      <c r="Y149" s="38">
        <f t="shared" si="70"/>
        <v>0</v>
      </c>
      <c r="AA149" s="71">
        <v>144</v>
      </c>
      <c r="AB149" s="33">
        <f t="shared" si="71"/>
        <v>0</v>
      </c>
      <c r="AC149" s="308">
        <f t="shared" si="64"/>
        <v>0</v>
      </c>
      <c r="AD149" s="101">
        <f t="shared" si="72"/>
        <v>0</v>
      </c>
      <c r="AE149" s="101">
        <f t="shared" si="73"/>
        <v>0</v>
      </c>
      <c r="AF149" s="197">
        <f t="shared" si="60"/>
        <v>0</v>
      </c>
      <c r="AG149" s="197">
        <f t="shared" si="61"/>
        <v>0</v>
      </c>
      <c r="AH149" s="197">
        <f t="shared" si="62"/>
        <v>0</v>
      </c>
      <c r="AI149" s="202">
        <f t="shared" si="63"/>
        <v>0</v>
      </c>
      <c r="AK149" s="71">
        <v>144</v>
      </c>
      <c r="AL149" s="33"/>
      <c r="AM149" s="33"/>
      <c r="AN149" s="33"/>
      <c r="AO149" s="33"/>
      <c r="AP149" s="33"/>
      <c r="AQ149" s="197"/>
      <c r="AR149" s="197"/>
      <c r="AS149" s="197"/>
      <c r="AT149" s="197"/>
      <c r="AU149" s="33"/>
      <c r="AV149" s="33"/>
      <c r="AW149" s="33"/>
      <c r="AX149" s="33"/>
      <c r="AY149" s="76"/>
    </row>
    <row r="150" spans="3:51">
      <c r="C150" s="169" t="s">
        <v>25</v>
      </c>
      <c r="D150" s="4">
        <v>0.4</v>
      </c>
      <c r="E150" s="191" t="s">
        <v>229</v>
      </c>
      <c r="I150" s="55">
        <v>145</v>
      </c>
      <c r="J150" s="33">
        <f t="shared" si="76"/>
        <v>0</v>
      </c>
      <c r="K150" s="33">
        <f t="shared" si="77"/>
        <v>0</v>
      </c>
      <c r="L150" s="33">
        <f t="shared" si="78"/>
        <v>0</v>
      </c>
      <c r="M150" s="33">
        <f t="shared" si="79"/>
        <v>0</v>
      </c>
      <c r="N150" s="33">
        <f t="shared" si="65"/>
        <v>0</v>
      </c>
      <c r="O150" s="34">
        <f t="shared" si="66"/>
        <v>0</v>
      </c>
      <c r="P150" s="55">
        <v>145</v>
      </c>
      <c r="Q150" s="33">
        <f t="shared" si="74"/>
        <v>0</v>
      </c>
      <c r="R150" s="33">
        <f t="shared" si="80"/>
        <v>0</v>
      </c>
      <c r="S150" s="33">
        <f t="shared" si="81"/>
        <v>0</v>
      </c>
      <c r="T150" s="33">
        <f t="shared" si="67"/>
        <v>0</v>
      </c>
      <c r="U150" s="33">
        <f t="shared" si="75"/>
        <v>0</v>
      </c>
      <c r="V150" s="33">
        <f t="shared" si="68"/>
        <v>0</v>
      </c>
      <c r="W150" s="33">
        <v>0</v>
      </c>
      <c r="X150" s="33">
        <f t="shared" si="69"/>
        <v>0</v>
      </c>
      <c r="Y150" s="38">
        <f t="shared" si="70"/>
        <v>0</v>
      </c>
      <c r="AA150" s="71">
        <v>145</v>
      </c>
      <c r="AB150" s="33">
        <f t="shared" si="71"/>
        <v>0</v>
      </c>
      <c r="AC150" s="308">
        <f t="shared" si="64"/>
        <v>0</v>
      </c>
      <c r="AD150" s="101">
        <f t="shared" si="72"/>
        <v>0</v>
      </c>
      <c r="AE150" s="101">
        <f t="shared" si="73"/>
        <v>0</v>
      </c>
      <c r="AF150" s="197">
        <f t="shared" si="60"/>
        <v>0</v>
      </c>
      <c r="AG150" s="197">
        <f t="shared" si="61"/>
        <v>0</v>
      </c>
      <c r="AH150" s="197">
        <f t="shared" si="62"/>
        <v>0</v>
      </c>
      <c r="AI150" s="202">
        <f t="shared" si="63"/>
        <v>0</v>
      </c>
      <c r="AK150" s="71">
        <v>145</v>
      </c>
      <c r="AL150" s="33"/>
      <c r="AM150" s="33"/>
      <c r="AN150" s="33"/>
      <c r="AO150" s="33"/>
      <c r="AP150" s="33"/>
      <c r="AQ150" s="197"/>
      <c r="AR150" s="197"/>
      <c r="AS150" s="197"/>
      <c r="AT150" s="197"/>
      <c r="AU150" s="33"/>
      <c r="AV150" s="33"/>
      <c r="AW150" s="33"/>
      <c r="AX150" s="33"/>
      <c r="AY150" s="76"/>
    </row>
    <row r="151" spans="3:51">
      <c r="C151" s="169" t="s">
        <v>26</v>
      </c>
      <c r="D151" s="4">
        <v>0.6</v>
      </c>
      <c r="E151" s="191" t="s">
        <v>228</v>
      </c>
      <c r="I151" s="55">
        <v>146</v>
      </c>
      <c r="J151" s="33">
        <f t="shared" si="76"/>
        <v>0</v>
      </c>
      <c r="K151" s="33">
        <f t="shared" si="77"/>
        <v>0</v>
      </c>
      <c r="L151" s="33">
        <f t="shared" si="78"/>
        <v>0</v>
      </c>
      <c r="M151" s="33">
        <f t="shared" si="79"/>
        <v>0</v>
      </c>
      <c r="N151" s="33">
        <f t="shared" si="65"/>
        <v>0</v>
      </c>
      <c r="O151" s="34">
        <f t="shared" si="66"/>
        <v>0</v>
      </c>
      <c r="P151" s="55">
        <v>146</v>
      </c>
      <c r="Q151" s="33">
        <f t="shared" si="74"/>
        <v>0</v>
      </c>
      <c r="R151" s="33">
        <f t="shared" si="80"/>
        <v>0</v>
      </c>
      <c r="S151" s="33">
        <f t="shared" si="81"/>
        <v>0</v>
      </c>
      <c r="T151" s="33">
        <f t="shared" si="67"/>
        <v>0</v>
      </c>
      <c r="U151" s="33">
        <f t="shared" si="75"/>
        <v>0</v>
      </c>
      <c r="V151" s="33">
        <f t="shared" si="68"/>
        <v>0</v>
      </c>
      <c r="W151" s="33">
        <v>0</v>
      </c>
      <c r="X151" s="33">
        <f t="shared" si="69"/>
        <v>0</v>
      </c>
      <c r="Y151" s="38">
        <f t="shared" si="70"/>
        <v>0</v>
      </c>
      <c r="AA151" s="71">
        <v>146</v>
      </c>
      <c r="AB151" s="33">
        <f t="shared" si="71"/>
        <v>0</v>
      </c>
      <c r="AC151" s="308">
        <f t="shared" si="64"/>
        <v>0</v>
      </c>
      <c r="AD151" s="101">
        <f t="shared" si="72"/>
        <v>0</v>
      </c>
      <c r="AE151" s="101">
        <f t="shared" si="73"/>
        <v>0</v>
      </c>
      <c r="AF151" s="197">
        <f t="shared" si="60"/>
        <v>0</v>
      </c>
      <c r="AG151" s="197">
        <f t="shared" si="61"/>
        <v>0</v>
      </c>
      <c r="AH151" s="197">
        <f t="shared" si="62"/>
        <v>0</v>
      </c>
      <c r="AI151" s="202">
        <f t="shared" si="63"/>
        <v>0</v>
      </c>
      <c r="AK151" s="71">
        <v>146</v>
      </c>
      <c r="AL151" s="33"/>
      <c r="AM151" s="33"/>
      <c r="AN151" s="33"/>
      <c r="AO151" s="33"/>
      <c r="AP151" s="33"/>
      <c r="AQ151" s="197"/>
      <c r="AR151" s="197"/>
      <c r="AS151" s="197"/>
      <c r="AT151" s="197"/>
      <c r="AU151" s="33"/>
      <c r="AV151" s="33"/>
      <c r="AW151" s="33"/>
      <c r="AX151" s="33"/>
      <c r="AY151" s="76"/>
    </row>
    <row r="152" spans="3:51">
      <c r="C152" s="169" t="s">
        <v>27</v>
      </c>
      <c r="D152" s="4">
        <v>0.43</v>
      </c>
      <c r="E152" s="191" t="s">
        <v>229</v>
      </c>
      <c r="I152" s="55">
        <v>147</v>
      </c>
      <c r="J152" s="33">
        <f t="shared" si="76"/>
        <v>0</v>
      </c>
      <c r="K152" s="33">
        <f t="shared" si="77"/>
        <v>0</v>
      </c>
      <c r="L152" s="33">
        <f t="shared" si="78"/>
        <v>0</v>
      </c>
      <c r="M152" s="33">
        <f t="shared" si="79"/>
        <v>0</v>
      </c>
      <c r="N152" s="33">
        <f t="shared" si="65"/>
        <v>0</v>
      </c>
      <c r="O152" s="34">
        <f t="shared" si="66"/>
        <v>0</v>
      </c>
      <c r="P152" s="55">
        <v>147</v>
      </c>
      <c r="Q152" s="33">
        <f t="shared" si="74"/>
        <v>0</v>
      </c>
      <c r="R152" s="33">
        <f t="shared" si="80"/>
        <v>0</v>
      </c>
      <c r="S152" s="33">
        <f t="shared" si="81"/>
        <v>0</v>
      </c>
      <c r="T152" s="33">
        <f t="shared" si="67"/>
        <v>0</v>
      </c>
      <c r="U152" s="33">
        <f t="shared" si="75"/>
        <v>0</v>
      </c>
      <c r="V152" s="33">
        <f t="shared" si="68"/>
        <v>0</v>
      </c>
      <c r="W152" s="33">
        <v>0</v>
      </c>
      <c r="X152" s="33">
        <f t="shared" si="69"/>
        <v>0</v>
      </c>
      <c r="Y152" s="38">
        <f t="shared" si="70"/>
        <v>0</v>
      </c>
      <c r="AA152" s="71">
        <v>147</v>
      </c>
      <c r="AB152" s="33">
        <f t="shared" si="71"/>
        <v>0</v>
      </c>
      <c r="AC152" s="308">
        <f t="shared" si="64"/>
        <v>0</v>
      </c>
      <c r="AD152" s="101">
        <f t="shared" si="72"/>
        <v>0</v>
      </c>
      <c r="AE152" s="101">
        <f t="shared" si="73"/>
        <v>0</v>
      </c>
      <c r="AF152" s="197">
        <f t="shared" si="60"/>
        <v>0</v>
      </c>
      <c r="AG152" s="197">
        <f t="shared" si="61"/>
        <v>0</v>
      </c>
      <c r="AH152" s="197">
        <f t="shared" si="62"/>
        <v>0</v>
      </c>
      <c r="AI152" s="202">
        <f t="shared" si="63"/>
        <v>0</v>
      </c>
      <c r="AK152" s="71">
        <v>147</v>
      </c>
      <c r="AL152" s="33"/>
      <c r="AM152" s="33"/>
      <c r="AN152" s="33"/>
      <c r="AO152" s="33"/>
      <c r="AP152" s="33"/>
      <c r="AQ152" s="197"/>
      <c r="AR152" s="197"/>
      <c r="AS152" s="197"/>
      <c r="AT152" s="197"/>
      <c r="AU152" s="33"/>
      <c r="AV152" s="33"/>
      <c r="AW152" s="33"/>
      <c r="AX152" s="33"/>
      <c r="AY152" s="76"/>
    </row>
    <row r="153" spans="3:51">
      <c r="C153" s="169" t="s">
        <v>28</v>
      </c>
      <c r="D153" s="4">
        <v>0.37</v>
      </c>
      <c r="E153" s="191" t="s">
        <v>229</v>
      </c>
      <c r="I153" s="55">
        <v>148</v>
      </c>
      <c r="J153" s="33">
        <f t="shared" si="76"/>
        <v>0</v>
      </c>
      <c r="K153" s="33">
        <f t="shared" si="77"/>
        <v>0</v>
      </c>
      <c r="L153" s="33">
        <f t="shared" si="78"/>
        <v>0</v>
      </c>
      <c r="M153" s="33">
        <f t="shared" si="79"/>
        <v>0</v>
      </c>
      <c r="N153" s="33">
        <f t="shared" si="65"/>
        <v>0</v>
      </c>
      <c r="O153" s="34">
        <f t="shared" si="66"/>
        <v>0</v>
      </c>
      <c r="P153" s="55">
        <v>148</v>
      </c>
      <c r="Q153" s="33">
        <f t="shared" si="74"/>
        <v>0</v>
      </c>
      <c r="R153" s="33">
        <f t="shared" si="80"/>
        <v>0</v>
      </c>
      <c r="S153" s="33">
        <f t="shared" si="81"/>
        <v>0</v>
      </c>
      <c r="T153" s="33">
        <f t="shared" si="67"/>
        <v>0</v>
      </c>
      <c r="U153" s="33">
        <f t="shared" si="75"/>
        <v>0</v>
      </c>
      <c r="V153" s="33">
        <f t="shared" si="68"/>
        <v>0</v>
      </c>
      <c r="W153" s="33">
        <v>0</v>
      </c>
      <c r="X153" s="33">
        <f t="shared" si="69"/>
        <v>0</v>
      </c>
      <c r="Y153" s="38">
        <f t="shared" si="70"/>
        <v>0</v>
      </c>
      <c r="AA153" s="71">
        <v>148</v>
      </c>
      <c r="AB153" s="33">
        <f t="shared" si="71"/>
        <v>0</v>
      </c>
      <c r="AC153" s="308">
        <f t="shared" si="64"/>
        <v>0</v>
      </c>
      <c r="AD153" s="101">
        <f t="shared" si="72"/>
        <v>0</v>
      </c>
      <c r="AE153" s="101">
        <f t="shared" si="73"/>
        <v>0</v>
      </c>
      <c r="AF153" s="197">
        <f t="shared" si="60"/>
        <v>0</v>
      </c>
      <c r="AG153" s="197">
        <f t="shared" si="61"/>
        <v>0</v>
      </c>
      <c r="AH153" s="197">
        <f t="shared" si="62"/>
        <v>0</v>
      </c>
      <c r="AI153" s="202">
        <f t="shared" si="63"/>
        <v>0</v>
      </c>
      <c r="AK153" s="71">
        <v>148</v>
      </c>
      <c r="AL153" s="33"/>
      <c r="AM153" s="33"/>
      <c r="AN153" s="33"/>
      <c r="AO153" s="33"/>
      <c r="AP153" s="33"/>
      <c r="AQ153" s="197"/>
      <c r="AR153" s="197"/>
      <c r="AS153" s="197"/>
      <c r="AT153" s="197"/>
      <c r="AU153" s="33"/>
      <c r="AV153" s="33"/>
      <c r="AW153" s="33"/>
      <c r="AX153" s="33"/>
      <c r="AY153" s="76"/>
    </row>
    <row r="154" spans="3:51">
      <c r="C154" s="169" t="s">
        <v>29</v>
      </c>
      <c r="D154" s="4">
        <v>0.36</v>
      </c>
      <c r="E154" s="191" t="s">
        <v>229</v>
      </c>
      <c r="I154" s="55">
        <v>149</v>
      </c>
      <c r="J154" s="33">
        <f t="shared" si="76"/>
        <v>0</v>
      </c>
      <c r="K154" s="33">
        <f t="shared" si="77"/>
        <v>0</v>
      </c>
      <c r="L154" s="33">
        <f t="shared" si="78"/>
        <v>0</v>
      </c>
      <c r="M154" s="33">
        <f t="shared" si="79"/>
        <v>0</v>
      </c>
      <c r="N154" s="33">
        <f t="shared" si="65"/>
        <v>0</v>
      </c>
      <c r="O154" s="34">
        <f t="shared" si="66"/>
        <v>0</v>
      </c>
      <c r="P154" s="55">
        <v>149</v>
      </c>
      <c r="Q154" s="33">
        <f t="shared" si="74"/>
        <v>0</v>
      </c>
      <c r="R154" s="33">
        <f t="shared" si="80"/>
        <v>0</v>
      </c>
      <c r="S154" s="33">
        <f t="shared" si="81"/>
        <v>0</v>
      </c>
      <c r="T154" s="33">
        <f t="shared" si="67"/>
        <v>0</v>
      </c>
      <c r="U154" s="33">
        <f t="shared" si="75"/>
        <v>0</v>
      </c>
      <c r="V154" s="33">
        <f t="shared" si="68"/>
        <v>0</v>
      </c>
      <c r="W154" s="33">
        <v>0</v>
      </c>
      <c r="X154" s="33">
        <f t="shared" si="69"/>
        <v>0</v>
      </c>
      <c r="Y154" s="38">
        <f t="shared" si="70"/>
        <v>0</v>
      </c>
      <c r="AA154" s="71">
        <v>149</v>
      </c>
      <c r="AB154" s="33">
        <f t="shared" si="71"/>
        <v>0</v>
      </c>
      <c r="AC154" s="308">
        <f t="shared" si="64"/>
        <v>0</v>
      </c>
      <c r="AD154" s="101">
        <f t="shared" si="72"/>
        <v>0</v>
      </c>
      <c r="AE154" s="101">
        <f t="shared" si="73"/>
        <v>0</v>
      </c>
      <c r="AF154" s="197">
        <f t="shared" si="60"/>
        <v>0</v>
      </c>
      <c r="AG154" s="197">
        <f t="shared" si="61"/>
        <v>0</v>
      </c>
      <c r="AH154" s="197">
        <f t="shared" si="62"/>
        <v>0</v>
      </c>
      <c r="AI154" s="202">
        <f t="shared" si="63"/>
        <v>0</v>
      </c>
      <c r="AK154" s="71">
        <v>149</v>
      </c>
      <c r="AL154" s="33"/>
      <c r="AM154" s="33"/>
      <c r="AN154" s="33"/>
      <c r="AO154" s="33"/>
      <c r="AP154" s="33"/>
      <c r="AQ154" s="197"/>
      <c r="AR154" s="197"/>
      <c r="AS154" s="197"/>
      <c r="AT154" s="197"/>
      <c r="AU154" s="33"/>
      <c r="AV154" s="33"/>
      <c r="AW154" s="33"/>
      <c r="AX154" s="33"/>
      <c r="AY154" s="76"/>
    </row>
    <row r="155" spans="3:51">
      <c r="C155" s="169" t="s">
        <v>30</v>
      </c>
      <c r="D155" s="4">
        <v>0.51</v>
      </c>
      <c r="E155" s="191" t="s">
        <v>228</v>
      </c>
      <c r="I155" s="55">
        <v>150</v>
      </c>
      <c r="J155" s="33">
        <f t="shared" si="76"/>
        <v>0</v>
      </c>
      <c r="K155" s="33">
        <f t="shared" si="77"/>
        <v>0</v>
      </c>
      <c r="L155" s="33">
        <f t="shared" si="78"/>
        <v>0</v>
      </c>
      <c r="M155" s="33">
        <f t="shared" si="79"/>
        <v>0</v>
      </c>
      <c r="N155" s="33">
        <f t="shared" si="65"/>
        <v>0</v>
      </c>
      <c r="O155" s="34">
        <f t="shared" si="66"/>
        <v>0</v>
      </c>
      <c r="P155" s="55">
        <v>150</v>
      </c>
      <c r="Q155" s="33">
        <f t="shared" si="74"/>
        <v>0</v>
      </c>
      <c r="R155" s="33">
        <f t="shared" si="80"/>
        <v>0</v>
      </c>
      <c r="S155" s="33">
        <f t="shared" si="81"/>
        <v>0</v>
      </c>
      <c r="T155" s="33">
        <f t="shared" si="67"/>
        <v>0</v>
      </c>
      <c r="U155" s="33">
        <f t="shared" si="75"/>
        <v>0</v>
      </c>
      <c r="V155" s="33">
        <f t="shared" si="68"/>
        <v>0</v>
      </c>
      <c r="W155" s="33">
        <v>0</v>
      </c>
      <c r="X155" s="33">
        <f t="shared" si="69"/>
        <v>0</v>
      </c>
      <c r="Y155" s="38">
        <f t="shared" si="70"/>
        <v>0</v>
      </c>
      <c r="AA155" s="71">
        <v>150</v>
      </c>
      <c r="AB155" s="33">
        <f t="shared" si="71"/>
        <v>0</v>
      </c>
      <c r="AC155" s="308">
        <f t="shared" si="64"/>
        <v>0</v>
      </c>
      <c r="AD155" s="101">
        <f t="shared" si="72"/>
        <v>0</v>
      </c>
      <c r="AE155" s="101">
        <f t="shared" si="73"/>
        <v>0</v>
      </c>
      <c r="AF155" s="197">
        <f t="shared" ref="AF155:AF205" si="82">IF(OR(AA155&lt;=$F$18,AA155&lt;=30),EXP(-LN(2)/$D$104)*AF154+((1-EXP(-LN(2)/$D$104))/(LN(2)/$D$104))*$AB155*AC155*0.475*$F$19*44/12,)</f>
        <v>0</v>
      </c>
      <c r="AG155" s="197">
        <f t="shared" ref="AG155:AG205" si="83">IF(OR(AA155&lt;=$F$18,AA155&lt;=30),EXP(-LN(2)/$D$106)*AG154+((1-EXP(-LN(2)/$D$106))/(LN(2)/$D$106))*$AB155*AD155*0.475*$F$19*44/12,)</f>
        <v>0</v>
      </c>
      <c r="AH155" s="197">
        <f t="shared" ref="AH155:AH205" si="84">IF(OR(AA155&lt;=$F$18,AA155&lt;=30),EXP(-LN(2)/$D$105)*AH154+((1-EXP(-LN(2)/$D$105))/(LN(2)/$D$105))*$AB155*AE155*0.475*$F$19*44/12,)</f>
        <v>0</v>
      </c>
      <c r="AI155" s="202">
        <f t="shared" ref="AI155:AI205" si="85">IF(OR(AA155&lt;=$F$18,AA155&lt;=30),SUM(AF155:AH155),)</f>
        <v>0</v>
      </c>
      <c r="AK155" s="71">
        <v>150</v>
      </c>
      <c r="AL155" s="33"/>
      <c r="AM155" s="33"/>
      <c r="AN155" s="33"/>
      <c r="AO155" s="33"/>
      <c r="AP155" s="33"/>
      <c r="AQ155" s="197"/>
      <c r="AR155" s="197"/>
      <c r="AS155" s="197"/>
      <c r="AT155" s="197"/>
      <c r="AU155" s="33"/>
      <c r="AV155" s="33"/>
      <c r="AW155" s="33"/>
      <c r="AX155" s="33"/>
      <c r="AY155" s="76"/>
    </row>
    <row r="156" spans="3:51">
      <c r="C156" s="169" t="s">
        <v>31</v>
      </c>
      <c r="D156" s="4">
        <v>0.56000000000000005</v>
      </c>
      <c r="E156" s="191" t="s">
        <v>228</v>
      </c>
      <c r="I156" s="55">
        <v>151</v>
      </c>
      <c r="J156" s="33">
        <f t="shared" si="76"/>
        <v>0</v>
      </c>
      <c r="K156" s="33">
        <f t="shared" si="77"/>
        <v>0</v>
      </c>
      <c r="L156" s="33">
        <f t="shared" si="78"/>
        <v>0</v>
      </c>
      <c r="M156" s="33">
        <f t="shared" si="79"/>
        <v>0</v>
      </c>
      <c r="N156" s="33">
        <f t="shared" si="65"/>
        <v>0</v>
      </c>
      <c r="O156" s="34">
        <f t="shared" si="66"/>
        <v>0</v>
      </c>
      <c r="P156" s="55">
        <v>151</v>
      </c>
      <c r="Q156" s="33">
        <f t="shared" si="74"/>
        <v>0</v>
      </c>
      <c r="R156" s="33">
        <f t="shared" si="80"/>
        <v>0</v>
      </c>
      <c r="S156" s="33">
        <f t="shared" si="81"/>
        <v>0</v>
      </c>
      <c r="T156" s="33">
        <f t="shared" si="67"/>
        <v>0</v>
      </c>
      <c r="U156" s="33">
        <f t="shared" si="75"/>
        <v>0</v>
      </c>
      <c r="V156" s="33">
        <f t="shared" si="68"/>
        <v>0</v>
      </c>
      <c r="W156" s="33">
        <v>0</v>
      </c>
      <c r="X156" s="33">
        <f t="shared" si="69"/>
        <v>0</v>
      </c>
      <c r="Y156" s="38">
        <f t="shared" si="70"/>
        <v>0</v>
      </c>
      <c r="AA156" s="71">
        <v>151</v>
      </c>
      <c r="AB156" s="33">
        <f t="shared" si="71"/>
        <v>0</v>
      </c>
      <c r="AC156" s="308">
        <f t="shared" si="64"/>
        <v>0</v>
      </c>
      <c r="AD156" s="101">
        <f t="shared" si="72"/>
        <v>0</v>
      </c>
      <c r="AE156" s="101">
        <f t="shared" si="73"/>
        <v>0</v>
      </c>
      <c r="AF156" s="197">
        <f t="shared" si="82"/>
        <v>0</v>
      </c>
      <c r="AG156" s="197">
        <f t="shared" si="83"/>
        <v>0</v>
      </c>
      <c r="AH156" s="197">
        <f t="shared" si="84"/>
        <v>0</v>
      </c>
      <c r="AI156" s="202">
        <f t="shared" si="85"/>
        <v>0</v>
      </c>
      <c r="AK156" s="71">
        <v>151</v>
      </c>
      <c r="AL156" s="33"/>
      <c r="AM156" s="33"/>
      <c r="AN156" s="33"/>
      <c r="AO156" s="33"/>
      <c r="AP156" s="33"/>
      <c r="AQ156" s="197"/>
      <c r="AR156" s="197"/>
      <c r="AS156" s="197"/>
      <c r="AT156" s="197"/>
      <c r="AU156" s="33"/>
      <c r="AV156" s="33"/>
      <c r="AW156" s="33"/>
      <c r="AX156" s="33"/>
      <c r="AY156" s="76"/>
    </row>
    <row r="157" spans="3:51">
      <c r="C157" s="169" t="s">
        <v>32</v>
      </c>
      <c r="D157" s="4">
        <v>0.56000000000000005</v>
      </c>
      <c r="E157" s="191" t="s">
        <v>228</v>
      </c>
      <c r="I157" s="55">
        <v>152</v>
      </c>
      <c r="J157" s="33">
        <f t="shared" si="76"/>
        <v>0</v>
      </c>
      <c r="K157" s="33">
        <f t="shared" si="77"/>
        <v>0</v>
      </c>
      <c r="L157" s="33">
        <f t="shared" si="78"/>
        <v>0</v>
      </c>
      <c r="M157" s="33">
        <f t="shared" si="79"/>
        <v>0</v>
      </c>
      <c r="N157" s="33">
        <f t="shared" si="65"/>
        <v>0</v>
      </c>
      <c r="O157" s="34">
        <f t="shared" si="66"/>
        <v>0</v>
      </c>
      <c r="P157" s="55">
        <v>152</v>
      </c>
      <c r="Q157" s="33">
        <f t="shared" si="74"/>
        <v>0</v>
      </c>
      <c r="R157" s="33">
        <f t="shared" si="80"/>
        <v>0</v>
      </c>
      <c r="S157" s="33">
        <f t="shared" si="81"/>
        <v>0</v>
      </c>
      <c r="T157" s="33">
        <f t="shared" si="67"/>
        <v>0</v>
      </c>
      <c r="U157" s="33">
        <f t="shared" si="75"/>
        <v>0</v>
      </c>
      <c r="V157" s="33">
        <f t="shared" si="68"/>
        <v>0</v>
      </c>
      <c r="W157" s="33">
        <v>0</v>
      </c>
      <c r="X157" s="33">
        <f t="shared" si="69"/>
        <v>0</v>
      </c>
      <c r="Y157" s="38">
        <f t="shared" si="70"/>
        <v>0</v>
      </c>
      <c r="AA157" s="71">
        <v>152</v>
      </c>
      <c r="AB157" s="33">
        <f t="shared" si="71"/>
        <v>0</v>
      </c>
      <c r="AC157" s="308">
        <f t="shared" si="64"/>
        <v>0</v>
      </c>
      <c r="AD157" s="101">
        <f t="shared" si="72"/>
        <v>0</v>
      </c>
      <c r="AE157" s="101">
        <f t="shared" si="73"/>
        <v>0</v>
      </c>
      <c r="AF157" s="197">
        <f t="shared" si="82"/>
        <v>0</v>
      </c>
      <c r="AG157" s="197">
        <f t="shared" si="83"/>
        <v>0</v>
      </c>
      <c r="AH157" s="197">
        <f t="shared" si="84"/>
        <v>0</v>
      </c>
      <c r="AI157" s="202">
        <f t="shared" si="85"/>
        <v>0</v>
      </c>
      <c r="AK157" s="71">
        <v>152</v>
      </c>
      <c r="AL157" s="33"/>
      <c r="AM157" s="33"/>
      <c r="AN157" s="33"/>
      <c r="AO157" s="33"/>
      <c r="AP157" s="33"/>
      <c r="AQ157" s="197"/>
      <c r="AR157" s="197"/>
      <c r="AS157" s="197"/>
      <c r="AT157" s="197"/>
      <c r="AU157" s="33"/>
      <c r="AV157" s="33"/>
      <c r="AW157" s="33"/>
      <c r="AX157" s="33"/>
      <c r="AY157" s="76"/>
    </row>
    <row r="158" spans="3:51">
      <c r="C158" s="169" t="s">
        <v>33</v>
      </c>
      <c r="D158" s="4">
        <v>0.48</v>
      </c>
      <c r="E158" s="191" t="s">
        <v>228</v>
      </c>
      <c r="I158" s="55">
        <v>153</v>
      </c>
      <c r="J158" s="33">
        <f t="shared" si="76"/>
        <v>0</v>
      </c>
      <c r="K158" s="33">
        <f t="shared" si="77"/>
        <v>0</v>
      </c>
      <c r="L158" s="33">
        <f t="shared" si="78"/>
        <v>0</v>
      </c>
      <c r="M158" s="33">
        <f t="shared" si="79"/>
        <v>0</v>
      </c>
      <c r="N158" s="33">
        <f t="shared" si="65"/>
        <v>0</v>
      </c>
      <c r="O158" s="34">
        <f t="shared" si="66"/>
        <v>0</v>
      </c>
      <c r="P158" s="55">
        <v>153</v>
      </c>
      <c r="Q158" s="33">
        <f t="shared" si="74"/>
        <v>0</v>
      </c>
      <c r="R158" s="33">
        <f t="shared" si="80"/>
        <v>0</v>
      </c>
      <c r="S158" s="33">
        <f t="shared" si="81"/>
        <v>0</v>
      </c>
      <c r="T158" s="33">
        <f t="shared" si="67"/>
        <v>0</v>
      </c>
      <c r="U158" s="33">
        <f t="shared" si="75"/>
        <v>0</v>
      </c>
      <c r="V158" s="33">
        <f t="shared" si="68"/>
        <v>0</v>
      </c>
      <c r="W158" s="33">
        <v>0</v>
      </c>
      <c r="X158" s="33">
        <f t="shared" si="69"/>
        <v>0</v>
      </c>
      <c r="Y158" s="38">
        <f t="shared" si="70"/>
        <v>0</v>
      </c>
      <c r="AA158" s="71">
        <v>153</v>
      </c>
      <c r="AB158" s="33">
        <f t="shared" si="71"/>
        <v>0</v>
      </c>
      <c r="AC158" s="308">
        <f t="shared" si="64"/>
        <v>0</v>
      </c>
      <c r="AD158" s="101">
        <f t="shared" si="72"/>
        <v>0</v>
      </c>
      <c r="AE158" s="101">
        <f t="shared" si="73"/>
        <v>0</v>
      </c>
      <c r="AF158" s="197">
        <f t="shared" si="82"/>
        <v>0</v>
      </c>
      <c r="AG158" s="197">
        <f t="shared" si="83"/>
        <v>0</v>
      </c>
      <c r="AH158" s="197">
        <f t="shared" si="84"/>
        <v>0</v>
      </c>
      <c r="AI158" s="202">
        <f t="shared" si="85"/>
        <v>0</v>
      </c>
      <c r="AK158" s="71">
        <v>153</v>
      </c>
      <c r="AL158" s="33"/>
      <c r="AM158" s="33"/>
      <c r="AN158" s="33"/>
      <c r="AO158" s="33"/>
      <c r="AP158" s="33"/>
      <c r="AQ158" s="197"/>
      <c r="AR158" s="197"/>
      <c r="AS158" s="197"/>
      <c r="AT158" s="197"/>
      <c r="AU158" s="33"/>
      <c r="AV158" s="33"/>
      <c r="AW158" s="33"/>
      <c r="AX158" s="33"/>
      <c r="AY158" s="76"/>
    </row>
    <row r="159" spans="3:51">
      <c r="C159" s="169" t="s">
        <v>34</v>
      </c>
      <c r="D159" s="4">
        <v>0.55000000000000004</v>
      </c>
      <c r="E159" s="191" t="s">
        <v>228</v>
      </c>
      <c r="I159" s="55">
        <v>154</v>
      </c>
      <c r="J159" s="33">
        <f t="shared" si="76"/>
        <v>0</v>
      </c>
      <c r="K159" s="33">
        <f t="shared" si="77"/>
        <v>0</v>
      </c>
      <c r="L159" s="33">
        <f t="shared" si="78"/>
        <v>0</v>
      </c>
      <c r="M159" s="33">
        <f t="shared" si="79"/>
        <v>0</v>
      </c>
      <c r="N159" s="33">
        <f t="shared" si="65"/>
        <v>0</v>
      </c>
      <c r="O159" s="34">
        <f t="shared" si="66"/>
        <v>0</v>
      </c>
      <c r="P159" s="55">
        <v>154</v>
      </c>
      <c r="Q159" s="33">
        <f t="shared" si="74"/>
        <v>0</v>
      </c>
      <c r="R159" s="33">
        <f t="shared" si="80"/>
        <v>0</v>
      </c>
      <c r="S159" s="33">
        <f t="shared" si="81"/>
        <v>0</v>
      </c>
      <c r="T159" s="33">
        <f t="shared" si="67"/>
        <v>0</v>
      </c>
      <c r="U159" s="33">
        <f t="shared" si="75"/>
        <v>0</v>
      </c>
      <c r="V159" s="33">
        <f t="shared" si="68"/>
        <v>0</v>
      </c>
      <c r="W159" s="33">
        <v>0</v>
      </c>
      <c r="X159" s="33">
        <f t="shared" si="69"/>
        <v>0</v>
      </c>
      <c r="Y159" s="38">
        <f t="shared" si="70"/>
        <v>0</v>
      </c>
      <c r="AA159" s="71">
        <v>154</v>
      </c>
      <c r="AB159" s="33">
        <f t="shared" si="71"/>
        <v>0</v>
      </c>
      <c r="AC159" s="308">
        <f t="shared" ref="AC159:AC205" si="86">IF(AA159&lt;=$F$18,IFERROR(VLOOKUP($AA159,$B$82:$G$94,3,FALSE),0),)*50%</f>
        <v>0</v>
      </c>
      <c r="AD159" s="101">
        <f t="shared" si="72"/>
        <v>0</v>
      </c>
      <c r="AE159" s="101">
        <f t="shared" si="73"/>
        <v>0</v>
      </c>
      <c r="AF159" s="197">
        <f t="shared" si="82"/>
        <v>0</v>
      </c>
      <c r="AG159" s="197">
        <f t="shared" si="83"/>
        <v>0</v>
      </c>
      <c r="AH159" s="197">
        <f t="shared" si="84"/>
        <v>0</v>
      </c>
      <c r="AI159" s="202">
        <f t="shared" si="85"/>
        <v>0</v>
      </c>
      <c r="AK159" s="71">
        <v>154</v>
      </c>
      <c r="AL159" s="33"/>
      <c r="AM159" s="33"/>
      <c r="AN159" s="33"/>
      <c r="AO159" s="33"/>
      <c r="AP159" s="33"/>
      <c r="AQ159" s="197"/>
      <c r="AR159" s="197"/>
      <c r="AS159" s="197"/>
      <c r="AT159" s="197"/>
      <c r="AU159" s="33"/>
      <c r="AV159" s="33"/>
      <c r="AW159" s="33"/>
      <c r="AX159" s="33"/>
      <c r="AY159" s="76"/>
    </row>
    <row r="160" spans="3:51">
      <c r="C160" s="169" t="s">
        <v>35</v>
      </c>
      <c r="D160" s="4">
        <v>0.56000000000000005</v>
      </c>
      <c r="E160" s="191" t="s">
        <v>228</v>
      </c>
      <c r="I160" s="55">
        <v>155</v>
      </c>
      <c r="J160" s="33">
        <f t="shared" si="76"/>
        <v>0</v>
      </c>
      <c r="K160" s="33">
        <f t="shared" si="77"/>
        <v>0</v>
      </c>
      <c r="L160" s="33">
        <f t="shared" si="78"/>
        <v>0</v>
      </c>
      <c r="M160" s="33">
        <f t="shared" si="79"/>
        <v>0</v>
      </c>
      <c r="N160" s="33">
        <f t="shared" si="65"/>
        <v>0</v>
      </c>
      <c r="O160" s="34">
        <f t="shared" si="66"/>
        <v>0</v>
      </c>
      <c r="P160" s="55">
        <v>155</v>
      </c>
      <c r="Q160" s="33">
        <f t="shared" si="74"/>
        <v>0</v>
      </c>
      <c r="R160" s="33">
        <f t="shared" si="80"/>
        <v>0</v>
      </c>
      <c r="S160" s="33">
        <f t="shared" si="81"/>
        <v>0</v>
      </c>
      <c r="T160" s="33">
        <f t="shared" si="67"/>
        <v>0</v>
      </c>
      <c r="U160" s="33">
        <f t="shared" si="75"/>
        <v>0</v>
      </c>
      <c r="V160" s="33">
        <f t="shared" si="68"/>
        <v>0</v>
      </c>
      <c r="W160" s="33">
        <v>0</v>
      </c>
      <c r="X160" s="33">
        <f t="shared" si="69"/>
        <v>0</v>
      </c>
      <c r="Y160" s="38">
        <f t="shared" si="70"/>
        <v>0</v>
      </c>
      <c r="AA160" s="71">
        <v>155</v>
      </c>
      <c r="AB160" s="33">
        <f t="shared" si="71"/>
        <v>0</v>
      </c>
      <c r="AC160" s="308">
        <f t="shared" si="86"/>
        <v>0</v>
      </c>
      <c r="AD160" s="101">
        <f t="shared" si="72"/>
        <v>0</v>
      </c>
      <c r="AE160" s="101">
        <f t="shared" si="73"/>
        <v>0</v>
      </c>
      <c r="AF160" s="197">
        <f t="shared" si="82"/>
        <v>0</v>
      </c>
      <c r="AG160" s="197">
        <f t="shared" si="83"/>
        <v>0</v>
      </c>
      <c r="AH160" s="197">
        <f t="shared" si="84"/>
        <v>0</v>
      </c>
      <c r="AI160" s="202">
        <f t="shared" si="85"/>
        <v>0</v>
      </c>
      <c r="AK160" s="71">
        <v>155</v>
      </c>
      <c r="AL160" s="33"/>
      <c r="AM160" s="33"/>
      <c r="AN160" s="33"/>
      <c r="AO160" s="33"/>
      <c r="AP160" s="33"/>
      <c r="AQ160" s="197"/>
      <c r="AR160" s="197"/>
      <c r="AS160" s="197"/>
      <c r="AT160" s="197"/>
      <c r="AU160" s="33"/>
      <c r="AV160" s="33"/>
      <c r="AW160" s="33"/>
      <c r="AX160" s="33"/>
      <c r="AY160" s="76"/>
    </row>
    <row r="161" spans="3:51">
      <c r="C161" s="169" t="s">
        <v>36</v>
      </c>
      <c r="D161" s="4">
        <v>0.57999999999999996</v>
      </c>
      <c r="E161" s="191" t="s">
        <v>228</v>
      </c>
      <c r="I161" s="55">
        <v>156</v>
      </c>
      <c r="J161" s="33">
        <f t="shared" si="76"/>
        <v>0</v>
      </c>
      <c r="K161" s="33">
        <f t="shared" si="77"/>
        <v>0</v>
      </c>
      <c r="L161" s="33">
        <f t="shared" si="78"/>
        <v>0</v>
      </c>
      <c r="M161" s="33">
        <f t="shared" si="79"/>
        <v>0</v>
      </c>
      <c r="N161" s="33">
        <f t="shared" si="65"/>
        <v>0</v>
      </c>
      <c r="O161" s="34">
        <f t="shared" si="66"/>
        <v>0</v>
      </c>
      <c r="P161" s="55">
        <v>156</v>
      </c>
      <c r="Q161" s="33">
        <f t="shared" si="74"/>
        <v>0</v>
      </c>
      <c r="R161" s="33">
        <f t="shared" si="80"/>
        <v>0</v>
      </c>
      <c r="S161" s="33">
        <f t="shared" si="81"/>
        <v>0</v>
      </c>
      <c r="T161" s="33">
        <f t="shared" si="67"/>
        <v>0</v>
      </c>
      <c r="U161" s="33">
        <f t="shared" si="75"/>
        <v>0</v>
      </c>
      <c r="V161" s="33">
        <f t="shared" si="68"/>
        <v>0</v>
      </c>
      <c r="W161" s="33">
        <v>0</v>
      </c>
      <c r="X161" s="33">
        <f t="shared" si="69"/>
        <v>0</v>
      </c>
      <c r="Y161" s="38">
        <f t="shared" si="70"/>
        <v>0</v>
      </c>
      <c r="AA161" s="71">
        <v>156</v>
      </c>
      <c r="AB161" s="33">
        <f t="shared" si="71"/>
        <v>0</v>
      </c>
      <c r="AC161" s="308">
        <f t="shared" si="86"/>
        <v>0</v>
      </c>
      <c r="AD161" s="101">
        <f t="shared" si="72"/>
        <v>0</v>
      </c>
      <c r="AE161" s="101">
        <f t="shared" si="73"/>
        <v>0</v>
      </c>
      <c r="AF161" s="197">
        <f t="shared" si="82"/>
        <v>0</v>
      </c>
      <c r="AG161" s="197">
        <f t="shared" si="83"/>
        <v>0</v>
      </c>
      <c r="AH161" s="197">
        <f t="shared" si="84"/>
        <v>0</v>
      </c>
      <c r="AI161" s="202">
        <f t="shared" si="85"/>
        <v>0</v>
      </c>
      <c r="AK161" s="71">
        <v>156</v>
      </c>
      <c r="AL161" s="33"/>
      <c r="AM161" s="33"/>
      <c r="AN161" s="33"/>
      <c r="AO161" s="33"/>
      <c r="AP161" s="33"/>
      <c r="AQ161" s="197"/>
      <c r="AR161" s="197"/>
      <c r="AS161" s="197"/>
      <c r="AT161" s="197"/>
      <c r="AU161" s="33"/>
      <c r="AV161" s="33"/>
      <c r="AW161" s="33"/>
      <c r="AX161" s="33"/>
      <c r="AY161" s="76"/>
    </row>
    <row r="162" spans="3:51">
      <c r="C162" s="169" t="s">
        <v>37</v>
      </c>
      <c r="D162" s="4">
        <v>0.57999999999999996</v>
      </c>
      <c r="E162" s="191" t="s">
        <v>229</v>
      </c>
      <c r="I162" s="55">
        <v>157</v>
      </c>
      <c r="J162" s="33">
        <f t="shared" si="76"/>
        <v>0</v>
      </c>
      <c r="K162" s="33">
        <f t="shared" si="77"/>
        <v>0</v>
      </c>
      <c r="L162" s="33">
        <f t="shared" si="78"/>
        <v>0</v>
      </c>
      <c r="M162" s="33">
        <f t="shared" si="79"/>
        <v>0</v>
      </c>
      <c r="N162" s="33">
        <f t="shared" si="65"/>
        <v>0</v>
      </c>
      <c r="O162" s="34">
        <f t="shared" si="66"/>
        <v>0</v>
      </c>
      <c r="P162" s="55">
        <v>157</v>
      </c>
      <c r="Q162" s="33">
        <f t="shared" si="74"/>
        <v>0</v>
      </c>
      <c r="R162" s="33">
        <f t="shared" si="80"/>
        <v>0</v>
      </c>
      <c r="S162" s="33">
        <f t="shared" si="81"/>
        <v>0</v>
      </c>
      <c r="T162" s="33">
        <f t="shared" si="67"/>
        <v>0</v>
      </c>
      <c r="U162" s="33">
        <f t="shared" si="75"/>
        <v>0</v>
      </c>
      <c r="V162" s="33">
        <f t="shared" si="68"/>
        <v>0</v>
      </c>
      <c r="W162" s="33">
        <v>0</v>
      </c>
      <c r="X162" s="33">
        <f t="shared" si="69"/>
        <v>0</v>
      </c>
      <c r="Y162" s="38">
        <f t="shared" si="70"/>
        <v>0</v>
      </c>
      <c r="AA162" s="71">
        <v>157</v>
      </c>
      <c r="AB162" s="33">
        <f t="shared" si="71"/>
        <v>0</v>
      </c>
      <c r="AC162" s="308">
        <f t="shared" si="86"/>
        <v>0</v>
      </c>
      <c r="AD162" s="101">
        <f t="shared" si="72"/>
        <v>0</v>
      </c>
      <c r="AE162" s="101">
        <f t="shared" si="73"/>
        <v>0</v>
      </c>
      <c r="AF162" s="197">
        <f t="shared" si="82"/>
        <v>0</v>
      </c>
      <c r="AG162" s="197">
        <f t="shared" si="83"/>
        <v>0</v>
      </c>
      <c r="AH162" s="197">
        <f t="shared" si="84"/>
        <v>0</v>
      </c>
      <c r="AI162" s="202">
        <f t="shared" si="85"/>
        <v>0</v>
      </c>
      <c r="AK162" s="71">
        <v>157</v>
      </c>
      <c r="AL162" s="33"/>
      <c r="AM162" s="33"/>
      <c r="AN162" s="33"/>
      <c r="AO162" s="33"/>
      <c r="AP162" s="33"/>
      <c r="AQ162" s="197"/>
      <c r="AR162" s="197"/>
      <c r="AS162" s="197"/>
      <c r="AT162" s="197"/>
      <c r="AU162" s="33"/>
      <c r="AV162" s="33"/>
      <c r="AW162" s="33"/>
      <c r="AX162" s="33"/>
      <c r="AY162" s="76"/>
    </row>
    <row r="163" spans="3:51">
      <c r="C163" s="169" t="s">
        <v>38</v>
      </c>
      <c r="D163" s="4">
        <v>0.48</v>
      </c>
      <c r="E163" s="191" t="s">
        <v>229</v>
      </c>
      <c r="I163" s="55">
        <v>158</v>
      </c>
      <c r="J163" s="33">
        <f t="shared" si="76"/>
        <v>0</v>
      </c>
      <c r="K163" s="33">
        <f t="shared" si="77"/>
        <v>0</v>
      </c>
      <c r="L163" s="33">
        <f t="shared" si="78"/>
        <v>0</v>
      </c>
      <c r="M163" s="33">
        <f t="shared" si="79"/>
        <v>0</v>
      </c>
      <c r="N163" s="33">
        <f t="shared" si="65"/>
        <v>0</v>
      </c>
      <c r="O163" s="34">
        <f t="shared" si="66"/>
        <v>0</v>
      </c>
      <c r="P163" s="55">
        <v>158</v>
      </c>
      <c r="Q163" s="33">
        <f t="shared" si="74"/>
        <v>0</v>
      </c>
      <c r="R163" s="33">
        <f t="shared" si="80"/>
        <v>0</v>
      </c>
      <c r="S163" s="33">
        <f t="shared" si="81"/>
        <v>0</v>
      </c>
      <c r="T163" s="33">
        <f t="shared" si="67"/>
        <v>0</v>
      </c>
      <c r="U163" s="33">
        <f t="shared" si="75"/>
        <v>0</v>
      </c>
      <c r="V163" s="33">
        <f t="shared" si="68"/>
        <v>0</v>
      </c>
      <c r="W163" s="33">
        <v>0</v>
      </c>
      <c r="X163" s="33">
        <f t="shared" si="69"/>
        <v>0</v>
      </c>
      <c r="Y163" s="38">
        <f t="shared" si="70"/>
        <v>0</v>
      </c>
      <c r="AA163" s="71">
        <v>158</v>
      </c>
      <c r="AB163" s="33">
        <f t="shared" si="71"/>
        <v>0</v>
      </c>
      <c r="AC163" s="308">
        <f t="shared" si="86"/>
        <v>0</v>
      </c>
      <c r="AD163" s="101">
        <f t="shared" si="72"/>
        <v>0</v>
      </c>
      <c r="AE163" s="101">
        <f t="shared" si="73"/>
        <v>0</v>
      </c>
      <c r="AF163" s="197">
        <f t="shared" si="82"/>
        <v>0</v>
      </c>
      <c r="AG163" s="197">
        <f t="shared" si="83"/>
        <v>0</v>
      </c>
      <c r="AH163" s="197">
        <f t="shared" si="84"/>
        <v>0</v>
      </c>
      <c r="AI163" s="202">
        <f t="shared" si="85"/>
        <v>0</v>
      </c>
      <c r="AK163" s="71">
        <v>158</v>
      </c>
      <c r="AL163" s="33"/>
      <c r="AM163" s="33"/>
      <c r="AN163" s="33"/>
      <c r="AO163" s="33"/>
      <c r="AP163" s="33"/>
      <c r="AQ163" s="197"/>
      <c r="AR163" s="197"/>
      <c r="AS163" s="197"/>
      <c r="AT163" s="197"/>
      <c r="AU163" s="33"/>
      <c r="AV163" s="33"/>
      <c r="AW163" s="33"/>
      <c r="AX163" s="33"/>
      <c r="AY163" s="76"/>
    </row>
    <row r="164" spans="3:51">
      <c r="C164" s="169" t="s">
        <v>39</v>
      </c>
      <c r="D164" s="4">
        <v>0.42</v>
      </c>
      <c r="E164" s="191" t="s">
        <v>229</v>
      </c>
      <c r="I164" s="55">
        <v>159</v>
      </c>
      <c r="J164" s="33">
        <f t="shared" si="76"/>
        <v>0</v>
      </c>
      <c r="K164" s="33">
        <f t="shared" si="77"/>
        <v>0</v>
      </c>
      <c r="L164" s="33">
        <f t="shared" si="78"/>
        <v>0</v>
      </c>
      <c r="M164" s="33">
        <f t="shared" si="79"/>
        <v>0</v>
      </c>
      <c r="N164" s="33">
        <f t="shared" si="65"/>
        <v>0</v>
      </c>
      <c r="O164" s="34">
        <f t="shared" si="66"/>
        <v>0</v>
      </c>
      <c r="P164" s="55">
        <v>159</v>
      </c>
      <c r="Q164" s="33">
        <f t="shared" si="74"/>
        <v>0</v>
      </c>
      <c r="R164" s="33">
        <f t="shared" si="80"/>
        <v>0</v>
      </c>
      <c r="S164" s="33">
        <f t="shared" si="81"/>
        <v>0</v>
      </c>
      <c r="T164" s="33">
        <f t="shared" si="67"/>
        <v>0</v>
      </c>
      <c r="U164" s="33">
        <f t="shared" si="75"/>
        <v>0</v>
      </c>
      <c r="V164" s="33">
        <f t="shared" si="68"/>
        <v>0</v>
      </c>
      <c r="W164" s="33">
        <v>0</v>
      </c>
      <c r="X164" s="33">
        <f t="shared" si="69"/>
        <v>0</v>
      </c>
      <c r="Y164" s="38">
        <f t="shared" si="70"/>
        <v>0</v>
      </c>
      <c r="AA164" s="71">
        <v>159</v>
      </c>
      <c r="AB164" s="33">
        <f t="shared" si="71"/>
        <v>0</v>
      </c>
      <c r="AC164" s="308">
        <f t="shared" si="86"/>
        <v>0</v>
      </c>
      <c r="AD164" s="101">
        <f t="shared" si="72"/>
        <v>0</v>
      </c>
      <c r="AE164" s="101">
        <f t="shared" si="73"/>
        <v>0</v>
      </c>
      <c r="AF164" s="197">
        <f t="shared" si="82"/>
        <v>0</v>
      </c>
      <c r="AG164" s="197">
        <f t="shared" si="83"/>
        <v>0</v>
      </c>
      <c r="AH164" s="197">
        <f t="shared" si="84"/>
        <v>0</v>
      </c>
      <c r="AI164" s="202">
        <f t="shared" si="85"/>
        <v>0</v>
      </c>
      <c r="AK164" s="71">
        <v>159</v>
      </c>
      <c r="AL164" s="33"/>
      <c r="AM164" s="33"/>
      <c r="AN164" s="33"/>
      <c r="AO164" s="33"/>
      <c r="AP164" s="33"/>
      <c r="AQ164" s="197"/>
      <c r="AR164" s="197"/>
      <c r="AS164" s="197"/>
      <c r="AT164" s="197"/>
      <c r="AU164" s="33"/>
      <c r="AV164" s="33"/>
      <c r="AW164" s="33"/>
      <c r="AX164" s="33"/>
      <c r="AY164" s="76"/>
    </row>
    <row r="165" spans="3:51">
      <c r="C165" s="169" t="s">
        <v>40</v>
      </c>
      <c r="D165" s="4">
        <v>0.5</v>
      </c>
      <c r="E165" s="191" t="s">
        <v>228</v>
      </c>
      <c r="I165" s="55">
        <v>160</v>
      </c>
      <c r="J165" s="33">
        <f t="shared" si="76"/>
        <v>0</v>
      </c>
      <c r="K165" s="33">
        <f t="shared" si="77"/>
        <v>0</v>
      </c>
      <c r="L165" s="33">
        <f t="shared" si="78"/>
        <v>0</v>
      </c>
      <c r="M165" s="33">
        <f t="shared" si="79"/>
        <v>0</v>
      </c>
      <c r="N165" s="33">
        <f t="shared" si="65"/>
        <v>0</v>
      </c>
      <c r="O165" s="34">
        <f t="shared" si="66"/>
        <v>0</v>
      </c>
      <c r="P165" s="55">
        <v>160</v>
      </c>
      <c r="Q165" s="33">
        <f t="shared" si="74"/>
        <v>0</v>
      </c>
      <c r="R165" s="33">
        <f t="shared" si="80"/>
        <v>0</v>
      </c>
      <c r="S165" s="33">
        <f t="shared" si="81"/>
        <v>0</v>
      </c>
      <c r="T165" s="33">
        <f t="shared" si="67"/>
        <v>0</v>
      </c>
      <c r="U165" s="33">
        <f t="shared" si="75"/>
        <v>0</v>
      </c>
      <c r="V165" s="33">
        <f t="shared" si="68"/>
        <v>0</v>
      </c>
      <c r="W165" s="33">
        <v>0</v>
      </c>
      <c r="X165" s="33">
        <f t="shared" si="69"/>
        <v>0</v>
      </c>
      <c r="Y165" s="38">
        <f t="shared" si="70"/>
        <v>0</v>
      </c>
      <c r="AA165" s="71">
        <v>160</v>
      </c>
      <c r="AB165" s="33">
        <f t="shared" si="71"/>
        <v>0</v>
      </c>
      <c r="AC165" s="308">
        <f t="shared" si="86"/>
        <v>0</v>
      </c>
      <c r="AD165" s="101">
        <f t="shared" si="72"/>
        <v>0</v>
      </c>
      <c r="AE165" s="101">
        <f t="shared" si="73"/>
        <v>0</v>
      </c>
      <c r="AF165" s="197">
        <f t="shared" si="82"/>
        <v>0</v>
      </c>
      <c r="AG165" s="197">
        <f t="shared" si="83"/>
        <v>0</v>
      </c>
      <c r="AH165" s="197">
        <f t="shared" si="84"/>
        <v>0</v>
      </c>
      <c r="AI165" s="202">
        <f t="shared" si="85"/>
        <v>0</v>
      </c>
      <c r="AK165" s="71">
        <v>160</v>
      </c>
      <c r="AL165" s="33"/>
      <c r="AM165" s="33"/>
      <c r="AN165" s="33"/>
      <c r="AO165" s="33"/>
      <c r="AP165" s="33"/>
      <c r="AQ165" s="197"/>
      <c r="AR165" s="197"/>
      <c r="AS165" s="197"/>
      <c r="AT165" s="197"/>
      <c r="AU165" s="33"/>
      <c r="AV165" s="33"/>
      <c r="AW165" s="33"/>
      <c r="AX165" s="33"/>
      <c r="AY165" s="76"/>
    </row>
    <row r="166" spans="3:51">
      <c r="C166" s="169" t="s">
        <v>41</v>
      </c>
      <c r="D166" s="4">
        <v>0.55000000000000004</v>
      </c>
      <c r="E166" s="191" t="s">
        <v>228</v>
      </c>
      <c r="I166" s="55">
        <v>161</v>
      </c>
      <c r="J166" s="33">
        <f t="shared" si="76"/>
        <v>0</v>
      </c>
      <c r="K166" s="33">
        <f t="shared" si="77"/>
        <v>0</v>
      </c>
      <c r="L166" s="33">
        <f t="shared" si="78"/>
        <v>0</v>
      </c>
      <c r="M166" s="33">
        <f t="shared" si="79"/>
        <v>0</v>
      </c>
      <c r="N166" s="33">
        <f t="shared" si="65"/>
        <v>0</v>
      </c>
      <c r="O166" s="34">
        <f t="shared" si="66"/>
        <v>0</v>
      </c>
      <c r="P166" s="55">
        <v>161</v>
      </c>
      <c r="Q166" s="33">
        <f t="shared" si="74"/>
        <v>0</v>
      </c>
      <c r="R166" s="33">
        <f t="shared" si="80"/>
        <v>0</v>
      </c>
      <c r="S166" s="33">
        <f t="shared" si="81"/>
        <v>0</v>
      </c>
      <c r="T166" s="33">
        <f t="shared" si="67"/>
        <v>0</v>
      </c>
      <c r="U166" s="33">
        <f t="shared" si="75"/>
        <v>0</v>
      </c>
      <c r="V166" s="33">
        <f t="shared" si="68"/>
        <v>0</v>
      </c>
      <c r="W166" s="33">
        <v>0</v>
      </c>
      <c r="X166" s="33">
        <f t="shared" si="69"/>
        <v>0</v>
      </c>
      <c r="Y166" s="38">
        <f t="shared" si="70"/>
        <v>0</v>
      </c>
      <c r="AA166" s="71">
        <v>161</v>
      </c>
      <c r="AB166" s="33">
        <f t="shared" si="71"/>
        <v>0</v>
      </c>
      <c r="AC166" s="308">
        <f t="shared" si="86"/>
        <v>0</v>
      </c>
      <c r="AD166" s="101">
        <f t="shared" si="72"/>
        <v>0</v>
      </c>
      <c r="AE166" s="101">
        <f t="shared" si="73"/>
        <v>0</v>
      </c>
      <c r="AF166" s="197">
        <f t="shared" si="82"/>
        <v>0</v>
      </c>
      <c r="AG166" s="197">
        <f t="shared" si="83"/>
        <v>0</v>
      </c>
      <c r="AH166" s="197">
        <f t="shared" si="84"/>
        <v>0</v>
      </c>
      <c r="AI166" s="202">
        <f t="shared" si="85"/>
        <v>0</v>
      </c>
      <c r="AK166" s="71">
        <v>161</v>
      </c>
      <c r="AL166" s="33"/>
      <c r="AM166" s="33"/>
      <c r="AN166" s="33"/>
      <c r="AO166" s="33"/>
      <c r="AP166" s="33"/>
      <c r="AQ166" s="197"/>
      <c r="AR166" s="197"/>
      <c r="AS166" s="197"/>
      <c r="AT166" s="197"/>
      <c r="AU166" s="33"/>
      <c r="AV166" s="33"/>
      <c r="AW166" s="33"/>
      <c r="AX166" s="33"/>
      <c r="AY166" s="76"/>
    </row>
    <row r="167" spans="3:51">
      <c r="C167" s="169" t="s">
        <v>42</v>
      </c>
      <c r="D167" s="4">
        <v>0.53</v>
      </c>
      <c r="E167" s="191" t="s">
        <v>228</v>
      </c>
      <c r="I167" s="55">
        <v>162</v>
      </c>
      <c r="J167" s="33">
        <f t="shared" si="76"/>
        <v>0</v>
      </c>
      <c r="K167" s="33">
        <f t="shared" si="77"/>
        <v>0</v>
      </c>
      <c r="L167" s="33">
        <f t="shared" si="78"/>
        <v>0</v>
      </c>
      <c r="M167" s="33">
        <f t="shared" si="79"/>
        <v>0</v>
      </c>
      <c r="N167" s="33">
        <f t="shared" si="65"/>
        <v>0</v>
      </c>
      <c r="O167" s="34">
        <f t="shared" si="66"/>
        <v>0</v>
      </c>
      <c r="P167" s="55">
        <v>162</v>
      </c>
      <c r="Q167" s="33">
        <f t="shared" si="74"/>
        <v>0</v>
      </c>
      <c r="R167" s="33">
        <f t="shared" si="80"/>
        <v>0</v>
      </c>
      <c r="S167" s="33">
        <f t="shared" si="81"/>
        <v>0</v>
      </c>
      <c r="T167" s="33">
        <f t="shared" si="67"/>
        <v>0</v>
      </c>
      <c r="U167" s="33">
        <f t="shared" si="75"/>
        <v>0</v>
      </c>
      <c r="V167" s="33">
        <f t="shared" si="68"/>
        <v>0</v>
      </c>
      <c r="W167" s="33">
        <v>0</v>
      </c>
      <c r="X167" s="33">
        <f t="shared" si="69"/>
        <v>0</v>
      </c>
      <c r="Y167" s="38">
        <f t="shared" si="70"/>
        <v>0</v>
      </c>
      <c r="AA167" s="71">
        <v>162</v>
      </c>
      <c r="AB167" s="33">
        <f t="shared" si="71"/>
        <v>0</v>
      </c>
      <c r="AC167" s="308">
        <f t="shared" si="86"/>
        <v>0</v>
      </c>
      <c r="AD167" s="101">
        <f t="shared" si="72"/>
        <v>0</v>
      </c>
      <c r="AE167" s="101">
        <f t="shared" si="73"/>
        <v>0</v>
      </c>
      <c r="AF167" s="197">
        <f t="shared" si="82"/>
        <v>0</v>
      </c>
      <c r="AG167" s="197">
        <f t="shared" si="83"/>
        <v>0</v>
      </c>
      <c r="AH167" s="197">
        <f t="shared" si="84"/>
        <v>0</v>
      </c>
      <c r="AI167" s="202">
        <f t="shared" si="85"/>
        <v>0</v>
      </c>
      <c r="AK167" s="71">
        <v>162</v>
      </c>
      <c r="AL167" s="33"/>
      <c r="AM167" s="33"/>
      <c r="AN167" s="33"/>
      <c r="AO167" s="33"/>
      <c r="AP167" s="33"/>
      <c r="AQ167" s="197"/>
      <c r="AR167" s="197"/>
      <c r="AS167" s="197"/>
      <c r="AT167" s="197"/>
      <c r="AU167" s="33"/>
      <c r="AV167" s="33"/>
      <c r="AW167" s="33"/>
      <c r="AX167" s="33"/>
      <c r="AY167" s="76"/>
    </row>
    <row r="168" spans="3:51">
      <c r="C168" s="169" t="s">
        <v>43</v>
      </c>
      <c r="D168" s="4">
        <v>0.52</v>
      </c>
      <c r="E168" s="191" t="s">
        <v>228</v>
      </c>
      <c r="I168" s="55">
        <v>163</v>
      </c>
      <c r="J168" s="33">
        <f t="shared" si="76"/>
        <v>0</v>
      </c>
      <c r="K168" s="33">
        <f t="shared" si="77"/>
        <v>0</v>
      </c>
      <c r="L168" s="33">
        <f t="shared" si="78"/>
        <v>0</v>
      </c>
      <c r="M168" s="33">
        <f t="shared" si="79"/>
        <v>0</v>
      </c>
      <c r="N168" s="33">
        <f t="shared" si="65"/>
        <v>0</v>
      </c>
      <c r="O168" s="34">
        <f t="shared" si="66"/>
        <v>0</v>
      </c>
      <c r="P168" s="55">
        <v>163</v>
      </c>
      <c r="Q168" s="33">
        <f t="shared" si="74"/>
        <v>0</v>
      </c>
      <c r="R168" s="33">
        <f t="shared" si="80"/>
        <v>0</v>
      </c>
      <c r="S168" s="33">
        <f t="shared" si="81"/>
        <v>0</v>
      </c>
      <c r="T168" s="33">
        <f t="shared" si="67"/>
        <v>0</v>
      </c>
      <c r="U168" s="33">
        <f t="shared" si="75"/>
        <v>0</v>
      </c>
      <c r="V168" s="33">
        <f t="shared" si="68"/>
        <v>0</v>
      </c>
      <c r="W168" s="33">
        <v>0</v>
      </c>
      <c r="X168" s="33">
        <f t="shared" si="69"/>
        <v>0</v>
      </c>
      <c r="Y168" s="38">
        <f t="shared" si="70"/>
        <v>0</v>
      </c>
      <c r="AA168" s="71">
        <v>163</v>
      </c>
      <c r="AB168" s="33">
        <f t="shared" si="71"/>
        <v>0</v>
      </c>
      <c r="AC168" s="308">
        <f t="shared" si="86"/>
        <v>0</v>
      </c>
      <c r="AD168" s="101">
        <f t="shared" si="72"/>
        <v>0</v>
      </c>
      <c r="AE168" s="101">
        <f t="shared" si="73"/>
        <v>0</v>
      </c>
      <c r="AF168" s="197">
        <f t="shared" si="82"/>
        <v>0</v>
      </c>
      <c r="AG168" s="197">
        <f t="shared" si="83"/>
        <v>0</v>
      </c>
      <c r="AH168" s="197">
        <f t="shared" si="84"/>
        <v>0</v>
      </c>
      <c r="AI168" s="202">
        <f t="shared" si="85"/>
        <v>0</v>
      </c>
      <c r="AK168" s="71">
        <v>163</v>
      </c>
      <c r="AL168" s="33"/>
      <c r="AM168" s="33"/>
      <c r="AN168" s="33"/>
      <c r="AO168" s="33"/>
      <c r="AP168" s="33"/>
      <c r="AQ168" s="197"/>
      <c r="AR168" s="197"/>
      <c r="AS168" s="197"/>
      <c r="AT168" s="197"/>
      <c r="AU168" s="33"/>
      <c r="AV168" s="33"/>
      <c r="AW168" s="33"/>
      <c r="AX168" s="33"/>
      <c r="AY168" s="76"/>
    </row>
    <row r="169" spans="3:51">
      <c r="C169" s="169" t="s">
        <v>44</v>
      </c>
      <c r="D169" s="4">
        <v>0.52</v>
      </c>
      <c r="E169" s="191" t="s">
        <v>228</v>
      </c>
      <c r="I169" s="55">
        <v>164</v>
      </c>
      <c r="J169" s="33">
        <f t="shared" si="76"/>
        <v>0</v>
      </c>
      <c r="K169" s="33">
        <f t="shared" si="77"/>
        <v>0</v>
      </c>
      <c r="L169" s="33">
        <f t="shared" si="78"/>
        <v>0</v>
      </c>
      <c r="M169" s="33">
        <f t="shared" si="79"/>
        <v>0</v>
      </c>
      <c r="N169" s="33">
        <f t="shared" si="65"/>
        <v>0</v>
      </c>
      <c r="O169" s="34">
        <f t="shared" si="66"/>
        <v>0</v>
      </c>
      <c r="P169" s="55">
        <v>164</v>
      </c>
      <c r="Q169" s="33">
        <f t="shared" si="74"/>
        <v>0</v>
      </c>
      <c r="R169" s="33">
        <f t="shared" si="80"/>
        <v>0</v>
      </c>
      <c r="S169" s="33">
        <f t="shared" si="81"/>
        <v>0</v>
      </c>
      <c r="T169" s="33">
        <f t="shared" si="67"/>
        <v>0</v>
      </c>
      <c r="U169" s="33">
        <f t="shared" si="75"/>
        <v>0</v>
      </c>
      <c r="V169" s="33">
        <f t="shared" si="68"/>
        <v>0</v>
      </c>
      <c r="W169" s="33">
        <v>0</v>
      </c>
      <c r="X169" s="33">
        <f t="shared" si="69"/>
        <v>0</v>
      </c>
      <c r="Y169" s="38">
        <f t="shared" si="70"/>
        <v>0</v>
      </c>
      <c r="AA169" s="71">
        <v>164</v>
      </c>
      <c r="AB169" s="33">
        <f t="shared" si="71"/>
        <v>0</v>
      </c>
      <c r="AC169" s="308">
        <f t="shared" si="86"/>
        <v>0</v>
      </c>
      <c r="AD169" s="101">
        <f t="shared" si="72"/>
        <v>0</v>
      </c>
      <c r="AE169" s="101">
        <f t="shared" si="73"/>
        <v>0</v>
      </c>
      <c r="AF169" s="197">
        <f t="shared" si="82"/>
        <v>0</v>
      </c>
      <c r="AG169" s="197">
        <f t="shared" si="83"/>
        <v>0</v>
      </c>
      <c r="AH169" s="197">
        <f t="shared" si="84"/>
        <v>0</v>
      </c>
      <c r="AI169" s="202">
        <f t="shared" si="85"/>
        <v>0</v>
      </c>
      <c r="AK169" s="71">
        <v>164</v>
      </c>
      <c r="AL169" s="33"/>
      <c r="AM169" s="33"/>
      <c r="AN169" s="33"/>
      <c r="AO169" s="33"/>
      <c r="AP169" s="33"/>
      <c r="AQ169" s="197"/>
      <c r="AR169" s="197"/>
      <c r="AS169" s="197"/>
      <c r="AT169" s="197"/>
      <c r="AU169" s="33"/>
      <c r="AV169" s="33"/>
      <c r="AW169" s="33"/>
      <c r="AX169" s="33"/>
      <c r="AY169" s="76"/>
    </row>
    <row r="170" spans="3:51">
      <c r="C170" s="169" t="s">
        <v>45</v>
      </c>
      <c r="D170" s="4">
        <v>0.75</v>
      </c>
      <c r="E170" s="191" t="s">
        <v>228</v>
      </c>
      <c r="I170" s="55">
        <v>165</v>
      </c>
      <c r="J170" s="33">
        <f t="shared" si="76"/>
        <v>0</v>
      </c>
      <c r="K170" s="33">
        <f t="shared" si="77"/>
        <v>0</v>
      </c>
      <c r="L170" s="33">
        <f t="shared" si="78"/>
        <v>0</v>
      </c>
      <c r="M170" s="33">
        <f t="shared" si="79"/>
        <v>0</v>
      </c>
      <c r="N170" s="33">
        <f t="shared" si="65"/>
        <v>0</v>
      </c>
      <c r="O170" s="34">
        <f t="shared" si="66"/>
        <v>0</v>
      </c>
      <c r="P170" s="55">
        <v>165</v>
      </c>
      <c r="Q170" s="33">
        <f t="shared" si="74"/>
        <v>0</v>
      </c>
      <c r="R170" s="33">
        <f t="shared" si="80"/>
        <v>0</v>
      </c>
      <c r="S170" s="33">
        <f t="shared" si="81"/>
        <v>0</v>
      </c>
      <c r="T170" s="33">
        <f t="shared" si="67"/>
        <v>0</v>
      </c>
      <c r="U170" s="33">
        <f t="shared" si="75"/>
        <v>0</v>
      </c>
      <c r="V170" s="33">
        <f t="shared" si="68"/>
        <v>0</v>
      </c>
      <c r="W170" s="33">
        <v>0</v>
      </c>
      <c r="X170" s="33">
        <f t="shared" si="69"/>
        <v>0</v>
      </c>
      <c r="Y170" s="38">
        <f t="shared" si="70"/>
        <v>0</v>
      </c>
      <c r="AA170" s="71">
        <v>165</v>
      </c>
      <c r="AB170" s="33">
        <f t="shared" si="71"/>
        <v>0</v>
      </c>
      <c r="AC170" s="308">
        <f t="shared" si="86"/>
        <v>0</v>
      </c>
      <c r="AD170" s="101">
        <f t="shared" si="72"/>
        <v>0</v>
      </c>
      <c r="AE170" s="101">
        <f t="shared" si="73"/>
        <v>0</v>
      </c>
      <c r="AF170" s="197">
        <f t="shared" si="82"/>
        <v>0</v>
      </c>
      <c r="AG170" s="197">
        <f t="shared" si="83"/>
        <v>0</v>
      </c>
      <c r="AH170" s="197">
        <f t="shared" si="84"/>
        <v>0</v>
      </c>
      <c r="AI170" s="202">
        <f t="shared" si="85"/>
        <v>0</v>
      </c>
      <c r="AK170" s="71">
        <v>165</v>
      </c>
      <c r="AL170" s="33"/>
      <c r="AM170" s="33"/>
      <c r="AN170" s="33"/>
      <c r="AO170" s="33"/>
      <c r="AP170" s="33"/>
      <c r="AQ170" s="197"/>
      <c r="AR170" s="197"/>
      <c r="AS170" s="197"/>
      <c r="AT170" s="197"/>
      <c r="AU170" s="33"/>
      <c r="AV170" s="33"/>
      <c r="AW170" s="33"/>
      <c r="AX170" s="33"/>
      <c r="AY170" s="76"/>
    </row>
    <row r="171" spans="3:51">
      <c r="C171" s="169" t="s">
        <v>46</v>
      </c>
      <c r="D171" s="4">
        <v>0.52</v>
      </c>
      <c r="E171" s="191" t="s">
        <v>228</v>
      </c>
      <c r="I171" s="55">
        <v>166</v>
      </c>
      <c r="J171" s="33">
        <f t="shared" si="76"/>
        <v>0</v>
      </c>
      <c r="K171" s="33">
        <f t="shared" si="77"/>
        <v>0</v>
      </c>
      <c r="L171" s="33">
        <f t="shared" si="78"/>
        <v>0</v>
      </c>
      <c r="M171" s="33">
        <f t="shared" si="79"/>
        <v>0</v>
      </c>
      <c r="N171" s="33">
        <f t="shared" si="65"/>
        <v>0</v>
      </c>
      <c r="O171" s="34">
        <f t="shared" si="66"/>
        <v>0</v>
      </c>
      <c r="P171" s="55">
        <v>166</v>
      </c>
      <c r="Q171" s="33">
        <f t="shared" si="74"/>
        <v>0</v>
      </c>
      <c r="R171" s="33">
        <f t="shared" si="80"/>
        <v>0</v>
      </c>
      <c r="S171" s="33">
        <f t="shared" si="81"/>
        <v>0</v>
      </c>
      <c r="T171" s="33">
        <f t="shared" si="67"/>
        <v>0</v>
      </c>
      <c r="U171" s="33">
        <f t="shared" si="75"/>
        <v>0</v>
      </c>
      <c r="V171" s="33">
        <f t="shared" si="68"/>
        <v>0</v>
      </c>
      <c r="W171" s="33">
        <v>0</v>
      </c>
      <c r="X171" s="33">
        <f t="shared" si="69"/>
        <v>0</v>
      </c>
      <c r="Y171" s="38">
        <f t="shared" si="70"/>
        <v>0</v>
      </c>
      <c r="AA171" s="71">
        <v>166</v>
      </c>
      <c r="AB171" s="33">
        <f t="shared" si="71"/>
        <v>0</v>
      </c>
      <c r="AC171" s="308">
        <f t="shared" si="86"/>
        <v>0</v>
      </c>
      <c r="AD171" s="101">
        <f t="shared" si="72"/>
        <v>0</v>
      </c>
      <c r="AE171" s="101">
        <f t="shared" si="73"/>
        <v>0</v>
      </c>
      <c r="AF171" s="197">
        <f t="shared" si="82"/>
        <v>0</v>
      </c>
      <c r="AG171" s="197">
        <f t="shared" si="83"/>
        <v>0</v>
      </c>
      <c r="AH171" s="197">
        <f t="shared" si="84"/>
        <v>0</v>
      </c>
      <c r="AI171" s="202">
        <f t="shared" si="85"/>
        <v>0</v>
      </c>
      <c r="AK171" s="71">
        <v>166</v>
      </c>
      <c r="AL171" s="33"/>
      <c r="AM171" s="33"/>
      <c r="AN171" s="33"/>
      <c r="AO171" s="33"/>
      <c r="AP171" s="33"/>
      <c r="AQ171" s="197"/>
      <c r="AR171" s="197"/>
      <c r="AS171" s="197"/>
      <c r="AT171" s="197"/>
      <c r="AU171" s="33"/>
      <c r="AV171" s="33"/>
      <c r="AW171" s="33"/>
      <c r="AX171" s="33"/>
      <c r="AY171" s="76"/>
    </row>
    <row r="172" spans="3:51">
      <c r="C172" s="169" t="s">
        <v>47</v>
      </c>
      <c r="D172" s="4">
        <v>0.35</v>
      </c>
      <c r="E172" s="191" t="s">
        <v>230</v>
      </c>
      <c r="I172" s="55">
        <v>167</v>
      </c>
      <c r="J172" s="33">
        <f t="shared" si="76"/>
        <v>0</v>
      </c>
      <c r="K172" s="33">
        <f t="shared" si="77"/>
        <v>0</v>
      </c>
      <c r="L172" s="33">
        <f t="shared" si="78"/>
        <v>0</v>
      </c>
      <c r="M172" s="33">
        <f t="shared" si="79"/>
        <v>0</v>
      </c>
      <c r="N172" s="33">
        <f t="shared" si="65"/>
        <v>0</v>
      </c>
      <c r="O172" s="34">
        <f t="shared" si="66"/>
        <v>0</v>
      </c>
      <c r="P172" s="55">
        <v>167</v>
      </c>
      <c r="Q172" s="33">
        <f t="shared" si="74"/>
        <v>0</v>
      </c>
      <c r="R172" s="33">
        <f t="shared" si="80"/>
        <v>0</v>
      </c>
      <c r="S172" s="33">
        <f t="shared" si="81"/>
        <v>0</v>
      </c>
      <c r="T172" s="33">
        <f t="shared" si="67"/>
        <v>0</v>
      </c>
      <c r="U172" s="33">
        <f t="shared" si="75"/>
        <v>0</v>
      </c>
      <c r="V172" s="33">
        <f t="shared" si="68"/>
        <v>0</v>
      </c>
      <c r="W172" s="33">
        <v>0</v>
      </c>
      <c r="X172" s="33">
        <f t="shared" si="69"/>
        <v>0</v>
      </c>
      <c r="Y172" s="38">
        <f t="shared" si="70"/>
        <v>0</v>
      </c>
      <c r="AA172" s="71">
        <v>167</v>
      </c>
      <c r="AB172" s="33">
        <f t="shared" si="71"/>
        <v>0</v>
      </c>
      <c r="AC172" s="308">
        <f t="shared" si="86"/>
        <v>0</v>
      </c>
      <c r="AD172" s="101">
        <f t="shared" si="72"/>
        <v>0</v>
      </c>
      <c r="AE172" s="101">
        <f t="shared" si="73"/>
        <v>0</v>
      </c>
      <c r="AF172" s="197">
        <f t="shared" si="82"/>
        <v>0</v>
      </c>
      <c r="AG172" s="197">
        <f t="shared" si="83"/>
        <v>0</v>
      </c>
      <c r="AH172" s="197">
        <f t="shared" si="84"/>
        <v>0</v>
      </c>
      <c r="AI172" s="202">
        <f t="shared" si="85"/>
        <v>0</v>
      </c>
      <c r="AK172" s="71">
        <v>167</v>
      </c>
      <c r="AL172" s="33"/>
      <c r="AM172" s="33"/>
      <c r="AN172" s="33"/>
      <c r="AO172" s="33"/>
      <c r="AP172" s="33"/>
      <c r="AQ172" s="197"/>
      <c r="AR172" s="197"/>
      <c r="AS172" s="197"/>
      <c r="AT172" s="197"/>
      <c r="AU172" s="33"/>
      <c r="AV172" s="33"/>
      <c r="AW172" s="33"/>
      <c r="AX172" s="33"/>
      <c r="AY172" s="76"/>
    </row>
    <row r="173" spans="3:51">
      <c r="C173" s="169" t="s">
        <v>48</v>
      </c>
      <c r="D173" s="4">
        <v>0.37</v>
      </c>
      <c r="E173" s="191" t="s">
        <v>228</v>
      </c>
      <c r="I173" s="55">
        <v>168</v>
      </c>
      <c r="J173" s="33">
        <f t="shared" si="76"/>
        <v>0</v>
      </c>
      <c r="K173" s="33">
        <f t="shared" si="77"/>
        <v>0</v>
      </c>
      <c r="L173" s="33">
        <f t="shared" si="78"/>
        <v>0</v>
      </c>
      <c r="M173" s="33">
        <f t="shared" si="79"/>
        <v>0</v>
      </c>
      <c r="N173" s="33">
        <f t="shared" si="65"/>
        <v>0</v>
      </c>
      <c r="O173" s="34">
        <f t="shared" si="66"/>
        <v>0</v>
      </c>
      <c r="P173" s="55">
        <v>168</v>
      </c>
      <c r="Q173" s="33">
        <f t="shared" si="74"/>
        <v>0</v>
      </c>
      <c r="R173" s="33">
        <f t="shared" si="80"/>
        <v>0</v>
      </c>
      <c r="S173" s="33">
        <f t="shared" si="81"/>
        <v>0</v>
      </c>
      <c r="T173" s="33">
        <f t="shared" si="67"/>
        <v>0</v>
      </c>
      <c r="U173" s="33">
        <f t="shared" si="75"/>
        <v>0</v>
      </c>
      <c r="V173" s="33">
        <f t="shared" si="68"/>
        <v>0</v>
      </c>
      <c r="W173" s="33">
        <v>0</v>
      </c>
      <c r="X173" s="33">
        <f t="shared" si="69"/>
        <v>0</v>
      </c>
      <c r="Y173" s="38">
        <f t="shared" si="70"/>
        <v>0</v>
      </c>
      <c r="AA173" s="71">
        <v>168</v>
      </c>
      <c r="AB173" s="33">
        <f t="shared" si="71"/>
        <v>0</v>
      </c>
      <c r="AC173" s="308">
        <f t="shared" si="86"/>
        <v>0</v>
      </c>
      <c r="AD173" s="101">
        <f t="shared" si="72"/>
        <v>0</v>
      </c>
      <c r="AE173" s="101">
        <f t="shared" si="73"/>
        <v>0</v>
      </c>
      <c r="AF173" s="197">
        <f t="shared" si="82"/>
        <v>0</v>
      </c>
      <c r="AG173" s="197">
        <f t="shared" si="83"/>
        <v>0</v>
      </c>
      <c r="AH173" s="197">
        <f t="shared" si="84"/>
        <v>0</v>
      </c>
      <c r="AI173" s="202">
        <f t="shared" si="85"/>
        <v>0</v>
      </c>
      <c r="AK173" s="71">
        <v>168</v>
      </c>
      <c r="AL173" s="33"/>
      <c r="AM173" s="33"/>
      <c r="AN173" s="33"/>
      <c r="AO173" s="33"/>
      <c r="AP173" s="33"/>
      <c r="AQ173" s="197"/>
      <c r="AR173" s="197"/>
      <c r="AS173" s="197"/>
      <c r="AT173" s="197"/>
      <c r="AU173" s="33"/>
      <c r="AV173" s="33"/>
      <c r="AW173" s="33"/>
      <c r="AX173" s="33"/>
      <c r="AY173" s="76"/>
    </row>
    <row r="174" spans="3:51">
      <c r="C174" s="169" t="s">
        <v>49</v>
      </c>
      <c r="D174" s="4">
        <v>0.45</v>
      </c>
      <c r="E174" s="191" t="s">
        <v>229</v>
      </c>
      <c r="I174" s="55">
        <v>169</v>
      </c>
      <c r="J174" s="33">
        <f t="shared" si="76"/>
        <v>0</v>
      </c>
      <c r="K174" s="33">
        <f t="shared" si="77"/>
        <v>0</v>
      </c>
      <c r="L174" s="33">
        <f t="shared" si="78"/>
        <v>0</v>
      </c>
      <c r="M174" s="33">
        <f t="shared" si="79"/>
        <v>0</v>
      </c>
      <c r="N174" s="33">
        <f t="shared" si="65"/>
        <v>0</v>
      </c>
      <c r="O174" s="34">
        <f t="shared" si="66"/>
        <v>0</v>
      </c>
      <c r="P174" s="55">
        <v>169</v>
      </c>
      <c r="Q174" s="33">
        <f t="shared" si="74"/>
        <v>0</v>
      </c>
      <c r="R174" s="33">
        <f t="shared" si="80"/>
        <v>0</v>
      </c>
      <c r="S174" s="33">
        <f t="shared" si="81"/>
        <v>0</v>
      </c>
      <c r="T174" s="33">
        <f t="shared" si="67"/>
        <v>0</v>
      </c>
      <c r="U174" s="33">
        <f t="shared" si="75"/>
        <v>0</v>
      </c>
      <c r="V174" s="33">
        <f t="shared" si="68"/>
        <v>0</v>
      </c>
      <c r="W174" s="33">
        <v>0</v>
      </c>
      <c r="X174" s="33">
        <f t="shared" si="69"/>
        <v>0</v>
      </c>
      <c r="Y174" s="38">
        <f t="shared" si="70"/>
        <v>0</v>
      </c>
      <c r="AA174" s="71">
        <v>169</v>
      </c>
      <c r="AB174" s="33">
        <f t="shared" si="71"/>
        <v>0</v>
      </c>
      <c r="AC174" s="308">
        <f t="shared" si="86"/>
        <v>0</v>
      </c>
      <c r="AD174" s="101">
        <f t="shared" si="72"/>
        <v>0</v>
      </c>
      <c r="AE174" s="101">
        <f t="shared" si="73"/>
        <v>0</v>
      </c>
      <c r="AF174" s="197">
        <f t="shared" si="82"/>
        <v>0</v>
      </c>
      <c r="AG174" s="197">
        <f t="shared" si="83"/>
        <v>0</v>
      </c>
      <c r="AH174" s="197">
        <f t="shared" si="84"/>
        <v>0</v>
      </c>
      <c r="AI174" s="202">
        <f t="shared" si="85"/>
        <v>0</v>
      </c>
      <c r="AK174" s="71">
        <v>169</v>
      </c>
      <c r="AL174" s="33"/>
      <c r="AM174" s="33"/>
      <c r="AN174" s="33"/>
      <c r="AO174" s="33"/>
      <c r="AP174" s="33"/>
      <c r="AQ174" s="197"/>
      <c r="AR174" s="197"/>
      <c r="AS174" s="197"/>
      <c r="AT174" s="197"/>
      <c r="AU174" s="33"/>
      <c r="AV174" s="33"/>
      <c r="AW174" s="33"/>
      <c r="AX174" s="33"/>
      <c r="AY174" s="76"/>
    </row>
    <row r="175" spans="3:51">
      <c r="C175" s="169" t="s">
        <v>50</v>
      </c>
      <c r="D175" s="4">
        <v>0.39</v>
      </c>
      <c r="E175" s="191" t="s">
        <v>229</v>
      </c>
      <c r="I175" s="55">
        <v>170</v>
      </c>
      <c r="J175" s="33">
        <f t="shared" si="76"/>
        <v>0</v>
      </c>
      <c r="K175" s="33">
        <f t="shared" si="77"/>
        <v>0</v>
      </c>
      <c r="L175" s="33">
        <f t="shared" si="78"/>
        <v>0</v>
      </c>
      <c r="M175" s="33">
        <f t="shared" si="79"/>
        <v>0</v>
      </c>
      <c r="N175" s="33">
        <f t="shared" si="65"/>
        <v>0</v>
      </c>
      <c r="O175" s="34">
        <f t="shared" si="66"/>
        <v>0</v>
      </c>
      <c r="P175" s="55">
        <v>170</v>
      </c>
      <c r="Q175" s="33">
        <f t="shared" si="74"/>
        <v>0</v>
      </c>
      <c r="R175" s="33">
        <f t="shared" si="80"/>
        <v>0</v>
      </c>
      <c r="S175" s="33">
        <f t="shared" si="81"/>
        <v>0</v>
      </c>
      <c r="T175" s="33">
        <f t="shared" si="67"/>
        <v>0</v>
      </c>
      <c r="U175" s="33">
        <f t="shared" si="75"/>
        <v>0</v>
      </c>
      <c r="V175" s="33">
        <f t="shared" si="68"/>
        <v>0</v>
      </c>
      <c r="W175" s="33">
        <v>0</v>
      </c>
      <c r="X175" s="33">
        <f t="shared" si="69"/>
        <v>0</v>
      </c>
      <c r="Y175" s="38">
        <f t="shared" si="70"/>
        <v>0</v>
      </c>
      <c r="AA175" s="71">
        <v>170</v>
      </c>
      <c r="AB175" s="33">
        <f t="shared" si="71"/>
        <v>0</v>
      </c>
      <c r="AC175" s="308">
        <f t="shared" si="86"/>
        <v>0</v>
      </c>
      <c r="AD175" s="101">
        <f t="shared" si="72"/>
        <v>0</v>
      </c>
      <c r="AE175" s="101">
        <f t="shared" si="73"/>
        <v>0</v>
      </c>
      <c r="AF175" s="197">
        <f t="shared" si="82"/>
        <v>0</v>
      </c>
      <c r="AG175" s="197">
        <f t="shared" si="83"/>
        <v>0</v>
      </c>
      <c r="AH175" s="197">
        <f t="shared" si="84"/>
        <v>0</v>
      </c>
      <c r="AI175" s="202">
        <f t="shared" si="85"/>
        <v>0</v>
      </c>
      <c r="AK175" s="71">
        <v>170</v>
      </c>
      <c r="AL175" s="33"/>
      <c r="AM175" s="33"/>
      <c r="AN175" s="33"/>
      <c r="AO175" s="33"/>
      <c r="AP175" s="33"/>
      <c r="AQ175" s="197"/>
      <c r="AR175" s="197"/>
      <c r="AS175" s="197"/>
      <c r="AT175" s="197"/>
      <c r="AU175" s="33"/>
      <c r="AV175" s="33"/>
      <c r="AW175" s="33"/>
      <c r="AX175" s="33"/>
      <c r="AY175" s="76"/>
    </row>
    <row r="176" spans="3:51">
      <c r="C176" s="169" t="s">
        <v>51</v>
      </c>
      <c r="D176" s="4">
        <v>0.44</v>
      </c>
      <c r="E176" s="191" t="s">
        <v>229</v>
      </c>
      <c r="I176" s="55">
        <v>171</v>
      </c>
      <c r="J176" s="33">
        <f t="shared" si="76"/>
        <v>0</v>
      </c>
      <c r="K176" s="33">
        <f t="shared" si="77"/>
        <v>0</v>
      </c>
      <c r="L176" s="33">
        <f t="shared" si="78"/>
        <v>0</v>
      </c>
      <c r="M176" s="33">
        <f t="shared" si="79"/>
        <v>0</v>
      </c>
      <c r="N176" s="33">
        <f t="shared" si="65"/>
        <v>0</v>
      </c>
      <c r="O176" s="34">
        <f t="shared" si="66"/>
        <v>0</v>
      </c>
      <c r="P176" s="55">
        <v>171</v>
      </c>
      <c r="Q176" s="33">
        <f t="shared" si="74"/>
        <v>0</v>
      </c>
      <c r="R176" s="33">
        <f t="shared" si="80"/>
        <v>0</v>
      </c>
      <c r="S176" s="33">
        <f t="shared" si="81"/>
        <v>0</v>
      </c>
      <c r="T176" s="33">
        <f t="shared" si="67"/>
        <v>0</v>
      </c>
      <c r="U176" s="33">
        <f t="shared" si="75"/>
        <v>0</v>
      </c>
      <c r="V176" s="33">
        <f t="shared" si="68"/>
        <v>0</v>
      </c>
      <c r="W176" s="33">
        <v>0</v>
      </c>
      <c r="X176" s="33">
        <f t="shared" si="69"/>
        <v>0</v>
      </c>
      <c r="Y176" s="38">
        <f t="shared" si="70"/>
        <v>0</v>
      </c>
      <c r="AA176" s="71">
        <v>171</v>
      </c>
      <c r="AB176" s="33">
        <f t="shared" si="71"/>
        <v>0</v>
      </c>
      <c r="AC176" s="308">
        <f t="shared" si="86"/>
        <v>0</v>
      </c>
      <c r="AD176" s="101">
        <f t="shared" si="72"/>
        <v>0</v>
      </c>
      <c r="AE176" s="101">
        <f t="shared" si="73"/>
        <v>0</v>
      </c>
      <c r="AF176" s="197">
        <f t="shared" si="82"/>
        <v>0</v>
      </c>
      <c r="AG176" s="197">
        <f t="shared" si="83"/>
        <v>0</v>
      </c>
      <c r="AH176" s="197">
        <f t="shared" si="84"/>
        <v>0</v>
      </c>
      <c r="AI176" s="202">
        <f t="shared" si="85"/>
        <v>0</v>
      </c>
      <c r="AK176" s="71">
        <v>171</v>
      </c>
      <c r="AL176" s="33"/>
      <c r="AM176" s="33"/>
      <c r="AN176" s="33"/>
      <c r="AO176" s="33"/>
      <c r="AP176" s="33"/>
      <c r="AQ176" s="197"/>
      <c r="AR176" s="197"/>
      <c r="AS176" s="197"/>
      <c r="AT176" s="197"/>
      <c r="AU176" s="33"/>
      <c r="AV176" s="33"/>
      <c r="AW176" s="33"/>
      <c r="AX176" s="33"/>
      <c r="AY176" s="76"/>
    </row>
    <row r="177" spans="3:51">
      <c r="C177" s="169" t="s">
        <v>52</v>
      </c>
      <c r="D177" s="4">
        <v>0.46</v>
      </c>
      <c r="E177" s="191" t="s">
        <v>229</v>
      </c>
      <c r="I177" s="55">
        <v>172</v>
      </c>
      <c r="J177" s="33">
        <f t="shared" si="76"/>
        <v>0</v>
      </c>
      <c r="K177" s="33">
        <f t="shared" si="77"/>
        <v>0</v>
      </c>
      <c r="L177" s="33">
        <f t="shared" si="78"/>
        <v>0</v>
      </c>
      <c r="M177" s="33">
        <f t="shared" si="79"/>
        <v>0</v>
      </c>
      <c r="N177" s="33">
        <f t="shared" si="65"/>
        <v>0</v>
      </c>
      <c r="O177" s="34">
        <f t="shared" si="66"/>
        <v>0</v>
      </c>
      <c r="P177" s="55">
        <v>172</v>
      </c>
      <c r="Q177" s="33">
        <f t="shared" si="74"/>
        <v>0</v>
      </c>
      <c r="R177" s="33">
        <f t="shared" si="80"/>
        <v>0</v>
      </c>
      <c r="S177" s="33">
        <f t="shared" si="81"/>
        <v>0</v>
      </c>
      <c r="T177" s="33">
        <f t="shared" si="67"/>
        <v>0</v>
      </c>
      <c r="U177" s="33">
        <f t="shared" si="75"/>
        <v>0</v>
      </c>
      <c r="V177" s="33">
        <f t="shared" si="68"/>
        <v>0</v>
      </c>
      <c r="W177" s="33">
        <v>0</v>
      </c>
      <c r="X177" s="33">
        <f t="shared" si="69"/>
        <v>0</v>
      </c>
      <c r="Y177" s="38">
        <f t="shared" si="70"/>
        <v>0</v>
      </c>
      <c r="AA177" s="71">
        <v>172</v>
      </c>
      <c r="AB177" s="33">
        <f t="shared" si="71"/>
        <v>0</v>
      </c>
      <c r="AC177" s="308">
        <f t="shared" si="86"/>
        <v>0</v>
      </c>
      <c r="AD177" s="101">
        <f t="shared" si="72"/>
        <v>0</v>
      </c>
      <c r="AE177" s="101">
        <f t="shared" si="73"/>
        <v>0</v>
      </c>
      <c r="AF177" s="197">
        <f t="shared" si="82"/>
        <v>0</v>
      </c>
      <c r="AG177" s="197">
        <f t="shared" si="83"/>
        <v>0</v>
      </c>
      <c r="AH177" s="197">
        <f t="shared" si="84"/>
        <v>0</v>
      </c>
      <c r="AI177" s="202">
        <f t="shared" si="85"/>
        <v>0</v>
      </c>
      <c r="AK177" s="71">
        <v>172</v>
      </c>
      <c r="AL177" s="33"/>
      <c r="AM177" s="33"/>
      <c r="AN177" s="33"/>
      <c r="AO177" s="33"/>
      <c r="AP177" s="33"/>
      <c r="AQ177" s="197"/>
      <c r="AR177" s="197"/>
      <c r="AS177" s="197"/>
      <c r="AT177" s="197"/>
      <c r="AU177" s="33"/>
      <c r="AV177" s="33"/>
      <c r="AW177" s="33"/>
      <c r="AX177" s="33"/>
      <c r="AY177" s="76"/>
    </row>
    <row r="178" spans="3:51" ht="30">
      <c r="C178" s="169" t="s">
        <v>53</v>
      </c>
      <c r="D178" s="4">
        <v>0.46</v>
      </c>
      <c r="E178" s="191" t="s">
        <v>231</v>
      </c>
      <c r="I178" s="55">
        <v>173</v>
      </c>
      <c r="J178" s="33">
        <f t="shared" si="76"/>
        <v>0</v>
      </c>
      <c r="K178" s="33">
        <f t="shared" si="77"/>
        <v>0</v>
      </c>
      <c r="L178" s="33">
        <f t="shared" si="78"/>
        <v>0</v>
      </c>
      <c r="M178" s="33">
        <f t="shared" si="79"/>
        <v>0</v>
      </c>
      <c r="N178" s="33">
        <f t="shared" si="65"/>
        <v>0</v>
      </c>
      <c r="O178" s="34">
        <f t="shared" si="66"/>
        <v>0</v>
      </c>
      <c r="P178" s="55">
        <v>173</v>
      </c>
      <c r="Q178" s="33">
        <f t="shared" si="74"/>
        <v>0</v>
      </c>
      <c r="R178" s="33">
        <f t="shared" si="80"/>
        <v>0</v>
      </c>
      <c r="S178" s="33">
        <f t="shared" si="81"/>
        <v>0</v>
      </c>
      <c r="T178" s="33">
        <f t="shared" si="67"/>
        <v>0</v>
      </c>
      <c r="U178" s="33">
        <f t="shared" si="75"/>
        <v>0</v>
      </c>
      <c r="V178" s="33">
        <f t="shared" si="68"/>
        <v>0</v>
      </c>
      <c r="W178" s="33">
        <v>0</v>
      </c>
      <c r="X178" s="33">
        <f t="shared" si="69"/>
        <v>0</v>
      </c>
      <c r="Y178" s="38">
        <f t="shared" si="70"/>
        <v>0</v>
      </c>
      <c r="AA178" s="71">
        <v>173</v>
      </c>
      <c r="AB178" s="33">
        <f t="shared" si="71"/>
        <v>0</v>
      </c>
      <c r="AC178" s="308">
        <f t="shared" si="86"/>
        <v>0</v>
      </c>
      <c r="AD178" s="101">
        <f t="shared" si="72"/>
        <v>0</v>
      </c>
      <c r="AE178" s="101">
        <f t="shared" si="73"/>
        <v>0</v>
      </c>
      <c r="AF178" s="197">
        <f t="shared" si="82"/>
        <v>0</v>
      </c>
      <c r="AG178" s="197">
        <f t="shared" si="83"/>
        <v>0</v>
      </c>
      <c r="AH178" s="197">
        <f t="shared" si="84"/>
        <v>0</v>
      </c>
      <c r="AI178" s="202">
        <f t="shared" si="85"/>
        <v>0</v>
      </c>
      <c r="AK178" s="71">
        <v>173</v>
      </c>
      <c r="AL178" s="33"/>
      <c r="AM178" s="33"/>
      <c r="AN178" s="33"/>
      <c r="AO178" s="33"/>
      <c r="AP178" s="33"/>
      <c r="AQ178" s="197"/>
      <c r="AR178" s="197"/>
      <c r="AS178" s="197"/>
      <c r="AT178" s="197"/>
      <c r="AU178" s="33"/>
      <c r="AV178" s="33"/>
      <c r="AW178" s="33"/>
      <c r="AX178" s="33"/>
      <c r="AY178" s="76"/>
    </row>
    <row r="179" spans="3:51">
      <c r="C179" s="169" t="s">
        <v>54</v>
      </c>
      <c r="D179" s="4">
        <v>0.44</v>
      </c>
      <c r="E179" s="191" t="s">
        <v>229</v>
      </c>
      <c r="I179" s="55">
        <v>174</v>
      </c>
      <c r="J179" s="33">
        <f t="shared" si="76"/>
        <v>0</v>
      </c>
      <c r="K179" s="33">
        <f t="shared" si="77"/>
        <v>0</v>
      </c>
      <c r="L179" s="33">
        <f t="shared" si="78"/>
        <v>0</v>
      </c>
      <c r="M179" s="33">
        <f t="shared" si="79"/>
        <v>0</v>
      </c>
      <c r="N179" s="33">
        <f t="shared" si="65"/>
        <v>0</v>
      </c>
      <c r="O179" s="34">
        <f t="shared" si="66"/>
        <v>0</v>
      </c>
      <c r="P179" s="55">
        <v>174</v>
      </c>
      <c r="Q179" s="33">
        <f t="shared" si="74"/>
        <v>0</v>
      </c>
      <c r="R179" s="33">
        <f t="shared" si="80"/>
        <v>0</v>
      </c>
      <c r="S179" s="33">
        <f t="shared" si="81"/>
        <v>0</v>
      </c>
      <c r="T179" s="33">
        <f t="shared" si="67"/>
        <v>0</v>
      </c>
      <c r="U179" s="33">
        <f t="shared" si="75"/>
        <v>0</v>
      </c>
      <c r="V179" s="33">
        <f t="shared" si="68"/>
        <v>0</v>
      </c>
      <c r="W179" s="33">
        <v>0</v>
      </c>
      <c r="X179" s="33">
        <f t="shared" si="69"/>
        <v>0</v>
      </c>
      <c r="Y179" s="38">
        <f t="shared" si="70"/>
        <v>0</v>
      </c>
      <c r="AA179" s="71">
        <v>174</v>
      </c>
      <c r="AB179" s="33">
        <f t="shared" si="71"/>
        <v>0</v>
      </c>
      <c r="AC179" s="308">
        <f t="shared" si="86"/>
        <v>0</v>
      </c>
      <c r="AD179" s="101">
        <f t="shared" si="72"/>
        <v>0</v>
      </c>
      <c r="AE179" s="101">
        <f t="shared" si="73"/>
        <v>0</v>
      </c>
      <c r="AF179" s="197">
        <f t="shared" si="82"/>
        <v>0</v>
      </c>
      <c r="AG179" s="197">
        <f t="shared" si="83"/>
        <v>0</v>
      </c>
      <c r="AH179" s="197">
        <f t="shared" si="84"/>
        <v>0</v>
      </c>
      <c r="AI179" s="202">
        <f t="shared" si="85"/>
        <v>0</v>
      </c>
      <c r="AK179" s="71">
        <v>174</v>
      </c>
      <c r="AL179" s="33"/>
      <c r="AM179" s="33"/>
      <c r="AN179" s="33"/>
      <c r="AO179" s="33"/>
      <c r="AP179" s="33"/>
      <c r="AQ179" s="197"/>
      <c r="AR179" s="197"/>
      <c r="AS179" s="197"/>
      <c r="AT179" s="197"/>
      <c r="AU179" s="33"/>
      <c r="AV179" s="33"/>
      <c r="AW179" s="33"/>
      <c r="AX179" s="33"/>
      <c r="AY179" s="76"/>
    </row>
    <row r="180" spans="3:51">
      <c r="C180" s="169" t="s">
        <v>55</v>
      </c>
      <c r="D180" s="4">
        <v>0.46</v>
      </c>
      <c r="E180" s="191" t="s">
        <v>229</v>
      </c>
      <c r="I180" s="55">
        <v>175</v>
      </c>
      <c r="J180" s="33">
        <f t="shared" si="76"/>
        <v>0</v>
      </c>
      <c r="K180" s="33">
        <f t="shared" si="77"/>
        <v>0</v>
      </c>
      <c r="L180" s="33">
        <f t="shared" si="78"/>
        <v>0</v>
      </c>
      <c r="M180" s="33">
        <f t="shared" si="79"/>
        <v>0</v>
      </c>
      <c r="N180" s="33">
        <f t="shared" si="65"/>
        <v>0</v>
      </c>
      <c r="O180" s="34">
        <f t="shared" si="66"/>
        <v>0</v>
      </c>
      <c r="P180" s="55">
        <v>175</v>
      </c>
      <c r="Q180" s="33">
        <f t="shared" si="74"/>
        <v>0</v>
      </c>
      <c r="R180" s="33">
        <f t="shared" si="80"/>
        <v>0</v>
      </c>
      <c r="S180" s="33">
        <f t="shared" si="81"/>
        <v>0</v>
      </c>
      <c r="T180" s="33">
        <f t="shared" si="67"/>
        <v>0</v>
      </c>
      <c r="U180" s="33">
        <f t="shared" si="75"/>
        <v>0</v>
      </c>
      <c r="V180" s="33">
        <f t="shared" si="68"/>
        <v>0</v>
      </c>
      <c r="W180" s="33">
        <v>0</v>
      </c>
      <c r="X180" s="33">
        <f t="shared" si="69"/>
        <v>0</v>
      </c>
      <c r="Y180" s="38">
        <f t="shared" si="70"/>
        <v>0</v>
      </c>
      <c r="AA180" s="71">
        <v>175</v>
      </c>
      <c r="AB180" s="33">
        <f t="shared" si="71"/>
        <v>0</v>
      </c>
      <c r="AC180" s="308">
        <f t="shared" si="86"/>
        <v>0</v>
      </c>
      <c r="AD180" s="101">
        <f t="shared" si="72"/>
        <v>0</v>
      </c>
      <c r="AE180" s="101">
        <f t="shared" si="73"/>
        <v>0</v>
      </c>
      <c r="AF180" s="197">
        <f t="shared" si="82"/>
        <v>0</v>
      </c>
      <c r="AG180" s="197">
        <f t="shared" si="83"/>
        <v>0</v>
      </c>
      <c r="AH180" s="197">
        <f t="shared" si="84"/>
        <v>0</v>
      </c>
      <c r="AI180" s="202">
        <f t="shared" si="85"/>
        <v>0</v>
      </c>
      <c r="AK180" s="71">
        <v>175</v>
      </c>
      <c r="AL180" s="33"/>
      <c r="AM180" s="33"/>
      <c r="AN180" s="33"/>
      <c r="AO180" s="33"/>
      <c r="AP180" s="33"/>
      <c r="AQ180" s="197"/>
      <c r="AR180" s="197"/>
      <c r="AS180" s="197"/>
      <c r="AT180" s="197"/>
      <c r="AU180" s="33"/>
      <c r="AV180" s="33"/>
      <c r="AW180" s="33"/>
      <c r="AX180" s="33"/>
      <c r="AY180" s="76"/>
    </row>
    <row r="181" spans="3:51">
      <c r="C181" s="169" t="s">
        <v>56</v>
      </c>
      <c r="D181" s="4">
        <v>0.48</v>
      </c>
      <c r="E181" s="191" t="s">
        <v>229</v>
      </c>
      <c r="I181" s="55">
        <v>176</v>
      </c>
      <c r="J181" s="33">
        <f t="shared" si="76"/>
        <v>0</v>
      </c>
      <c r="K181" s="33">
        <f t="shared" si="77"/>
        <v>0</v>
      </c>
      <c r="L181" s="33">
        <f t="shared" si="78"/>
        <v>0</v>
      </c>
      <c r="M181" s="33">
        <f t="shared" si="79"/>
        <v>0</v>
      </c>
      <c r="N181" s="33">
        <f t="shared" si="65"/>
        <v>0</v>
      </c>
      <c r="O181" s="34">
        <f t="shared" si="66"/>
        <v>0</v>
      </c>
      <c r="P181" s="55">
        <v>176</v>
      </c>
      <c r="Q181" s="33">
        <f t="shared" si="74"/>
        <v>0</v>
      </c>
      <c r="R181" s="33">
        <f t="shared" si="80"/>
        <v>0</v>
      </c>
      <c r="S181" s="33">
        <f t="shared" si="81"/>
        <v>0</v>
      </c>
      <c r="T181" s="33">
        <f t="shared" si="67"/>
        <v>0</v>
      </c>
      <c r="U181" s="33">
        <f t="shared" si="75"/>
        <v>0</v>
      </c>
      <c r="V181" s="33">
        <f t="shared" si="68"/>
        <v>0</v>
      </c>
      <c r="W181" s="33">
        <v>0</v>
      </c>
      <c r="X181" s="33">
        <f t="shared" si="69"/>
        <v>0</v>
      </c>
      <c r="Y181" s="38">
        <f t="shared" si="70"/>
        <v>0</v>
      </c>
      <c r="AA181" s="71">
        <v>176</v>
      </c>
      <c r="AB181" s="33">
        <f t="shared" si="71"/>
        <v>0</v>
      </c>
      <c r="AC181" s="308">
        <f t="shared" si="86"/>
        <v>0</v>
      </c>
      <c r="AD181" s="101">
        <f t="shared" si="72"/>
        <v>0</v>
      </c>
      <c r="AE181" s="101">
        <f t="shared" si="73"/>
        <v>0</v>
      </c>
      <c r="AF181" s="197">
        <f t="shared" si="82"/>
        <v>0</v>
      </c>
      <c r="AG181" s="197">
        <f t="shared" si="83"/>
        <v>0</v>
      </c>
      <c r="AH181" s="197">
        <f t="shared" si="84"/>
        <v>0</v>
      </c>
      <c r="AI181" s="202">
        <f t="shared" si="85"/>
        <v>0</v>
      </c>
      <c r="AK181" s="71">
        <v>176</v>
      </c>
      <c r="AL181" s="33"/>
      <c r="AM181" s="33"/>
      <c r="AN181" s="33"/>
      <c r="AO181" s="33"/>
      <c r="AP181" s="33"/>
      <c r="AQ181" s="197"/>
      <c r="AR181" s="197"/>
      <c r="AS181" s="197"/>
      <c r="AT181" s="197"/>
      <c r="AU181" s="33"/>
      <c r="AV181" s="33"/>
      <c r="AW181" s="33"/>
      <c r="AX181" s="33"/>
      <c r="AY181" s="76"/>
    </row>
    <row r="182" spans="3:51">
      <c r="C182" s="169" t="s">
        <v>57</v>
      </c>
      <c r="D182" s="4">
        <v>0.44</v>
      </c>
      <c r="E182" s="191" t="s">
        <v>229</v>
      </c>
      <c r="I182" s="55">
        <v>177</v>
      </c>
      <c r="J182" s="33">
        <f t="shared" si="76"/>
        <v>0</v>
      </c>
      <c r="K182" s="33">
        <f t="shared" si="77"/>
        <v>0</v>
      </c>
      <c r="L182" s="33">
        <f t="shared" si="78"/>
        <v>0</v>
      </c>
      <c r="M182" s="33">
        <f t="shared" si="79"/>
        <v>0</v>
      </c>
      <c r="N182" s="33">
        <f t="shared" si="65"/>
        <v>0</v>
      </c>
      <c r="O182" s="34">
        <f t="shared" si="66"/>
        <v>0</v>
      </c>
      <c r="P182" s="55">
        <v>177</v>
      </c>
      <c r="Q182" s="33">
        <f t="shared" si="74"/>
        <v>0</v>
      </c>
      <c r="R182" s="33">
        <f t="shared" si="80"/>
        <v>0</v>
      </c>
      <c r="S182" s="33">
        <f t="shared" si="81"/>
        <v>0</v>
      </c>
      <c r="T182" s="33">
        <f t="shared" si="67"/>
        <v>0</v>
      </c>
      <c r="U182" s="33">
        <f t="shared" si="75"/>
        <v>0</v>
      </c>
      <c r="V182" s="33">
        <f t="shared" si="68"/>
        <v>0</v>
      </c>
      <c r="W182" s="33">
        <v>0</v>
      </c>
      <c r="X182" s="33">
        <f t="shared" si="69"/>
        <v>0</v>
      </c>
      <c r="Y182" s="38">
        <f t="shared" si="70"/>
        <v>0</v>
      </c>
      <c r="AA182" s="71">
        <v>177</v>
      </c>
      <c r="AB182" s="33">
        <f t="shared" si="71"/>
        <v>0</v>
      </c>
      <c r="AC182" s="308">
        <f t="shared" si="86"/>
        <v>0</v>
      </c>
      <c r="AD182" s="101">
        <f t="shared" si="72"/>
        <v>0</v>
      </c>
      <c r="AE182" s="101">
        <f t="shared" si="73"/>
        <v>0</v>
      </c>
      <c r="AF182" s="197">
        <f t="shared" si="82"/>
        <v>0</v>
      </c>
      <c r="AG182" s="197">
        <f t="shared" si="83"/>
        <v>0</v>
      </c>
      <c r="AH182" s="197">
        <f t="shared" si="84"/>
        <v>0</v>
      </c>
      <c r="AI182" s="202">
        <f t="shared" si="85"/>
        <v>0</v>
      </c>
      <c r="AK182" s="71">
        <v>177</v>
      </c>
      <c r="AL182" s="33"/>
      <c r="AM182" s="33"/>
      <c r="AN182" s="33"/>
      <c r="AO182" s="33"/>
      <c r="AP182" s="33"/>
      <c r="AQ182" s="197"/>
      <c r="AR182" s="197"/>
      <c r="AS182" s="197"/>
      <c r="AT182" s="197"/>
      <c r="AU182" s="33"/>
      <c r="AV182" s="33"/>
      <c r="AW182" s="33"/>
      <c r="AX182" s="33"/>
      <c r="AY182" s="76"/>
    </row>
    <row r="183" spans="3:51">
      <c r="C183" s="169" t="s">
        <v>58</v>
      </c>
      <c r="D183" s="4">
        <v>0.34</v>
      </c>
      <c r="E183" s="191" t="s">
        <v>229</v>
      </c>
      <c r="I183" s="55">
        <v>178</v>
      </c>
      <c r="J183" s="33">
        <f t="shared" si="76"/>
        <v>0</v>
      </c>
      <c r="K183" s="33">
        <f t="shared" si="77"/>
        <v>0</v>
      </c>
      <c r="L183" s="33">
        <f t="shared" si="78"/>
        <v>0</v>
      </c>
      <c r="M183" s="33">
        <f t="shared" si="79"/>
        <v>0</v>
      </c>
      <c r="N183" s="33">
        <f t="shared" si="65"/>
        <v>0</v>
      </c>
      <c r="O183" s="34">
        <f t="shared" si="66"/>
        <v>0</v>
      </c>
      <c r="P183" s="55">
        <v>178</v>
      </c>
      <c r="Q183" s="33">
        <f t="shared" si="74"/>
        <v>0</v>
      </c>
      <c r="R183" s="33">
        <f t="shared" si="80"/>
        <v>0</v>
      </c>
      <c r="S183" s="33">
        <f t="shared" si="81"/>
        <v>0</v>
      </c>
      <c r="T183" s="33">
        <f t="shared" si="67"/>
        <v>0</v>
      </c>
      <c r="U183" s="33">
        <f t="shared" si="75"/>
        <v>0</v>
      </c>
      <c r="V183" s="33">
        <f t="shared" si="68"/>
        <v>0</v>
      </c>
      <c r="W183" s="33">
        <v>0</v>
      </c>
      <c r="X183" s="33">
        <f t="shared" si="69"/>
        <v>0</v>
      </c>
      <c r="Y183" s="38">
        <f t="shared" si="70"/>
        <v>0</v>
      </c>
      <c r="AA183" s="71">
        <v>178</v>
      </c>
      <c r="AB183" s="33">
        <f t="shared" si="71"/>
        <v>0</v>
      </c>
      <c r="AC183" s="308">
        <f t="shared" si="86"/>
        <v>0</v>
      </c>
      <c r="AD183" s="101">
        <f t="shared" si="72"/>
        <v>0</v>
      </c>
      <c r="AE183" s="101">
        <f t="shared" si="73"/>
        <v>0</v>
      </c>
      <c r="AF183" s="197">
        <f t="shared" si="82"/>
        <v>0</v>
      </c>
      <c r="AG183" s="197">
        <f t="shared" si="83"/>
        <v>0</v>
      </c>
      <c r="AH183" s="197">
        <f t="shared" si="84"/>
        <v>0</v>
      </c>
      <c r="AI183" s="202">
        <f t="shared" si="85"/>
        <v>0</v>
      </c>
      <c r="AK183" s="71">
        <v>178</v>
      </c>
      <c r="AL183" s="33"/>
      <c r="AM183" s="33"/>
      <c r="AN183" s="33"/>
      <c r="AO183" s="33"/>
      <c r="AP183" s="33"/>
      <c r="AQ183" s="197"/>
      <c r="AR183" s="197"/>
      <c r="AS183" s="197"/>
      <c r="AT183" s="197"/>
      <c r="AU183" s="33"/>
      <c r="AV183" s="33"/>
      <c r="AW183" s="33"/>
      <c r="AX183" s="33"/>
      <c r="AY183" s="76"/>
    </row>
    <row r="184" spans="3:51">
      <c r="C184" s="169" t="s">
        <v>59</v>
      </c>
      <c r="D184" s="4">
        <v>0.5</v>
      </c>
      <c r="E184" s="191" t="s">
        <v>228</v>
      </c>
      <c r="I184" s="55">
        <v>179</v>
      </c>
      <c r="J184" s="33">
        <f t="shared" si="76"/>
        <v>0</v>
      </c>
      <c r="K184" s="33">
        <f t="shared" si="77"/>
        <v>0</v>
      </c>
      <c r="L184" s="33">
        <f t="shared" si="78"/>
        <v>0</v>
      </c>
      <c r="M184" s="33">
        <f t="shared" si="79"/>
        <v>0</v>
      </c>
      <c r="N184" s="33">
        <f t="shared" si="65"/>
        <v>0</v>
      </c>
      <c r="O184" s="34">
        <f t="shared" si="66"/>
        <v>0</v>
      </c>
      <c r="P184" s="55">
        <v>179</v>
      </c>
      <c r="Q184" s="33">
        <f t="shared" si="74"/>
        <v>0</v>
      </c>
      <c r="R184" s="33">
        <f t="shared" si="80"/>
        <v>0</v>
      </c>
      <c r="S184" s="33">
        <f t="shared" si="81"/>
        <v>0</v>
      </c>
      <c r="T184" s="33">
        <f t="shared" si="67"/>
        <v>0</v>
      </c>
      <c r="U184" s="33">
        <f t="shared" si="75"/>
        <v>0</v>
      </c>
      <c r="V184" s="33">
        <f t="shared" si="68"/>
        <v>0</v>
      </c>
      <c r="W184" s="33">
        <v>0</v>
      </c>
      <c r="X184" s="33">
        <f t="shared" si="69"/>
        <v>0</v>
      </c>
      <c r="Y184" s="38">
        <f t="shared" si="70"/>
        <v>0</v>
      </c>
      <c r="AA184" s="71">
        <v>179</v>
      </c>
      <c r="AB184" s="33">
        <f t="shared" si="71"/>
        <v>0</v>
      </c>
      <c r="AC184" s="308">
        <f t="shared" si="86"/>
        <v>0</v>
      </c>
      <c r="AD184" s="101">
        <f t="shared" si="72"/>
        <v>0</v>
      </c>
      <c r="AE184" s="101">
        <f t="shared" si="73"/>
        <v>0</v>
      </c>
      <c r="AF184" s="197">
        <f t="shared" si="82"/>
        <v>0</v>
      </c>
      <c r="AG184" s="197">
        <f t="shared" si="83"/>
        <v>0</v>
      </c>
      <c r="AH184" s="197">
        <f t="shared" si="84"/>
        <v>0</v>
      </c>
      <c r="AI184" s="202">
        <f t="shared" si="85"/>
        <v>0</v>
      </c>
      <c r="AK184" s="71">
        <v>179</v>
      </c>
      <c r="AL184" s="33"/>
      <c r="AM184" s="33"/>
      <c r="AN184" s="33"/>
      <c r="AO184" s="33"/>
      <c r="AP184" s="33"/>
      <c r="AQ184" s="197"/>
      <c r="AR184" s="197"/>
      <c r="AS184" s="197"/>
      <c r="AT184" s="197"/>
      <c r="AU184" s="33"/>
      <c r="AV184" s="33"/>
      <c r="AW184" s="33"/>
      <c r="AX184" s="33"/>
      <c r="AY184" s="76"/>
    </row>
    <row r="185" spans="3:51">
      <c r="C185" s="169" t="s">
        <v>60</v>
      </c>
      <c r="D185" s="4">
        <v>0.57999999999999996</v>
      </c>
      <c r="E185" s="191" t="s">
        <v>228</v>
      </c>
      <c r="I185" s="55">
        <v>180</v>
      </c>
      <c r="J185" s="33">
        <f t="shared" si="76"/>
        <v>0</v>
      </c>
      <c r="K185" s="33">
        <f t="shared" si="77"/>
        <v>0</v>
      </c>
      <c r="L185" s="33">
        <f t="shared" si="78"/>
        <v>0</v>
      </c>
      <c r="M185" s="33">
        <f t="shared" si="79"/>
        <v>0</v>
      </c>
      <c r="N185" s="33">
        <f t="shared" si="65"/>
        <v>0</v>
      </c>
      <c r="O185" s="34">
        <f t="shared" si="66"/>
        <v>0</v>
      </c>
      <c r="P185" s="55">
        <v>180</v>
      </c>
      <c r="Q185" s="33">
        <f t="shared" si="74"/>
        <v>0</v>
      </c>
      <c r="R185" s="33">
        <f t="shared" si="80"/>
        <v>0</v>
      </c>
      <c r="S185" s="33">
        <f t="shared" si="81"/>
        <v>0</v>
      </c>
      <c r="T185" s="33">
        <f t="shared" si="67"/>
        <v>0</v>
      </c>
      <c r="U185" s="33">
        <f t="shared" si="75"/>
        <v>0</v>
      </c>
      <c r="V185" s="33">
        <f t="shared" si="68"/>
        <v>0</v>
      </c>
      <c r="W185" s="33">
        <v>0</v>
      </c>
      <c r="X185" s="33">
        <f t="shared" si="69"/>
        <v>0</v>
      </c>
      <c r="Y185" s="38">
        <f t="shared" si="70"/>
        <v>0</v>
      </c>
      <c r="AA185" s="71">
        <v>180</v>
      </c>
      <c r="AB185" s="33">
        <f t="shared" si="71"/>
        <v>0</v>
      </c>
      <c r="AC185" s="308">
        <f t="shared" si="86"/>
        <v>0</v>
      </c>
      <c r="AD185" s="101">
        <f t="shared" si="72"/>
        <v>0</v>
      </c>
      <c r="AE185" s="101">
        <f t="shared" si="73"/>
        <v>0</v>
      </c>
      <c r="AF185" s="197">
        <f t="shared" si="82"/>
        <v>0</v>
      </c>
      <c r="AG185" s="197">
        <f t="shared" si="83"/>
        <v>0</v>
      </c>
      <c r="AH185" s="197">
        <f t="shared" si="84"/>
        <v>0</v>
      </c>
      <c r="AI185" s="202">
        <f t="shared" si="85"/>
        <v>0</v>
      </c>
      <c r="AK185" s="71">
        <v>180</v>
      </c>
      <c r="AL185" s="33"/>
      <c r="AM185" s="33"/>
      <c r="AN185" s="33"/>
      <c r="AO185" s="33"/>
      <c r="AP185" s="33"/>
      <c r="AQ185" s="197"/>
      <c r="AR185" s="197"/>
      <c r="AS185" s="197"/>
      <c r="AT185" s="197"/>
      <c r="AU185" s="33"/>
      <c r="AV185" s="33"/>
      <c r="AW185" s="33"/>
      <c r="AX185" s="33"/>
      <c r="AY185" s="76"/>
    </row>
    <row r="186" spans="3:51">
      <c r="C186" s="169" t="s">
        <v>61</v>
      </c>
      <c r="D186" s="4">
        <v>0.37</v>
      </c>
      <c r="E186" s="191" t="s">
        <v>229</v>
      </c>
      <c r="I186" s="55">
        <v>181</v>
      </c>
      <c r="J186" s="33">
        <f t="shared" si="76"/>
        <v>0</v>
      </c>
      <c r="K186" s="33">
        <f t="shared" si="77"/>
        <v>0</v>
      </c>
      <c r="L186" s="33">
        <f t="shared" si="78"/>
        <v>0</v>
      </c>
      <c r="M186" s="33">
        <f t="shared" si="79"/>
        <v>0</v>
      </c>
      <c r="N186" s="33">
        <f t="shared" si="65"/>
        <v>0</v>
      </c>
      <c r="O186" s="34">
        <f t="shared" si="66"/>
        <v>0</v>
      </c>
      <c r="P186" s="55">
        <v>181</v>
      </c>
      <c r="Q186" s="33">
        <f t="shared" si="74"/>
        <v>0</v>
      </c>
      <c r="R186" s="33">
        <f t="shared" si="80"/>
        <v>0</v>
      </c>
      <c r="S186" s="33">
        <f t="shared" si="81"/>
        <v>0</v>
      </c>
      <c r="T186" s="33">
        <f t="shared" si="67"/>
        <v>0</v>
      </c>
      <c r="U186" s="33">
        <f t="shared" si="75"/>
        <v>0</v>
      </c>
      <c r="V186" s="33">
        <f t="shared" si="68"/>
        <v>0</v>
      </c>
      <c r="W186" s="33">
        <v>0</v>
      </c>
      <c r="X186" s="33">
        <f t="shared" si="69"/>
        <v>0</v>
      </c>
      <c r="Y186" s="38">
        <f t="shared" si="70"/>
        <v>0</v>
      </c>
      <c r="AA186" s="71">
        <v>181</v>
      </c>
      <c r="AB186" s="33">
        <f t="shared" si="71"/>
        <v>0</v>
      </c>
      <c r="AC186" s="308">
        <f t="shared" si="86"/>
        <v>0</v>
      </c>
      <c r="AD186" s="101">
        <f t="shared" si="72"/>
        <v>0</v>
      </c>
      <c r="AE186" s="101">
        <f t="shared" si="73"/>
        <v>0</v>
      </c>
      <c r="AF186" s="197">
        <f t="shared" si="82"/>
        <v>0</v>
      </c>
      <c r="AG186" s="197">
        <f t="shared" si="83"/>
        <v>0</v>
      </c>
      <c r="AH186" s="197">
        <f t="shared" si="84"/>
        <v>0</v>
      </c>
      <c r="AI186" s="202">
        <f t="shared" si="85"/>
        <v>0</v>
      </c>
      <c r="AK186" s="71">
        <v>181</v>
      </c>
      <c r="AL186" s="33"/>
      <c r="AM186" s="33"/>
      <c r="AN186" s="33"/>
      <c r="AO186" s="33"/>
      <c r="AP186" s="33"/>
      <c r="AQ186" s="197"/>
      <c r="AR186" s="197"/>
      <c r="AS186" s="197"/>
      <c r="AT186" s="197"/>
      <c r="AU186" s="33"/>
      <c r="AV186" s="33"/>
      <c r="AW186" s="33"/>
      <c r="AX186" s="33"/>
      <c r="AY186" s="76"/>
    </row>
    <row r="187" spans="3:51">
      <c r="C187" s="169" t="s">
        <v>62</v>
      </c>
      <c r="D187" s="4">
        <v>0.37</v>
      </c>
      <c r="E187" s="191" t="s">
        <v>229</v>
      </c>
      <c r="I187" s="55">
        <v>182</v>
      </c>
      <c r="J187" s="33">
        <f t="shared" si="76"/>
        <v>0</v>
      </c>
      <c r="K187" s="33">
        <f t="shared" si="77"/>
        <v>0</v>
      </c>
      <c r="L187" s="33">
        <f t="shared" si="78"/>
        <v>0</v>
      </c>
      <c r="M187" s="33">
        <f t="shared" si="79"/>
        <v>0</v>
      </c>
      <c r="N187" s="33">
        <f t="shared" si="65"/>
        <v>0</v>
      </c>
      <c r="O187" s="34">
        <f t="shared" si="66"/>
        <v>0</v>
      </c>
      <c r="P187" s="55">
        <v>182</v>
      </c>
      <c r="Q187" s="33">
        <f t="shared" si="74"/>
        <v>0</v>
      </c>
      <c r="R187" s="33">
        <f t="shared" si="80"/>
        <v>0</v>
      </c>
      <c r="S187" s="33">
        <f t="shared" si="81"/>
        <v>0</v>
      </c>
      <c r="T187" s="33">
        <f t="shared" si="67"/>
        <v>0</v>
      </c>
      <c r="U187" s="33">
        <f t="shared" si="75"/>
        <v>0</v>
      </c>
      <c r="V187" s="33">
        <f t="shared" si="68"/>
        <v>0</v>
      </c>
      <c r="W187" s="33">
        <v>0</v>
      </c>
      <c r="X187" s="33">
        <f t="shared" si="69"/>
        <v>0</v>
      </c>
      <c r="Y187" s="38">
        <f t="shared" si="70"/>
        <v>0</v>
      </c>
      <c r="AA187" s="71">
        <v>182</v>
      </c>
      <c r="AB187" s="33">
        <f t="shared" si="71"/>
        <v>0</v>
      </c>
      <c r="AC187" s="308">
        <f t="shared" si="86"/>
        <v>0</v>
      </c>
      <c r="AD187" s="101">
        <f t="shared" si="72"/>
        <v>0</v>
      </c>
      <c r="AE187" s="101">
        <f t="shared" si="73"/>
        <v>0</v>
      </c>
      <c r="AF187" s="197">
        <f t="shared" si="82"/>
        <v>0</v>
      </c>
      <c r="AG187" s="197">
        <f t="shared" si="83"/>
        <v>0</v>
      </c>
      <c r="AH187" s="197">
        <f t="shared" si="84"/>
        <v>0</v>
      </c>
      <c r="AI187" s="202">
        <f t="shared" si="85"/>
        <v>0</v>
      </c>
      <c r="AK187" s="71">
        <v>182</v>
      </c>
      <c r="AL187" s="33"/>
      <c r="AM187" s="33"/>
      <c r="AN187" s="33"/>
      <c r="AO187" s="33"/>
      <c r="AP187" s="33"/>
      <c r="AQ187" s="197"/>
      <c r="AR187" s="197"/>
      <c r="AS187" s="197"/>
      <c r="AT187" s="197"/>
      <c r="AU187" s="33"/>
      <c r="AV187" s="33"/>
      <c r="AW187" s="33"/>
      <c r="AX187" s="33"/>
      <c r="AY187" s="76"/>
    </row>
    <row r="188" spans="3:51">
      <c r="C188" s="169" t="s">
        <v>63</v>
      </c>
      <c r="D188" s="4">
        <v>0.38</v>
      </c>
      <c r="E188" s="191" t="s">
        <v>229</v>
      </c>
      <c r="I188" s="55">
        <v>183</v>
      </c>
      <c r="J188" s="33">
        <f t="shared" si="76"/>
        <v>0</v>
      </c>
      <c r="K188" s="33">
        <f t="shared" si="77"/>
        <v>0</v>
      </c>
      <c r="L188" s="33">
        <f t="shared" si="78"/>
        <v>0</v>
      </c>
      <c r="M188" s="33">
        <f t="shared" si="79"/>
        <v>0</v>
      </c>
      <c r="N188" s="33">
        <f t="shared" si="65"/>
        <v>0</v>
      </c>
      <c r="O188" s="34">
        <f t="shared" si="66"/>
        <v>0</v>
      </c>
      <c r="P188" s="55">
        <v>183</v>
      </c>
      <c r="Q188" s="33">
        <f t="shared" si="74"/>
        <v>0</v>
      </c>
      <c r="R188" s="33">
        <f t="shared" si="80"/>
        <v>0</v>
      </c>
      <c r="S188" s="33">
        <f t="shared" si="81"/>
        <v>0</v>
      </c>
      <c r="T188" s="33">
        <f t="shared" si="67"/>
        <v>0</v>
      </c>
      <c r="U188" s="33">
        <f t="shared" si="75"/>
        <v>0</v>
      </c>
      <c r="V188" s="33">
        <f t="shared" si="68"/>
        <v>0</v>
      </c>
      <c r="W188" s="33">
        <v>0</v>
      </c>
      <c r="X188" s="33">
        <f t="shared" si="69"/>
        <v>0</v>
      </c>
      <c r="Y188" s="38">
        <f t="shared" si="70"/>
        <v>0</v>
      </c>
      <c r="AA188" s="71">
        <v>183</v>
      </c>
      <c r="AB188" s="33">
        <f t="shared" si="71"/>
        <v>0</v>
      </c>
      <c r="AC188" s="308">
        <f t="shared" si="86"/>
        <v>0</v>
      </c>
      <c r="AD188" s="101">
        <f t="shared" si="72"/>
        <v>0</v>
      </c>
      <c r="AE188" s="101">
        <f t="shared" si="73"/>
        <v>0</v>
      </c>
      <c r="AF188" s="197">
        <f t="shared" si="82"/>
        <v>0</v>
      </c>
      <c r="AG188" s="197">
        <f t="shared" si="83"/>
        <v>0</v>
      </c>
      <c r="AH188" s="197">
        <f t="shared" si="84"/>
        <v>0</v>
      </c>
      <c r="AI188" s="202">
        <f t="shared" si="85"/>
        <v>0</v>
      </c>
      <c r="AK188" s="71">
        <v>183</v>
      </c>
      <c r="AL188" s="33"/>
      <c r="AM188" s="33"/>
      <c r="AN188" s="33"/>
      <c r="AO188" s="33"/>
      <c r="AP188" s="33"/>
      <c r="AQ188" s="197"/>
      <c r="AR188" s="197"/>
      <c r="AS188" s="197"/>
      <c r="AT188" s="197"/>
      <c r="AU188" s="33"/>
      <c r="AV188" s="33"/>
      <c r="AW188" s="33"/>
      <c r="AX188" s="33"/>
      <c r="AY188" s="76"/>
    </row>
    <row r="189" spans="3:51">
      <c r="C189" s="169" t="s">
        <v>64</v>
      </c>
      <c r="D189" s="4">
        <v>0.36</v>
      </c>
      <c r="E189" s="191" t="s">
        <v>229</v>
      </c>
      <c r="I189" s="55">
        <v>184</v>
      </c>
      <c r="J189" s="33">
        <f t="shared" si="76"/>
        <v>0</v>
      </c>
      <c r="K189" s="33">
        <f t="shared" si="77"/>
        <v>0</v>
      </c>
      <c r="L189" s="33">
        <f t="shared" si="78"/>
        <v>0</v>
      </c>
      <c r="M189" s="33">
        <f t="shared" si="79"/>
        <v>0</v>
      </c>
      <c r="N189" s="33">
        <f t="shared" si="65"/>
        <v>0</v>
      </c>
      <c r="O189" s="34">
        <f t="shared" si="66"/>
        <v>0</v>
      </c>
      <c r="P189" s="55">
        <v>184</v>
      </c>
      <c r="Q189" s="33">
        <f t="shared" si="74"/>
        <v>0</v>
      </c>
      <c r="R189" s="33">
        <f t="shared" si="80"/>
        <v>0</v>
      </c>
      <c r="S189" s="33">
        <f t="shared" si="81"/>
        <v>0</v>
      </c>
      <c r="T189" s="33">
        <f t="shared" si="67"/>
        <v>0</v>
      </c>
      <c r="U189" s="33">
        <f t="shared" si="75"/>
        <v>0</v>
      </c>
      <c r="V189" s="33">
        <f t="shared" si="68"/>
        <v>0</v>
      </c>
      <c r="W189" s="33">
        <v>0</v>
      </c>
      <c r="X189" s="33">
        <f t="shared" si="69"/>
        <v>0</v>
      </c>
      <c r="Y189" s="38">
        <f t="shared" si="70"/>
        <v>0</v>
      </c>
      <c r="AA189" s="71">
        <v>184</v>
      </c>
      <c r="AB189" s="33">
        <f t="shared" si="71"/>
        <v>0</v>
      </c>
      <c r="AC189" s="308">
        <f t="shared" si="86"/>
        <v>0</v>
      </c>
      <c r="AD189" s="101">
        <f t="shared" si="72"/>
        <v>0</v>
      </c>
      <c r="AE189" s="101">
        <f t="shared" si="73"/>
        <v>0</v>
      </c>
      <c r="AF189" s="197">
        <f t="shared" si="82"/>
        <v>0</v>
      </c>
      <c r="AG189" s="197">
        <f t="shared" si="83"/>
        <v>0</v>
      </c>
      <c r="AH189" s="197">
        <f t="shared" si="84"/>
        <v>0</v>
      </c>
      <c r="AI189" s="202">
        <f t="shared" si="85"/>
        <v>0</v>
      </c>
      <c r="AK189" s="71">
        <v>184</v>
      </c>
      <c r="AL189" s="33"/>
      <c r="AM189" s="33"/>
      <c r="AN189" s="33"/>
      <c r="AO189" s="33"/>
      <c r="AP189" s="33"/>
      <c r="AQ189" s="197"/>
      <c r="AR189" s="197"/>
      <c r="AS189" s="197"/>
      <c r="AT189" s="197"/>
      <c r="AU189" s="33"/>
      <c r="AV189" s="33"/>
      <c r="AW189" s="33"/>
      <c r="AX189" s="33"/>
      <c r="AY189" s="76"/>
    </row>
    <row r="190" spans="3:51">
      <c r="C190" s="169" t="s">
        <v>65</v>
      </c>
      <c r="D190" s="4">
        <v>0.37</v>
      </c>
      <c r="E190" s="191" t="s">
        <v>228</v>
      </c>
      <c r="I190" s="55">
        <v>185</v>
      </c>
      <c r="J190" s="33">
        <f t="shared" si="76"/>
        <v>0</v>
      </c>
      <c r="K190" s="33">
        <f t="shared" si="77"/>
        <v>0</v>
      </c>
      <c r="L190" s="33">
        <f t="shared" si="78"/>
        <v>0</v>
      </c>
      <c r="M190" s="33">
        <f t="shared" si="79"/>
        <v>0</v>
      </c>
      <c r="N190" s="33">
        <f t="shared" si="65"/>
        <v>0</v>
      </c>
      <c r="O190" s="34">
        <f t="shared" si="66"/>
        <v>0</v>
      </c>
      <c r="P190" s="55">
        <v>185</v>
      </c>
      <c r="Q190" s="33">
        <f t="shared" si="74"/>
        <v>0</v>
      </c>
      <c r="R190" s="33">
        <f t="shared" si="80"/>
        <v>0</v>
      </c>
      <c r="S190" s="33">
        <f t="shared" si="81"/>
        <v>0</v>
      </c>
      <c r="T190" s="33">
        <f t="shared" si="67"/>
        <v>0</v>
      </c>
      <c r="U190" s="33">
        <f t="shared" si="75"/>
        <v>0</v>
      </c>
      <c r="V190" s="33">
        <f t="shared" si="68"/>
        <v>0</v>
      </c>
      <c r="W190" s="33">
        <v>0</v>
      </c>
      <c r="X190" s="33">
        <f t="shared" si="69"/>
        <v>0</v>
      </c>
      <c r="Y190" s="38">
        <f t="shared" si="70"/>
        <v>0</v>
      </c>
      <c r="AA190" s="71">
        <v>185</v>
      </c>
      <c r="AB190" s="33">
        <f t="shared" si="71"/>
        <v>0</v>
      </c>
      <c r="AC190" s="308">
        <f t="shared" si="86"/>
        <v>0</v>
      </c>
      <c r="AD190" s="101">
        <f t="shared" si="72"/>
        <v>0</v>
      </c>
      <c r="AE190" s="101">
        <f t="shared" si="73"/>
        <v>0</v>
      </c>
      <c r="AF190" s="197">
        <f t="shared" si="82"/>
        <v>0</v>
      </c>
      <c r="AG190" s="197">
        <f t="shared" si="83"/>
        <v>0</v>
      </c>
      <c r="AH190" s="197">
        <f t="shared" si="84"/>
        <v>0</v>
      </c>
      <c r="AI190" s="202">
        <f t="shared" si="85"/>
        <v>0</v>
      </c>
      <c r="AK190" s="71">
        <v>185</v>
      </c>
      <c r="AL190" s="33"/>
      <c r="AM190" s="33"/>
      <c r="AN190" s="33"/>
      <c r="AO190" s="33"/>
      <c r="AP190" s="33"/>
      <c r="AQ190" s="197"/>
      <c r="AR190" s="197"/>
      <c r="AS190" s="197"/>
      <c r="AT190" s="197"/>
      <c r="AU190" s="33"/>
      <c r="AV190" s="33"/>
      <c r="AW190" s="33"/>
      <c r="AX190" s="33"/>
      <c r="AY190" s="76"/>
    </row>
    <row r="191" spans="3:51">
      <c r="C191" s="169" t="s">
        <v>66</v>
      </c>
      <c r="D191" s="4">
        <v>0.53</v>
      </c>
      <c r="E191" s="191" t="s">
        <v>228</v>
      </c>
      <c r="I191" s="55">
        <v>186</v>
      </c>
      <c r="J191" s="33">
        <f t="shared" si="76"/>
        <v>0</v>
      </c>
      <c r="K191" s="33">
        <f t="shared" si="77"/>
        <v>0</v>
      </c>
      <c r="L191" s="33">
        <f t="shared" si="78"/>
        <v>0</v>
      </c>
      <c r="M191" s="33">
        <f t="shared" si="79"/>
        <v>0</v>
      </c>
      <c r="N191" s="33">
        <f t="shared" si="65"/>
        <v>0</v>
      </c>
      <c r="O191" s="34">
        <f t="shared" si="66"/>
        <v>0</v>
      </c>
      <c r="P191" s="55">
        <v>186</v>
      </c>
      <c r="Q191" s="33">
        <f t="shared" si="74"/>
        <v>0</v>
      </c>
      <c r="R191" s="33">
        <f t="shared" si="80"/>
        <v>0</v>
      </c>
      <c r="S191" s="33">
        <f t="shared" si="81"/>
        <v>0</v>
      </c>
      <c r="T191" s="33">
        <f t="shared" si="67"/>
        <v>0</v>
      </c>
      <c r="U191" s="33">
        <f t="shared" si="75"/>
        <v>0</v>
      </c>
      <c r="V191" s="33">
        <f t="shared" si="68"/>
        <v>0</v>
      </c>
      <c r="W191" s="33">
        <v>0</v>
      </c>
      <c r="X191" s="33">
        <f t="shared" si="69"/>
        <v>0</v>
      </c>
      <c r="Y191" s="38">
        <f t="shared" si="70"/>
        <v>0</v>
      </c>
      <c r="AA191" s="71">
        <v>186</v>
      </c>
      <c r="AB191" s="33">
        <f t="shared" si="71"/>
        <v>0</v>
      </c>
      <c r="AC191" s="308">
        <f t="shared" si="86"/>
        <v>0</v>
      </c>
      <c r="AD191" s="101">
        <f t="shared" si="72"/>
        <v>0</v>
      </c>
      <c r="AE191" s="101">
        <f t="shared" si="73"/>
        <v>0</v>
      </c>
      <c r="AF191" s="197">
        <f t="shared" si="82"/>
        <v>0</v>
      </c>
      <c r="AG191" s="197">
        <f t="shared" si="83"/>
        <v>0</v>
      </c>
      <c r="AH191" s="197">
        <f t="shared" si="84"/>
        <v>0</v>
      </c>
      <c r="AI191" s="202">
        <f t="shared" si="85"/>
        <v>0</v>
      </c>
      <c r="AK191" s="71">
        <v>186</v>
      </c>
      <c r="AL191" s="33"/>
      <c r="AM191" s="33"/>
      <c r="AN191" s="33"/>
      <c r="AO191" s="33"/>
      <c r="AP191" s="33"/>
      <c r="AQ191" s="197"/>
      <c r="AR191" s="197"/>
      <c r="AS191" s="197"/>
      <c r="AT191" s="197"/>
      <c r="AU191" s="33"/>
      <c r="AV191" s="33"/>
      <c r="AW191" s="33"/>
      <c r="AX191" s="33"/>
      <c r="AY191" s="76"/>
    </row>
    <row r="192" spans="3:51">
      <c r="C192" s="169" t="s">
        <v>67</v>
      </c>
      <c r="D192" s="4">
        <v>0.43</v>
      </c>
      <c r="E192" s="191" t="s">
        <v>228</v>
      </c>
      <c r="I192" s="55">
        <v>187</v>
      </c>
      <c r="J192" s="33">
        <f t="shared" si="76"/>
        <v>0</v>
      </c>
      <c r="K192" s="33">
        <f t="shared" si="77"/>
        <v>0</v>
      </c>
      <c r="L192" s="33">
        <f t="shared" si="78"/>
        <v>0</v>
      </c>
      <c r="M192" s="33">
        <f t="shared" si="79"/>
        <v>0</v>
      </c>
      <c r="N192" s="33">
        <f t="shared" si="65"/>
        <v>0</v>
      </c>
      <c r="O192" s="34">
        <f t="shared" si="66"/>
        <v>0</v>
      </c>
      <c r="P192" s="55">
        <v>187</v>
      </c>
      <c r="Q192" s="33">
        <f t="shared" si="74"/>
        <v>0</v>
      </c>
      <c r="R192" s="33">
        <f t="shared" si="80"/>
        <v>0</v>
      </c>
      <c r="S192" s="33">
        <f t="shared" si="81"/>
        <v>0</v>
      </c>
      <c r="T192" s="33">
        <f t="shared" si="67"/>
        <v>0</v>
      </c>
      <c r="U192" s="33">
        <f t="shared" si="75"/>
        <v>0</v>
      </c>
      <c r="V192" s="33">
        <f t="shared" si="68"/>
        <v>0</v>
      </c>
      <c r="W192" s="33">
        <v>0</v>
      </c>
      <c r="X192" s="33">
        <f t="shared" si="69"/>
        <v>0</v>
      </c>
      <c r="Y192" s="38">
        <f t="shared" si="70"/>
        <v>0</v>
      </c>
      <c r="AA192" s="71">
        <v>187</v>
      </c>
      <c r="AB192" s="33">
        <f t="shared" si="71"/>
        <v>0</v>
      </c>
      <c r="AC192" s="308">
        <f t="shared" si="86"/>
        <v>0</v>
      </c>
      <c r="AD192" s="101">
        <f t="shared" si="72"/>
        <v>0</v>
      </c>
      <c r="AE192" s="101">
        <f t="shared" si="73"/>
        <v>0</v>
      </c>
      <c r="AF192" s="197">
        <f t="shared" si="82"/>
        <v>0</v>
      </c>
      <c r="AG192" s="197">
        <f t="shared" si="83"/>
        <v>0</v>
      </c>
      <c r="AH192" s="197">
        <f t="shared" si="84"/>
        <v>0</v>
      </c>
      <c r="AI192" s="202">
        <f t="shared" si="85"/>
        <v>0</v>
      </c>
      <c r="AK192" s="71">
        <v>187</v>
      </c>
      <c r="AL192" s="33"/>
      <c r="AM192" s="33"/>
      <c r="AN192" s="33"/>
      <c r="AO192" s="33"/>
      <c r="AP192" s="33"/>
      <c r="AQ192" s="197"/>
      <c r="AR192" s="197"/>
      <c r="AS192" s="197"/>
      <c r="AT192" s="197"/>
      <c r="AU192" s="33"/>
      <c r="AV192" s="33"/>
      <c r="AW192" s="33"/>
      <c r="AX192" s="33"/>
      <c r="AY192" s="76"/>
    </row>
    <row r="193" spans="3:51">
      <c r="C193" s="169" t="s">
        <v>68</v>
      </c>
      <c r="D193" s="4">
        <v>0.38</v>
      </c>
      <c r="E193" s="191" t="s">
        <v>228</v>
      </c>
      <c r="I193" s="55">
        <v>188</v>
      </c>
      <c r="J193" s="33">
        <f t="shared" si="76"/>
        <v>0</v>
      </c>
      <c r="K193" s="33">
        <f t="shared" si="77"/>
        <v>0</v>
      </c>
      <c r="L193" s="33">
        <f t="shared" si="78"/>
        <v>0</v>
      </c>
      <c r="M193" s="33">
        <f t="shared" si="79"/>
        <v>0</v>
      </c>
      <c r="N193" s="33">
        <f t="shared" si="65"/>
        <v>0</v>
      </c>
      <c r="O193" s="34">
        <f t="shared" si="66"/>
        <v>0</v>
      </c>
      <c r="P193" s="55">
        <v>188</v>
      </c>
      <c r="Q193" s="33">
        <f t="shared" si="74"/>
        <v>0</v>
      </c>
      <c r="R193" s="33">
        <f t="shared" si="80"/>
        <v>0</v>
      </c>
      <c r="S193" s="33">
        <f t="shared" si="81"/>
        <v>0</v>
      </c>
      <c r="T193" s="33">
        <f t="shared" si="67"/>
        <v>0</v>
      </c>
      <c r="U193" s="33">
        <f t="shared" si="75"/>
        <v>0</v>
      </c>
      <c r="V193" s="33">
        <f t="shared" si="68"/>
        <v>0</v>
      </c>
      <c r="W193" s="33">
        <v>0</v>
      </c>
      <c r="X193" s="33">
        <f t="shared" si="69"/>
        <v>0</v>
      </c>
      <c r="Y193" s="38">
        <f t="shared" si="70"/>
        <v>0</v>
      </c>
      <c r="AA193" s="71">
        <v>188</v>
      </c>
      <c r="AB193" s="33">
        <f t="shared" si="71"/>
        <v>0</v>
      </c>
      <c r="AC193" s="308">
        <f t="shared" si="86"/>
        <v>0</v>
      </c>
      <c r="AD193" s="101">
        <f t="shared" si="72"/>
        <v>0</v>
      </c>
      <c r="AE193" s="101">
        <f t="shared" si="73"/>
        <v>0</v>
      </c>
      <c r="AF193" s="197">
        <f t="shared" si="82"/>
        <v>0</v>
      </c>
      <c r="AG193" s="197">
        <f t="shared" si="83"/>
        <v>0</v>
      </c>
      <c r="AH193" s="197">
        <f t="shared" si="84"/>
        <v>0</v>
      </c>
      <c r="AI193" s="202">
        <f t="shared" si="85"/>
        <v>0</v>
      </c>
      <c r="AK193" s="71">
        <v>188</v>
      </c>
      <c r="AL193" s="33"/>
      <c r="AM193" s="33"/>
      <c r="AN193" s="33"/>
      <c r="AO193" s="33"/>
      <c r="AP193" s="33"/>
      <c r="AQ193" s="197"/>
      <c r="AR193" s="197"/>
      <c r="AS193" s="197"/>
      <c r="AT193" s="197"/>
      <c r="AU193" s="33"/>
      <c r="AV193" s="33"/>
      <c r="AW193" s="33"/>
      <c r="AX193" s="33"/>
      <c r="AY193" s="76"/>
    </row>
    <row r="194" spans="3:51">
      <c r="C194" s="171" t="s">
        <v>69</v>
      </c>
      <c r="D194" s="3">
        <v>0.42</v>
      </c>
      <c r="E194" s="191" t="s">
        <v>229</v>
      </c>
      <c r="I194" s="55">
        <v>189</v>
      </c>
      <c r="J194" s="33">
        <f t="shared" si="76"/>
        <v>0</v>
      </c>
      <c r="K194" s="33">
        <f t="shared" si="77"/>
        <v>0</v>
      </c>
      <c r="L194" s="33">
        <f t="shared" si="78"/>
        <v>0</v>
      </c>
      <c r="M194" s="33">
        <f t="shared" si="79"/>
        <v>0</v>
      </c>
      <c r="N194" s="33">
        <f t="shared" si="65"/>
        <v>0</v>
      </c>
      <c r="O194" s="34">
        <f t="shared" si="66"/>
        <v>0</v>
      </c>
      <c r="P194" s="55">
        <v>189</v>
      </c>
      <c r="Q194" s="33">
        <f t="shared" si="74"/>
        <v>0</v>
      </c>
      <c r="R194" s="33">
        <f t="shared" si="80"/>
        <v>0</v>
      </c>
      <c r="S194" s="33">
        <f t="shared" si="81"/>
        <v>0</v>
      </c>
      <c r="T194" s="33">
        <f t="shared" si="67"/>
        <v>0</v>
      </c>
      <c r="U194" s="33">
        <f t="shared" si="75"/>
        <v>0</v>
      </c>
      <c r="V194" s="33">
        <f t="shared" si="68"/>
        <v>0</v>
      </c>
      <c r="W194" s="33">
        <v>0</v>
      </c>
      <c r="X194" s="33">
        <f t="shared" si="69"/>
        <v>0</v>
      </c>
      <c r="Y194" s="38">
        <f t="shared" si="70"/>
        <v>0</v>
      </c>
      <c r="AA194" s="71">
        <v>189</v>
      </c>
      <c r="AB194" s="33">
        <f t="shared" si="71"/>
        <v>0</v>
      </c>
      <c r="AC194" s="308">
        <f t="shared" si="86"/>
        <v>0</v>
      </c>
      <c r="AD194" s="101">
        <f t="shared" si="72"/>
        <v>0</v>
      </c>
      <c r="AE194" s="101">
        <f t="shared" si="73"/>
        <v>0</v>
      </c>
      <c r="AF194" s="197">
        <f t="shared" si="82"/>
        <v>0</v>
      </c>
      <c r="AG194" s="197">
        <f t="shared" si="83"/>
        <v>0</v>
      </c>
      <c r="AH194" s="197">
        <f t="shared" si="84"/>
        <v>0</v>
      </c>
      <c r="AI194" s="202">
        <f t="shared" si="85"/>
        <v>0</v>
      </c>
      <c r="AK194" s="71">
        <v>189</v>
      </c>
      <c r="AL194" s="33"/>
      <c r="AM194" s="33"/>
      <c r="AN194" s="33"/>
      <c r="AO194" s="33"/>
      <c r="AP194" s="33"/>
      <c r="AQ194" s="197"/>
      <c r="AR194" s="197"/>
      <c r="AS194" s="197"/>
      <c r="AT194" s="197"/>
      <c r="AU194" s="33"/>
      <c r="AV194" s="33"/>
      <c r="AW194" s="33"/>
      <c r="AX194" s="33"/>
      <c r="AY194" s="76"/>
    </row>
    <row r="195" spans="3:51">
      <c r="C195" s="171" t="s">
        <v>70</v>
      </c>
      <c r="D195" s="3">
        <v>0.56999999999999995</v>
      </c>
      <c r="E195" s="191" t="s">
        <v>228</v>
      </c>
      <c r="I195" s="55">
        <v>190</v>
      </c>
      <c r="J195" s="33">
        <f t="shared" si="76"/>
        <v>0</v>
      </c>
      <c r="K195" s="33">
        <f t="shared" si="77"/>
        <v>0</v>
      </c>
      <c r="L195" s="33">
        <f t="shared" si="78"/>
        <v>0</v>
      </c>
      <c r="M195" s="33">
        <f t="shared" si="79"/>
        <v>0</v>
      </c>
      <c r="N195" s="33">
        <f t="shared" si="65"/>
        <v>0</v>
      </c>
      <c r="O195" s="34">
        <f t="shared" si="66"/>
        <v>0</v>
      </c>
      <c r="P195" s="55">
        <v>190</v>
      </c>
      <c r="Q195" s="33">
        <f t="shared" si="74"/>
        <v>0</v>
      </c>
      <c r="R195" s="33">
        <f t="shared" si="80"/>
        <v>0</v>
      </c>
      <c r="S195" s="33">
        <f t="shared" si="81"/>
        <v>0</v>
      </c>
      <c r="T195" s="33">
        <f t="shared" si="67"/>
        <v>0</v>
      </c>
      <c r="U195" s="33">
        <f t="shared" si="75"/>
        <v>0</v>
      </c>
      <c r="V195" s="33">
        <f t="shared" si="68"/>
        <v>0</v>
      </c>
      <c r="W195" s="33">
        <v>0</v>
      </c>
      <c r="X195" s="33">
        <f t="shared" si="69"/>
        <v>0</v>
      </c>
      <c r="Y195" s="38">
        <f t="shared" si="70"/>
        <v>0</v>
      </c>
      <c r="AA195" s="71">
        <v>190</v>
      </c>
      <c r="AB195" s="33">
        <f t="shared" si="71"/>
        <v>0</v>
      </c>
      <c r="AC195" s="308">
        <f t="shared" si="86"/>
        <v>0</v>
      </c>
      <c r="AD195" s="101">
        <f t="shared" si="72"/>
        <v>0</v>
      </c>
      <c r="AE195" s="101">
        <f t="shared" si="73"/>
        <v>0</v>
      </c>
      <c r="AF195" s="197">
        <f t="shared" si="82"/>
        <v>0</v>
      </c>
      <c r="AG195" s="197">
        <f t="shared" si="83"/>
        <v>0</v>
      </c>
      <c r="AH195" s="197">
        <f t="shared" si="84"/>
        <v>0</v>
      </c>
      <c r="AI195" s="202">
        <f t="shared" si="85"/>
        <v>0</v>
      </c>
      <c r="AK195" s="71">
        <v>190</v>
      </c>
      <c r="AL195" s="33"/>
      <c r="AM195" s="33"/>
      <c r="AN195" s="33"/>
      <c r="AO195" s="33"/>
      <c r="AP195" s="33"/>
      <c r="AQ195" s="197"/>
      <c r="AR195" s="197"/>
      <c r="AS195" s="197"/>
      <c r="AT195" s="197"/>
      <c r="AU195" s="33"/>
      <c r="AV195" s="33"/>
      <c r="AW195" s="33"/>
      <c r="AX195" s="33"/>
      <c r="AY195" s="76"/>
    </row>
    <row r="196" spans="3:51">
      <c r="C196" s="171" t="s">
        <v>71</v>
      </c>
      <c r="D196" s="3">
        <v>0.54</v>
      </c>
      <c r="E196" s="191"/>
      <c r="I196" s="55">
        <v>191</v>
      </c>
      <c r="J196" s="33">
        <f t="shared" si="76"/>
        <v>0</v>
      </c>
      <c r="K196" s="33">
        <f t="shared" si="77"/>
        <v>0</v>
      </c>
      <c r="L196" s="33">
        <f t="shared" si="78"/>
        <v>0</v>
      </c>
      <c r="M196" s="33">
        <f t="shared" si="79"/>
        <v>0</v>
      </c>
      <c r="N196" s="33">
        <f t="shared" si="65"/>
        <v>0</v>
      </c>
      <c r="O196" s="34">
        <f t="shared" si="66"/>
        <v>0</v>
      </c>
      <c r="P196" s="55">
        <v>191</v>
      </c>
      <c r="Q196" s="33">
        <f t="shared" si="74"/>
        <v>0</v>
      </c>
      <c r="R196" s="33">
        <f t="shared" si="80"/>
        <v>0</v>
      </c>
      <c r="S196" s="33">
        <f t="shared" si="81"/>
        <v>0</v>
      </c>
      <c r="T196" s="33">
        <f t="shared" si="67"/>
        <v>0</v>
      </c>
      <c r="U196" s="33">
        <f t="shared" si="75"/>
        <v>0</v>
      </c>
      <c r="V196" s="33">
        <f t="shared" si="68"/>
        <v>0</v>
      </c>
      <c r="W196" s="33">
        <v>0</v>
      </c>
      <c r="X196" s="33">
        <f t="shared" si="69"/>
        <v>0</v>
      </c>
      <c r="Y196" s="38">
        <f t="shared" si="70"/>
        <v>0</v>
      </c>
      <c r="AA196" s="71">
        <v>191</v>
      </c>
      <c r="AB196" s="33">
        <f t="shared" si="71"/>
        <v>0</v>
      </c>
      <c r="AC196" s="308">
        <f t="shared" si="86"/>
        <v>0</v>
      </c>
      <c r="AD196" s="101">
        <f t="shared" si="72"/>
        <v>0</v>
      </c>
      <c r="AE196" s="101">
        <f t="shared" si="73"/>
        <v>0</v>
      </c>
      <c r="AF196" s="197">
        <f t="shared" si="82"/>
        <v>0</v>
      </c>
      <c r="AG196" s="197">
        <f t="shared" si="83"/>
        <v>0</v>
      </c>
      <c r="AH196" s="197">
        <f t="shared" si="84"/>
        <v>0</v>
      </c>
      <c r="AI196" s="202">
        <f t="shared" si="85"/>
        <v>0</v>
      </c>
      <c r="AK196" s="71">
        <v>191</v>
      </c>
      <c r="AL196" s="33"/>
      <c r="AM196" s="33"/>
      <c r="AN196" s="33"/>
      <c r="AO196" s="33"/>
      <c r="AP196" s="33"/>
      <c r="AQ196" s="197"/>
      <c r="AR196" s="197"/>
      <c r="AS196" s="197"/>
      <c r="AT196" s="197"/>
      <c r="AU196" s="33"/>
      <c r="AV196" s="33"/>
      <c r="AW196" s="33"/>
      <c r="AX196" s="33"/>
      <c r="AY196" s="76"/>
    </row>
    <row r="197" spans="3:51">
      <c r="E197" s="24"/>
      <c r="I197" s="55">
        <v>192</v>
      </c>
      <c r="J197" s="33">
        <f t="shared" si="76"/>
        <v>0</v>
      </c>
      <c r="K197" s="33">
        <f t="shared" si="77"/>
        <v>0</v>
      </c>
      <c r="L197" s="33">
        <f t="shared" si="78"/>
        <v>0</v>
      </c>
      <c r="M197" s="33">
        <f t="shared" si="79"/>
        <v>0</v>
      </c>
      <c r="N197" s="33">
        <f t="shared" ref="N197:N204" si="87">IF(P198&lt;=$F$18,0,)</f>
        <v>0</v>
      </c>
      <c r="O197" s="34">
        <f t="shared" ref="O197:O205" si="88">((J197+K197)*0.475+L197+M197+N197)*44/12</f>
        <v>0</v>
      </c>
      <c r="P197" s="55">
        <v>192</v>
      </c>
      <c r="Q197" s="33">
        <f t="shared" si="74"/>
        <v>0</v>
      </c>
      <c r="R197" s="33">
        <f t="shared" si="80"/>
        <v>0</v>
      </c>
      <c r="S197" s="33">
        <f t="shared" si="81"/>
        <v>0</v>
      </c>
      <c r="T197" s="33">
        <f t="shared" ref="T197:T205" si="89">IF(S197=0,0,EXP(-1.0587+0.8836*LN(S197)+0.284))</f>
        <v>0</v>
      </c>
      <c r="U197" s="33">
        <f t="shared" si="75"/>
        <v>0</v>
      </c>
      <c r="V197" s="33">
        <f t="shared" ref="V197:V205" si="90">IF(P197&lt;=$F$18,IF(P197&lt;=30,P197*($F$16-$F$6)/30,$F$16-$F$6),)</f>
        <v>0</v>
      </c>
      <c r="W197" s="33">
        <v>0</v>
      </c>
      <c r="X197" s="33">
        <f t="shared" ref="X197:X205" si="91">((S197+T197)*0.475+U197+V197+W197)*44/12</f>
        <v>0</v>
      </c>
      <c r="Y197" s="38">
        <f t="shared" ref="Y197:Y205" si="92">IF(P197&lt;=$F$18,X197-O197,)</f>
        <v>0</v>
      </c>
      <c r="AA197" s="71">
        <v>192</v>
      </c>
      <c r="AB197" s="33">
        <f t="shared" ref="AB197:AB205" si="93">IF(AA197&lt;=$F$18,IFERROR(VLOOKUP($AA197,$B$82:$G$94,2,FALSE),0),)</f>
        <v>0</v>
      </c>
      <c r="AC197" s="308">
        <f t="shared" si="86"/>
        <v>0</v>
      </c>
      <c r="AD197" s="101">
        <f t="shared" ref="AD197:AD205" si="94">IF(AA197&lt;=$F$18,IFERROR(VLOOKUP($AA197,$B$82:$G$94,4,FALSE),0),)</f>
        <v>0</v>
      </c>
      <c r="AE197" s="101">
        <f t="shared" ref="AE197:AE205" si="95">IF(AA197&lt;=$F$18,IFERROR(VLOOKUP($AA197,$B$82:$G$94,5,FALSE),0),)</f>
        <v>0</v>
      </c>
      <c r="AF197" s="197">
        <f t="shared" si="82"/>
        <v>0</v>
      </c>
      <c r="AG197" s="197">
        <f t="shared" si="83"/>
        <v>0</v>
      </c>
      <c r="AH197" s="197">
        <f t="shared" si="84"/>
        <v>0</v>
      </c>
      <c r="AI197" s="202">
        <f t="shared" si="85"/>
        <v>0</v>
      </c>
      <c r="AK197" s="71">
        <v>192</v>
      </c>
      <c r="AL197" s="33"/>
      <c r="AM197" s="33"/>
      <c r="AN197" s="33"/>
      <c r="AO197" s="33"/>
      <c r="AP197" s="33"/>
      <c r="AQ197" s="197"/>
      <c r="AR197" s="197"/>
      <c r="AS197" s="197"/>
      <c r="AT197" s="197"/>
      <c r="AU197" s="33"/>
      <c r="AV197" s="33"/>
      <c r="AW197" s="33"/>
      <c r="AX197" s="33"/>
      <c r="AY197" s="76"/>
    </row>
    <row r="198" spans="3:51">
      <c r="E198" s="24"/>
      <c r="I198" s="55">
        <v>193</v>
      </c>
      <c r="J198" s="33">
        <f t="shared" si="76"/>
        <v>0</v>
      </c>
      <c r="K198" s="33">
        <f t="shared" si="77"/>
        <v>0</v>
      </c>
      <c r="L198" s="33">
        <f t="shared" si="78"/>
        <v>0</v>
      </c>
      <c r="M198" s="33">
        <f t="shared" si="79"/>
        <v>0</v>
      </c>
      <c r="N198" s="33">
        <f t="shared" si="87"/>
        <v>0</v>
      </c>
      <c r="O198" s="34">
        <f t="shared" si="88"/>
        <v>0</v>
      </c>
      <c r="P198" s="55">
        <v>193</v>
      </c>
      <c r="Q198" s="33">
        <f t="shared" ref="Q198:Q205" si="96">IF(P198&lt;=$F$18,LOOKUP(P198-1,$B$25:$B$78,$G$25:$G$78),)</f>
        <v>0</v>
      </c>
      <c r="R198" s="33">
        <f t="shared" si="80"/>
        <v>0</v>
      </c>
      <c r="S198" s="33">
        <f t="shared" si="81"/>
        <v>0</v>
      </c>
      <c r="T198" s="33">
        <f t="shared" si="89"/>
        <v>0</v>
      </c>
      <c r="U198" s="33">
        <f t="shared" ref="U198:U205" si="97">IF(P198&lt;=$F$18,$F$5+($F$15-$F$5)*(1-EXP(-0.0175*P198)),)</f>
        <v>0</v>
      </c>
      <c r="V198" s="33">
        <f t="shared" si="90"/>
        <v>0</v>
      </c>
      <c r="W198" s="33">
        <v>0</v>
      </c>
      <c r="X198" s="33">
        <f t="shared" si="91"/>
        <v>0</v>
      </c>
      <c r="Y198" s="38">
        <f t="shared" si="92"/>
        <v>0</v>
      </c>
      <c r="AA198" s="71">
        <v>193</v>
      </c>
      <c r="AB198" s="33">
        <f t="shared" si="93"/>
        <v>0</v>
      </c>
      <c r="AC198" s="308">
        <f t="shared" si="86"/>
        <v>0</v>
      </c>
      <c r="AD198" s="101">
        <f t="shared" si="94"/>
        <v>0</v>
      </c>
      <c r="AE198" s="101">
        <f t="shared" si="95"/>
        <v>0</v>
      </c>
      <c r="AF198" s="197">
        <f t="shared" si="82"/>
        <v>0</v>
      </c>
      <c r="AG198" s="197">
        <f t="shared" si="83"/>
        <v>0</v>
      </c>
      <c r="AH198" s="197">
        <f t="shared" si="84"/>
        <v>0</v>
      </c>
      <c r="AI198" s="202">
        <f t="shared" si="85"/>
        <v>0</v>
      </c>
      <c r="AK198" s="71">
        <v>193</v>
      </c>
      <c r="AL198" s="33"/>
      <c r="AM198" s="33"/>
      <c r="AN198" s="33"/>
      <c r="AO198" s="33"/>
      <c r="AP198" s="33"/>
      <c r="AQ198" s="197"/>
      <c r="AR198" s="197"/>
      <c r="AS198" s="197"/>
      <c r="AT198" s="197"/>
      <c r="AU198" s="33"/>
      <c r="AV198" s="33"/>
      <c r="AW198" s="33"/>
      <c r="AX198" s="33"/>
      <c r="AY198" s="76"/>
    </row>
    <row r="199" spans="3:51">
      <c r="E199" s="24"/>
      <c r="I199" s="55">
        <v>194</v>
      </c>
      <c r="J199" s="33">
        <f t="shared" ref="J199:J205" si="98">IF($I199&lt;=$F$10,$F$11*$F$13+J198,)</f>
        <v>0</v>
      </c>
      <c r="K199" s="33">
        <f t="shared" ref="K199:K205" si="99">IF(J199=0,0,EXP(-1.0587+0.8836*LN(J199)+0.284))</f>
        <v>0</v>
      </c>
      <c r="L199" s="33">
        <f t="shared" ref="L199:L205" si="100">IF(I199&lt;=$F$10,$F$5+($F$8-$F$5)*(1-EXP(-0.0175*I199)),)</f>
        <v>0</v>
      </c>
      <c r="M199" s="33">
        <f t="shared" ref="M199:M205" si="101">IF(I199&lt;=$F$10,IF(I199&lt;=30,I199*($F$9-$F$6)/30,$F$9-$F$6),)</f>
        <v>0</v>
      </c>
      <c r="N199" s="33">
        <f t="shared" si="87"/>
        <v>0</v>
      </c>
      <c r="O199" s="34">
        <f t="shared" si="88"/>
        <v>0</v>
      </c>
      <c r="P199" s="55">
        <v>194</v>
      </c>
      <c r="Q199" s="33">
        <f t="shared" si="96"/>
        <v>0</v>
      </c>
      <c r="R199" s="33">
        <f t="shared" ref="R199:R205" si="102">IF(P199&lt;=$F$18,Q199+R198,)</f>
        <v>0</v>
      </c>
      <c r="S199" s="33">
        <f t="shared" ref="S199:S205" si="103">$F$19*R199</f>
        <v>0</v>
      </c>
      <c r="T199" s="33">
        <f t="shared" si="89"/>
        <v>0</v>
      </c>
      <c r="U199" s="33">
        <f t="shared" si="97"/>
        <v>0</v>
      </c>
      <c r="V199" s="33">
        <f t="shared" si="90"/>
        <v>0</v>
      </c>
      <c r="W199" s="33">
        <v>0</v>
      </c>
      <c r="X199" s="33">
        <f t="shared" si="91"/>
        <v>0</v>
      </c>
      <c r="Y199" s="38">
        <f t="shared" si="92"/>
        <v>0</v>
      </c>
      <c r="AA199" s="71">
        <v>194</v>
      </c>
      <c r="AB199" s="33">
        <f t="shared" si="93"/>
        <v>0</v>
      </c>
      <c r="AC199" s="308">
        <f t="shared" si="86"/>
        <v>0</v>
      </c>
      <c r="AD199" s="101">
        <f t="shared" si="94"/>
        <v>0</v>
      </c>
      <c r="AE199" s="101">
        <f t="shared" si="95"/>
        <v>0</v>
      </c>
      <c r="AF199" s="197">
        <f t="shared" si="82"/>
        <v>0</v>
      </c>
      <c r="AG199" s="197">
        <f t="shared" si="83"/>
        <v>0</v>
      </c>
      <c r="AH199" s="197">
        <f t="shared" si="84"/>
        <v>0</v>
      </c>
      <c r="AI199" s="202">
        <f t="shared" si="85"/>
        <v>0</v>
      </c>
      <c r="AK199" s="71">
        <v>194</v>
      </c>
      <c r="AL199" s="33"/>
      <c r="AM199" s="33"/>
      <c r="AN199" s="33"/>
      <c r="AO199" s="33"/>
      <c r="AP199" s="33"/>
      <c r="AQ199" s="197"/>
      <c r="AR199" s="197"/>
      <c r="AS199" s="197"/>
      <c r="AT199" s="197"/>
      <c r="AU199" s="33"/>
      <c r="AV199" s="33"/>
      <c r="AW199" s="33"/>
      <c r="AX199" s="33"/>
      <c r="AY199" s="76"/>
    </row>
    <row r="200" spans="3:51">
      <c r="E200" s="24"/>
      <c r="I200" s="55">
        <v>195</v>
      </c>
      <c r="J200" s="33">
        <f t="shared" si="98"/>
        <v>0</v>
      </c>
      <c r="K200" s="33">
        <f t="shared" si="99"/>
        <v>0</v>
      </c>
      <c r="L200" s="33">
        <f t="shared" si="100"/>
        <v>0</v>
      </c>
      <c r="M200" s="33">
        <f t="shared" si="101"/>
        <v>0</v>
      </c>
      <c r="N200" s="33">
        <f t="shared" si="87"/>
        <v>0</v>
      </c>
      <c r="O200" s="34">
        <f t="shared" si="88"/>
        <v>0</v>
      </c>
      <c r="P200" s="55">
        <v>195</v>
      </c>
      <c r="Q200" s="33">
        <f t="shared" si="96"/>
        <v>0</v>
      </c>
      <c r="R200" s="33">
        <f t="shared" si="102"/>
        <v>0</v>
      </c>
      <c r="S200" s="33">
        <f t="shared" si="103"/>
        <v>0</v>
      </c>
      <c r="T200" s="33">
        <f t="shared" si="89"/>
        <v>0</v>
      </c>
      <c r="U200" s="33">
        <f t="shared" si="97"/>
        <v>0</v>
      </c>
      <c r="V200" s="33">
        <f t="shared" si="90"/>
        <v>0</v>
      </c>
      <c r="W200" s="33">
        <v>0</v>
      </c>
      <c r="X200" s="33">
        <f t="shared" si="91"/>
        <v>0</v>
      </c>
      <c r="Y200" s="38">
        <f t="shared" si="92"/>
        <v>0</v>
      </c>
      <c r="AA200" s="71">
        <v>195</v>
      </c>
      <c r="AB200" s="33">
        <f t="shared" si="93"/>
        <v>0</v>
      </c>
      <c r="AC200" s="308">
        <f t="shared" si="86"/>
        <v>0</v>
      </c>
      <c r="AD200" s="101">
        <f t="shared" si="94"/>
        <v>0</v>
      </c>
      <c r="AE200" s="101">
        <f t="shared" si="95"/>
        <v>0</v>
      </c>
      <c r="AF200" s="197">
        <f t="shared" si="82"/>
        <v>0</v>
      </c>
      <c r="AG200" s="197">
        <f t="shared" si="83"/>
        <v>0</v>
      </c>
      <c r="AH200" s="197">
        <f t="shared" si="84"/>
        <v>0</v>
      </c>
      <c r="AI200" s="202">
        <f t="shared" si="85"/>
        <v>0</v>
      </c>
      <c r="AK200" s="71">
        <v>195</v>
      </c>
      <c r="AL200" s="33"/>
      <c r="AM200" s="33"/>
      <c r="AN200" s="33"/>
      <c r="AO200" s="33"/>
      <c r="AP200" s="33"/>
      <c r="AQ200" s="197"/>
      <c r="AR200" s="197"/>
      <c r="AS200" s="197"/>
      <c r="AT200" s="197"/>
      <c r="AU200" s="33"/>
      <c r="AV200" s="33"/>
      <c r="AW200" s="33"/>
      <c r="AX200" s="33"/>
      <c r="AY200" s="76"/>
    </row>
    <row r="201" spans="3:51">
      <c r="E201" s="24"/>
      <c r="I201" s="55">
        <v>196</v>
      </c>
      <c r="J201" s="33">
        <f t="shared" si="98"/>
        <v>0</v>
      </c>
      <c r="K201" s="33">
        <f t="shared" si="99"/>
        <v>0</v>
      </c>
      <c r="L201" s="33">
        <f t="shared" si="100"/>
        <v>0</v>
      </c>
      <c r="M201" s="33">
        <f t="shared" si="101"/>
        <v>0</v>
      </c>
      <c r="N201" s="33">
        <f t="shared" si="87"/>
        <v>0</v>
      </c>
      <c r="O201" s="34">
        <f t="shared" si="88"/>
        <v>0</v>
      </c>
      <c r="P201" s="55">
        <v>196</v>
      </c>
      <c r="Q201" s="33">
        <f t="shared" si="96"/>
        <v>0</v>
      </c>
      <c r="R201" s="33">
        <f t="shared" si="102"/>
        <v>0</v>
      </c>
      <c r="S201" s="33">
        <f t="shared" si="103"/>
        <v>0</v>
      </c>
      <c r="T201" s="33">
        <f t="shared" si="89"/>
        <v>0</v>
      </c>
      <c r="U201" s="33">
        <f t="shared" si="97"/>
        <v>0</v>
      </c>
      <c r="V201" s="33">
        <f t="shared" si="90"/>
        <v>0</v>
      </c>
      <c r="W201" s="33">
        <v>0</v>
      </c>
      <c r="X201" s="33">
        <f t="shared" si="91"/>
        <v>0</v>
      </c>
      <c r="Y201" s="38">
        <f t="shared" si="92"/>
        <v>0</v>
      </c>
      <c r="AA201" s="71">
        <v>196</v>
      </c>
      <c r="AB201" s="33">
        <f t="shared" si="93"/>
        <v>0</v>
      </c>
      <c r="AC201" s="308">
        <f t="shared" si="86"/>
        <v>0</v>
      </c>
      <c r="AD201" s="101">
        <f t="shared" si="94"/>
        <v>0</v>
      </c>
      <c r="AE201" s="101">
        <f t="shared" si="95"/>
        <v>0</v>
      </c>
      <c r="AF201" s="197">
        <f t="shared" si="82"/>
        <v>0</v>
      </c>
      <c r="AG201" s="197">
        <f t="shared" si="83"/>
        <v>0</v>
      </c>
      <c r="AH201" s="197">
        <f t="shared" si="84"/>
        <v>0</v>
      </c>
      <c r="AI201" s="202">
        <f t="shared" si="85"/>
        <v>0</v>
      </c>
      <c r="AK201" s="71">
        <v>196</v>
      </c>
      <c r="AL201" s="33"/>
      <c r="AM201" s="33"/>
      <c r="AN201" s="33"/>
      <c r="AO201" s="33"/>
      <c r="AP201" s="33"/>
      <c r="AQ201" s="197"/>
      <c r="AR201" s="197"/>
      <c r="AS201" s="197"/>
      <c r="AT201" s="197"/>
      <c r="AU201" s="33"/>
      <c r="AV201" s="33"/>
      <c r="AW201" s="33"/>
      <c r="AX201" s="33"/>
      <c r="AY201" s="76"/>
    </row>
    <row r="202" spans="3:51">
      <c r="E202" s="24"/>
      <c r="I202" s="55">
        <v>197</v>
      </c>
      <c r="J202" s="33">
        <f t="shared" si="98"/>
        <v>0</v>
      </c>
      <c r="K202" s="33">
        <f t="shared" si="99"/>
        <v>0</v>
      </c>
      <c r="L202" s="33">
        <f t="shared" si="100"/>
        <v>0</v>
      </c>
      <c r="M202" s="33">
        <f t="shared" si="101"/>
        <v>0</v>
      </c>
      <c r="N202" s="33">
        <f t="shared" si="87"/>
        <v>0</v>
      </c>
      <c r="O202" s="34">
        <f t="shared" si="88"/>
        <v>0</v>
      </c>
      <c r="P202" s="55">
        <v>197</v>
      </c>
      <c r="Q202" s="33">
        <f t="shared" si="96"/>
        <v>0</v>
      </c>
      <c r="R202" s="33">
        <f t="shared" si="102"/>
        <v>0</v>
      </c>
      <c r="S202" s="33">
        <f t="shared" si="103"/>
        <v>0</v>
      </c>
      <c r="T202" s="33">
        <f t="shared" si="89"/>
        <v>0</v>
      </c>
      <c r="U202" s="33">
        <f t="shared" si="97"/>
        <v>0</v>
      </c>
      <c r="V202" s="33">
        <f t="shared" si="90"/>
        <v>0</v>
      </c>
      <c r="W202" s="33">
        <v>0</v>
      </c>
      <c r="X202" s="33">
        <f t="shared" si="91"/>
        <v>0</v>
      </c>
      <c r="Y202" s="38">
        <f t="shared" si="92"/>
        <v>0</v>
      </c>
      <c r="AA202" s="71">
        <v>197</v>
      </c>
      <c r="AB202" s="33">
        <f t="shared" si="93"/>
        <v>0</v>
      </c>
      <c r="AC202" s="308">
        <f t="shared" si="86"/>
        <v>0</v>
      </c>
      <c r="AD202" s="101">
        <f t="shared" si="94"/>
        <v>0</v>
      </c>
      <c r="AE202" s="101">
        <f t="shared" si="95"/>
        <v>0</v>
      </c>
      <c r="AF202" s="197">
        <f t="shared" si="82"/>
        <v>0</v>
      </c>
      <c r="AG202" s="197">
        <f t="shared" si="83"/>
        <v>0</v>
      </c>
      <c r="AH202" s="197">
        <f t="shared" si="84"/>
        <v>0</v>
      </c>
      <c r="AI202" s="202">
        <f t="shared" si="85"/>
        <v>0</v>
      </c>
      <c r="AK202" s="71">
        <v>197</v>
      </c>
      <c r="AL202" s="33"/>
      <c r="AM202" s="33"/>
      <c r="AN202" s="33"/>
      <c r="AO202" s="33"/>
      <c r="AP202" s="33"/>
      <c r="AQ202" s="197"/>
      <c r="AR202" s="197"/>
      <c r="AS202" s="197"/>
      <c r="AT202" s="197"/>
      <c r="AU202" s="33"/>
      <c r="AV202" s="33"/>
      <c r="AW202" s="33"/>
      <c r="AX202" s="33"/>
      <c r="AY202" s="76"/>
    </row>
    <row r="203" spans="3:51">
      <c r="E203" s="24"/>
      <c r="I203" s="55">
        <v>198</v>
      </c>
      <c r="J203" s="33">
        <f t="shared" si="98"/>
        <v>0</v>
      </c>
      <c r="K203" s="33">
        <f t="shared" si="99"/>
        <v>0</v>
      </c>
      <c r="L203" s="33">
        <f t="shared" si="100"/>
        <v>0</v>
      </c>
      <c r="M203" s="33">
        <f t="shared" si="101"/>
        <v>0</v>
      </c>
      <c r="N203" s="33">
        <f t="shared" si="87"/>
        <v>0</v>
      </c>
      <c r="O203" s="34">
        <f t="shared" si="88"/>
        <v>0</v>
      </c>
      <c r="P203" s="55">
        <v>198</v>
      </c>
      <c r="Q203" s="33">
        <f t="shared" si="96"/>
        <v>0</v>
      </c>
      <c r="R203" s="33">
        <f t="shared" si="102"/>
        <v>0</v>
      </c>
      <c r="S203" s="33">
        <f t="shared" si="103"/>
        <v>0</v>
      </c>
      <c r="T203" s="33">
        <f t="shared" si="89"/>
        <v>0</v>
      </c>
      <c r="U203" s="33">
        <f t="shared" si="97"/>
        <v>0</v>
      </c>
      <c r="V203" s="33">
        <f t="shared" si="90"/>
        <v>0</v>
      </c>
      <c r="W203" s="33">
        <v>0</v>
      </c>
      <c r="X203" s="33">
        <f t="shared" si="91"/>
        <v>0</v>
      </c>
      <c r="Y203" s="38">
        <f t="shared" si="92"/>
        <v>0</v>
      </c>
      <c r="AA203" s="71">
        <v>198</v>
      </c>
      <c r="AB203" s="33">
        <f t="shared" si="93"/>
        <v>0</v>
      </c>
      <c r="AC203" s="308">
        <f t="shared" si="86"/>
        <v>0</v>
      </c>
      <c r="AD203" s="101">
        <f t="shared" si="94"/>
        <v>0</v>
      </c>
      <c r="AE203" s="101">
        <f t="shared" si="95"/>
        <v>0</v>
      </c>
      <c r="AF203" s="197">
        <f t="shared" si="82"/>
        <v>0</v>
      </c>
      <c r="AG203" s="197">
        <f t="shared" si="83"/>
        <v>0</v>
      </c>
      <c r="AH203" s="197">
        <f t="shared" si="84"/>
        <v>0</v>
      </c>
      <c r="AI203" s="202">
        <f t="shared" si="85"/>
        <v>0</v>
      </c>
      <c r="AK203" s="71">
        <v>198</v>
      </c>
      <c r="AL203" s="33"/>
      <c r="AM203" s="33"/>
      <c r="AN203" s="33"/>
      <c r="AO203" s="33"/>
      <c r="AP203" s="33"/>
      <c r="AQ203" s="197"/>
      <c r="AR203" s="197"/>
      <c r="AS203" s="197"/>
      <c r="AT203" s="197"/>
      <c r="AU203" s="33"/>
      <c r="AV203" s="33"/>
      <c r="AW203" s="33"/>
      <c r="AX203" s="33"/>
      <c r="AY203" s="76"/>
    </row>
    <row r="204" spans="3:51">
      <c r="E204" s="24"/>
      <c r="I204" s="55">
        <v>199</v>
      </c>
      <c r="J204" s="33">
        <f t="shared" si="98"/>
        <v>0</v>
      </c>
      <c r="K204" s="33">
        <f t="shared" si="99"/>
        <v>0</v>
      </c>
      <c r="L204" s="33">
        <f t="shared" si="100"/>
        <v>0</v>
      </c>
      <c r="M204" s="33">
        <f t="shared" si="101"/>
        <v>0</v>
      </c>
      <c r="N204" s="33">
        <f t="shared" si="87"/>
        <v>0</v>
      </c>
      <c r="O204" s="34">
        <f t="shared" si="88"/>
        <v>0</v>
      </c>
      <c r="P204" s="55">
        <v>199</v>
      </c>
      <c r="Q204" s="33">
        <f t="shared" si="96"/>
        <v>0</v>
      </c>
      <c r="R204" s="33">
        <f t="shared" si="102"/>
        <v>0</v>
      </c>
      <c r="S204" s="33">
        <f t="shared" si="103"/>
        <v>0</v>
      </c>
      <c r="T204" s="33">
        <f t="shared" si="89"/>
        <v>0</v>
      </c>
      <c r="U204" s="33">
        <f t="shared" si="97"/>
        <v>0</v>
      </c>
      <c r="V204" s="33">
        <f t="shared" si="90"/>
        <v>0</v>
      </c>
      <c r="W204" s="33">
        <v>0</v>
      </c>
      <c r="X204" s="33">
        <f t="shared" si="91"/>
        <v>0</v>
      </c>
      <c r="Y204" s="38">
        <f t="shared" si="92"/>
        <v>0</v>
      </c>
      <c r="AA204" s="71">
        <v>199</v>
      </c>
      <c r="AB204" s="33">
        <f t="shared" si="93"/>
        <v>0</v>
      </c>
      <c r="AC204" s="308">
        <f t="shared" si="86"/>
        <v>0</v>
      </c>
      <c r="AD204" s="101">
        <f t="shared" si="94"/>
        <v>0</v>
      </c>
      <c r="AE204" s="101">
        <f t="shared" si="95"/>
        <v>0</v>
      </c>
      <c r="AF204" s="197">
        <f t="shared" si="82"/>
        <v>0</v>
      </c>
      <c r="AG204" s="197">
        <f t="shared" si="83"/>
        <v>0</v>
      </c>
      <c r="AH204" s="197">
        <f t="shared" si="84"/>
        <v>0</v>
      </c>
      <c r="AI204" s="202">
        <f t="shared" si="85"/>
        <v>0</v>
      </c>
      <c r="AK204" s="71">
        <v>199</v>
      </c>
      <c r="AL204" s="33"/>
      <c r="AM204" s="33"/>
      <c r="AN204" s="33"/>
      <c r="AO204" s="33"/>
      <c r="AP204" s="33"/>
      <c r="AQ204" s="197"/>
      <c r="AR204" s="197"/>
      <c r="AS204" s="197"/>
      <c r="AT204" s="197"/>
      <c r="AU204" s="33"/>
      <c r="AV204" s="33"/>
      <c r="AW204" s="33"/>
      <c r="AX204" s="33"/>
      <c r="AY204" s="76"/>
    </row>
    <row r="205" spans="3:51">
      <c r="E205" s="24"/>
      <c r="I205" s="56">
        <v>200</v>
      </c>
      <c r="J205" s="33">
        <f t="shared" si="98"/>
        <v>0</v>
      </c>
      <c r="K205" s="33">
        <f t="shared" si="99"/>
        <v>0</v>
      </c>
      <c r="L205" s="33">
        <f t="shared" si="100"/>
        <v>0</v>
      </c>
      <c r="M205" s="33">
        <f t="shared" si="101"/>
        <v>0</v>
      </c>
      <c r="N205" s="35">
        <f>IF(F208&lt;=$F$18,0,)</f>
        <v>0</v>
      </c>
      <c r="O205" s="34">
        <f t="shared" si="88"/>
        <v>0</v>
      </c>
      <c r="P205" s="56">
        <v>200</v>
      </c>
      <c r="Q205" s="35">
        <f t="shared" si="96"/>
        <v>0</v>
      </c>
      <c r="R205" s="35">
        <f t="shared" si="102"/>
        <v>0</v>
      </c>
      <c r="S205" s="35">
        <f t="shared" si="103"/>
        <v>0</v>
      </c>
      <c r="T205" s="35">
        <f t="shared" si="89"/>
        <v>0</v>
      </c>
      <c r="U205" s="35">
        <f t="shared" si="97"/>
        <v>0</v>
      </c>
      <c r="V205" s="35">
        <f t="shared" si="90"/>
        <v>0</v>
      </c>
      <c r="W205" s="35">
        <v>0</v>
      </c>
      <c r="X205" s="158">
        <f t="shared" si="91"/>
        <v>0</v>
      </c>
      <c r="Y205" s="39">
        <f t="shared" si="92"/>
        <v>0</v>
      </c>
      <c r="AA205" s="72">
        <v>200</v>
      </c>
      <c r="AB205" s="146">
        <f t="shared" si="93"/>
        <v>0</v>
      </c>
      <c r="AC205" s="308">
        <f t="shared" si="86"/>
        <v>0</v>
      </c>
      <c r="AD205" s="102">
        <f t="shared" si="94"/>
        <v>0</v>
      </c>
      <c r="AE205" s="102">
        <f t="shared" si="95"/>
        <v>0</v>
      </c>
      <c r="AF205" s="199">
        <f t="shared" si="82"/>
        <v>0</v>
      </c>
      <c r="AG205" s="199">
        <f t="shared" si="83"/>
        <v>0</v>
      </c>
      <c r="AH205" s="199">
        <f t="shared" si="84"/>
        <v>0</v>
      </c>
      <c r="AI205" s="206">
        <f t="shared" si="85"/>
        <v>0</v>
      </c>
      <c r="AK205" s="72">
        <v>200</v>
      </c>
      <c r="AL205" s="146"/>
      <c r="AM205" s="35"/>
      <c r="AN205" s="35"/>
      <c r="AO205" s="35"/>
      <c r="AP205" s="35"/>
      <c r="AQ205" s="199"/>
      <c r="AR205" s="199"/>
      <c r="AS205" s="199"/>
      <c r="AT205" s="199"/>
      <c r="AU205" s="35"/>
      <c r="AV205" s="35"/>
      <c r="AW205" s="35"/>
      <c r="AX205" s="35"/>
      <c r="AY205" s="77"/>
    </row>
    <row r="206" spans="3:51">
      <c r="E206" s="24"/>
    </row>
    <row r="207" spans="3:51">
      <c r="E207" s="24"/>
    </row>
  </sheetData>
  <mergeCells count="29">
    <mergeCell ref="P3:X3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I3:O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5">
    <dataValidation type="list" allowBlank="1" showInputMessage="1" showErrorMessage="1" sqref="F12" xr:uid="{00000000-0002-0000-0600-000000000000}">
      <formula1>$C$194:$C$195</formula1>
    </dataValidation>
    <dataValidation type="list" allowBlank="1" showInputMessage="1" showErrorMessage="1" sqref="F17" xr:uid="{00000000-0002-0000-0600-000001000000}">
      <formula1>$C$130:$C$195</formula1>
    </dataValidation>
    <dataValidation type="list" allowBlank="1" showInputMessage="1" showErrorMessage="1" sqref="D8:E8 D5:E5 D15" xr:uid="{00000000-0002-0000-0600-000002000000}">
      <formula1>$B$97:$B$100</formula1>
    </dataValidation>
    <dataValidation type="list" allowBlank="1" showInputMessage="1" showErrorMessage="1" sqref="D81:G81" xr:uid="{00000000-0002-0000-0600-000003000000}">
      <formula1>$B$104:$B$108</formula1>
    </dataValidation>
    <dataValidation type="list" allowBlank="1" showInputMessage="1" showErrorMessage="1" sqref="F20" xr:uid="{00000000-0002-0000-0600-000004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79998168889431442"/>
  </sheetPr>
  <dimension ref="B3:AY207"/>
  <sheetViews>
    <sheetView zoomScale="85" zoomScaleNormal="85" workbookViewId="0">
      <selection activeCell="F22" sqref="F22"/>
    </sheetView>
  </sheetViews>
  <sheetFormatPr baseColWidth="10" defaultRowHeight="15"/>
  <cols>
    <col min="3" max="5" width="13.6640625" customWidth="1"/>
    <col min="6" max="6" width="16.5" style="26" customWidth="1"/>
    <col min="7" max="7" width="14.5" style="24" customWidth="1"/>
    <col min="8" max="8" width="11.5" style="24"/>
    <col min="9" max="9" width="10.5" style="24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4" customWidth="1"/>
    <col min="47" max="51" width="10.5" customWidth="1"/>
    <col min="54" max="54" width="19.33203125" customWidth="1"/>
  </cols>
  <sheetData>
    <row r="3" spans="2:51" ht="16">
      <c r="I3" s="381" t="s">
        <v>172</v>
      </c>
      <c r="J3" s="382"/>
      <c r="K3" s="382"/>
      <c r="L3" s="382"/>
      <c r="M3" s="382"/>
      <c r="N3" s="382"/>
      <c r="O3" s="383"/>
      <c r="P3" s="384" t="s">
        <v>144</v>
      </c>
      <c r="Q3" s="385"/>
      <c r="R3" s="385"/>
      <c r="S3" s="385"/>
      <c r="T3" s="385"/>
      <c r="U3" s="385"/>
      <c r="V3" s="385"/>
      <c r="W3" s="385"/>
      <c r="X3" s="386"/>
      <c r="Y3" s="90"/>
      <c r="Z3" s="90"/>
      <c r="AA3" s="372" t="s">
        <v>159</v>
      </c>
      <c r="AB3" s="373"/>
      <c r="AC3" s="373"/>
      <c r="AD3" s="373"/>
      <c r="AE3" s="373"/>
      <c r="AF3" s="373"/>
      <c r="AG3" s="373"/>
      <c r="AH3" s="373"/>
      <c r="AI3" s="374"/>
      <c r="AJ3" s="90"/>
      <c r="AK3" s="372" t="s">
        <v>171</v>
      </c>
      <c r="AL3" s="373"/>
      <c r="AM3" s="373"/>
      <c r="AN3" s="373"/>
      <c r="AO3" s="373"/>
      <c r="AP3" s="373"/>
      <c r="AQ3" s="373"/>
      <c r="AR3" s="373"/>
      <c r="AS3" s="373"/>
      <c r="AT3" s="373"/>
      <c r="AU3" s="373"/>
      <c r="AV3" s="373"/>
      <c r="AW3" s="373"/>
      <c r="AX3" s="373"/>
      <c r="AY3" s="374"/>
    </row>
    <row r="4" spans="2:51" ht="45" customHeight="1">
      <c r="B4" s="376" t="s">
        <v>173</v>
      </c>
      <c r="C4" s="376"/>
      <c r="D4" s="376"/>
      <c r="E4" s="376"/>
      <c r="F4" s="376"/>
      <c r="I4" s="59" t="s">
        <v>76</v>
      </c>
      <c r="J4" s="345" t="s">
        <v>108</v>
      </c>
      <c r="K4" s="345" t="s">
        <v>109</v>
      </c>
      <c r="L4" s="345" t="s">
        <v>72</v>
      </c>
      <c r="M4" s="345" t="s">
        <v>110</v>
      </c>
      <c r="N4" s="345" t="s">
        <v>111</v>
      </c>
      <c r="O4" s="88" t="s">
        <v>113</v>
      </c>
      <c r="P4" s="59" t="s">
        <v>76</v>
      </c>
      <c r="Q4" s="61" t="s">
        <v>118</v>
      </c>
      <c r="R4" s="61" t="s">
        <v>119</v>
      </c>
      <c r="S4" s="62" t="s">
        <v>105</v>
      </c>
      <c r="T4" s="63" t="s">
        <v>104</v>
      </c>
      <c r="U4" s="345" t="s">
        <v>3</v>
      </c>
      <c r="V4" s="345" t="s">
        <v>106</v>
      </c>
      <c r="W4" s="345" t="s">
        <v>107</v>
      </c>
      <c r="X4" s="89" t="s">
        <v>112</v>
      </c>
      <c r="Y4" s="66" t="s">
        <v>120</v>
      </c>
      <c r="AA4" s="70" t="s">
        <v>76</v>
      </c>
      <c r="AB4" s="61" t="s">
        <v>146</v>
      </c>
      <c r="AC4" s="62" t="s">
        <v>147</v>
      </c>
      <c r="AD4" s="68" t="s">
        <v>148</v>
      </c>
      <c r="AE4" s="64" t="s">
        <v>149</v>
      </c>
      <c r="AF4" s="64" t="s">
        <v>150</v>
      </c>
      <c r="AG4" s="64" t="s">
        <v>151</v>
      </c>
      <c r="AH4" s="64" t="s">
        <v>152</v>
      </c>
      <c r="AI4" s="75" t="s">
        <v>153</v>
      </c>
      <c r="AK4" s="70" t="s">
        <v>76</v>
      </c>
      <c r="AL4" s="61" t="s">
        <v>146</v>
      </c>
      <c r="AM4" s="62" t="s">
        <v>147</v>
      </c>
      <c r="AN4" s="68" t="s">
        <v>148</v>
      </c>
      <c r="AO4" s="64" t="s">
        <v>149</v>
      </c>
      <c r="AP4" s="64" t="s">
        <v>161</v>
      </c>
      <c r="AQ4" s="196" t="s">
        <v>187</v>
      </c>
      <c r="AR4" s="196" t="s">
        <v>188</v>
      </c>
      <c r="AS4" s="196" t="s">
        <v>189</v>
      </c>
      <c r="AT4" s="196" t="s">
        <v>190</v>
      </c>
      <c r="AU4" s="64" t="s">
        <v>162</v>
      </c>
      <c r="AV4" s="64" t="s">
        <v>163</v>
      </c>
      <c r="AW4" s="64" t="s">
        <v>164</v>
      </c>
      <c r="AX4" s="64" t="s">
        <v>165</v>
      </c>
      <c r="AY4" s="75" t="s">
        <v>153</v>
      </c>
    </row>
    <row r="5" spans="2:51">
      <c r="B5" s="365" t="s">
        <v>133</v>
      </c>
      <c r="C5" s="91" t="s">
        <v>73</v>
      </c>
      <c r="D5" s="377" t="s">
        <v>1</v>
      </c>
      <c r="E5" s="377"/>
      <c r="F5" s="92">
        <f>IF(D5="","",VLOOKUP(D5,$B$97:$C$100,2,0))</f>
        <v>45</v>
      </c>
      <c r="I5" s="55">
        <v>0</v>
      </c>
      <c r="J5" s="33">
        <v>0</v>
      </c>
      <c r="K5" s="33">
        <v>0</v>
      </c>
      <c r="L5" s="33">
        <v>0</v>
      </c>
      <c r="M5" s="33">
        <f>IF(I5&lt;=$F$10,IF(I5&lt;=30,I5*($F$9-$F$6)/30,$F$9-$F$6),)</f>
        <v>0</v>
      </c>
      <c r="N5" s="33">
        <f t="shared" ref="N5:N68" si="0">IF(P6&lt;=$F$18,0,)</f>
        <v>0</v>
      </c>
      <c r="O5" s="34">
        <f t="shared" ref="O5:O68" si="1">((J5+K5)*0.475+L5+M5+N5)*44/12</f>
        <v>0</v>
      </c>
      <c r="P5" s="55">
        <v>0</v>
      </c>
      <c r="Q5" s="33">
        <v>0</v>
      </c>
      <c r="R5" s="33">
        <v>0</v>
      </c>
      <c r="S5" s="33">
        <f>$F$19*R5</f>
        <v>0</v>
      </c>
      <c r="T5" s="33">
        <f t="shared" ref="T5:T68" si="2">IF(S5=0,0,EXP(-1.0587+0.8836*LN(S5)+0.284))</f>
        <v>0</v>
      </c>
      <c r="U5" s="33">
        <v>0</v>
      </c>
      <c r="V5" s="33">
        <f t="shared" ref="V5:V68" si="3">IF(P5&lt;=$F$18,IF(P5&lt;=30,P5*($F$16-$F$6)/30,$F$16-$F$6),)</f>
        <v>0</v>
      </c>
      <c r="W5" s="33">
        <v>0</v>
      </c>
      <c r="X5" s="33">
        <f t="shared" ref="X5:X68" si="4">((S5+T5)*0.475+U5+V5+W5)*44/12</f>
        <v>0</v>
      </c>
      <c r="Y5" s="38">
        <f t="shared" ref="Y5:Y68" si="5">IF(P5&lt;=$F$18,X5-O5,)</f>
        <v>0</v>
      </c>
      <c r="AA5" s="71">
        <v>0</v>
      </c>
      <c r="AB5" s="33">
        <f t="shared" ref="AB5:AB68" si="6">IF(AA5&lt;=$F$18,IFERROR(VLOOKUP($AA5,$B$82:$G$94,2,FALSE),0),)</f>
        <v>0</v>
      </c>
      <c r="AC5" s="308">
        <f t="shared" ref="AC5:AC29" si="7">IF(AA5&lt;=$F$18,IFERROR(VLOOKUP($AA5,$B$82:$G$94,3,FALSE),0),)*50%</f>
        <v>0</v>
      </c>
      <c r="AD5" s="101">
        <f t="shared" ref="AD5:AD68" si="8">IF(AA5&lt;=$F$18,IFERROR(VLOOKUP($AA5,$B$82:$G$94,4,FALSE),0),)</f>
        <v>0</v>
      </c>
      <c r="AE5" s="101">
        <f t="shared" ref="AE5:AE68" si="9">IF(AA5&lt;=$F$18,IFERROR(VLOOKUP($AA5,$B$82:$G$94,5,FALSE),0),)</f>
        <v>0</v>
      </c>
      <c r="AF5" s="33">
        <v>0</v>
      </c>
      <c r="AG5" s="33">
        <v>0</v>
      </c>
      <c r="AH5" s="33">
        <v>0</v>
      </c>
      <c r="AI5" s="76">
        <f>SUM(AF5:AH5)</f>
        <v>0</v>
      </c>
      <c r="AK5" s="71">
        <v>0</v>
      </c>
      <c r="AL5" s="33">
        <f t="shared" ref="AL5:AL35" si="10">IF(AK5&lt;=$F$18,IFERROR(VLOOKUP($AA5,$B$82:$G$94,2,FALSE),0),)</f>
        <v>0</v>
      </c>
      <c r="AM5" s="33">
        <f t="shared" ref="AM5:AM35" si="11">IF(AK5&lt;=$F$18,IFERROR(VLOOKUP($AA5,$B$82:$G$94,3,FALSE),0),)</f>
        <v>0</v>
      </c>
      <c r="AN5" s="33">
        <f t="shared" ref="AN5:AN35" si="12">IF(AK5&lt;=$F$18,IFERROR(VLOOKUP($AA5,$B$82:$G$94,4,FALSE),0),)</f>
        <v>0</v>
      </c>
      <c r="AO5" s="33">
        <f t="shared" ref="AO5:AO35" si="13">IF(AK5&lt;=$F$18,IFERROR(VLOOKUP($AA5,$B$82:$G$94,5,FALSE),0),)</f>
        <v>0</v>
      </c>
      <c r="AP5" s="33">
        <f t="shared" ref="AP5:AP35" si="14">IF(AK5&lt;=$F$18,IFERROR(VLOOKUP($AA5,$B$82:$G$94,6,FALSE),0),)</f>
        <v>0</v>
      </c>
      <c r="AQ5" s="197">
        <v>0</v>
      </c>
      <c r="AR5" s="197">
        <v>0</v>
      </c>
      <c r="AS5" s="197">
        <v>0</v>
      </c>
      <c r="AT5" s="197">
        <v>0</v>
      </c>
      <c r="AU5" s="33"/>
      <c r="AV5" s="33"/>
      <c r="AW5" s="33"/>
      <c r="AX5" s="33"/>
      <c r="AY5" s="167">
        <v>0</v>
      </c>
    </row>
    <row r="6" spans="2:51">
      <c r="B6" s="366"/>
      <c r="C6" s="99" t="s">
        <v>74</v>
      </c>
      <c r="D6" s="368" t="s">
        <v>260</v>
      </c>
      <c r="E6" s="368"/>
      <c r="F6" s="100">
        <f>VLOOKUP(D5,$B$97:$D$100,3,FALSE)</f>
        <v>0</v>
      </c>
      <c r="I6" s="55">
        <v>1</v>
      </c>
      <c r="J6" s="33">
        <f>IF(D8&lt;&gt;"Cultures",IF($I6&lt;=$F$10,$F$11*$F$13+J5,),5)</f>
        <v>5</v>
      </c>
      <c r="K6" s="33">
        <f>IF(J6=0,0,EXP(-1.0587+0.8836*LN(J6)+0.284))</f>
        <v>1.910565629709926</v>
      </c>
      <c r="L6" s="33">
        <f>IF(I6&lt;=$F$10,$F$5+($F$8-$F$5)*(1-EXP(-0.0175*I6)),)</f>
        <v>45</v>
      </c>
      <c r="M6" s="33">
        <f>IF(I6&lt;=$F$10,IF(I6&lt;=30,I6*($F$9-$F$6)/30,$F$9-$F$6),)</f>
        <v>0</v>
      </c>
      <c r="N6" s="33">
        <f t="shared" si="0"/>
        <v>0</v>
      </c>
      <c r="O6" s="34">
        <f t="shared" si="1"/>
        <v>177.03590180507811</v>
      </c>
      <c r="P6" s="55">
        <v>1</v>
      </c>
      <c r="Q6" s="33">
        <f t="shared" ref="Q6:Q69" si="15">IF(P6&lt;=$F$18,LOOKUP(P6-1,$B$25:$B$78,$G$25:$G$78),)</f>
        <v>1.56</v>
      </c>
      <c r="R6" s="33">
        <f>IF(P6&lt;=$F$18,Q6+R5,)</f>
        <v>1.56</v>
      </c>
      <c r="S6" s="33">
        <f>$F$19*R6</f>
        <v>0.67080000000000006</v>
      </c>
      <c r="T6" s="33">
        <f t="shared" si="2"/>
        <v>0.32383940085687046</v>
      </c>
      <c r="U6" s="33">
        <f t="shared" ref="U6:U69" si="16">IF(P6&lt;=$F$18,$F$5+($F$15-$F$5)*(1-EXP(-0.0175*P6)),)</f>
        <v>45.433694108373167</v>
      </c>
      <c r="V6" s="33">
        <f t="shared" si="3"/>
        <v>0.33333333333333331</v>
      </c>
      <c r="W6" s="33">
        <v>0</v>
      </c>
      <c r="X6" s="33">
        <f t="shared" si="4"/>
        <v>169.54476424274955</v>
      </c>
      <c r="Y6" s="38">
        <f t="shared" si="5"/>
        <v>-7.4911375623285608</v>
      </c>
      <c r="AA6" s="71">
        <v>1</v>
      </c>
      <c r="AB6" s="33">
        <f t="shared" si="6"/>
        <v>0</v>
      </c>
      <c r="AC6" s="308">
        <f t="shared" si="7"/>
        <v>0</v>
      </c>
      <c r="AD6" s="101">
        <f t="shared" si="8"/>
        <v>0</v>
      </c>
      <c r="AE6" s="101">
        <f t="shared" si="9"/>
        <v>0</v>
      </c>
      <c r="AF6" s="197">
        <f>IF(OR(AA6&lt;=$F$18,AA6&lt;=30),EXP(-LN(2)/$D$104)*AF5+((1-EXP(-LN(2)/$D$104))/(LN(2)/$D$104))*$AB6*AC6*0.475*$F$19*44/12,)</f>
        <v>0</v>
      </c>
      <c r="AG6" s="197">
        <f>IF(OR(AA6&lt;=$F$18,AA6&lt;=30),EXP(-LN(2)/$D$106)*AG5+((1-EXP(-LN(2)/$D$106))/(LN(2)/$D$106))*$AB6*AD6*0.475*$F$19*44/12,)</f>
        <v>0</v>
      </c>
      <c r="AH6" s="197">
        <f>IF(OR(AA6&lt;=$F$18,AA6&lt;=30),EXP(-LN(2)/$D$105)*AH5+((1-EXP(-LN(2)/$D$105))/(LN(2)/$D$105))*$AB6*AE6*0.475*$F$19*44/12,)</f>
        <v>0</v>
      </c>
      <c r="AI6" s="202">
        <f>IF(OR(AA6&lt;=$F$18,AA6&lt;=30),SUM(AF6:AH6),)</f>
        <v>0</v>
      </c>
      <c r="AK6" s="71">
        <v>1</v>
      </c>
      <c r="AL6" s="33">
        <f t="shared" si="10"/>
        <v>0</v>
      </c>
      <c r="AM6" s="33">
        <f t="shared" si="11"/>
        <v>0</v>
      </c>
      <c r="AN6" s="33">
        <f t="shared" si="12"/>
        <v>0</v>
      </c>
      <c r="AO6" s="33">
        <f t="shared" si="13"/>
        <v>0</v>
      </c>
      <c r="AP6" s="33">
        <f t="shared" si="14"/>
        <v>0</v>
      </c>
      <c r="AQ6" s="197">
        <f t="shared" ref="AQ6:AT24" si="17">IF($AK6&lt;=$F$18,$AL6*AM6,)</f>
        <v>0</v>
      </c>
      <c r="AR6" s="197">
        <f t="shared" si="17"/>
        <v>0</v>
      </c>
      <c r="AS6" s="197">
        <f t="shared" si="17"/>
        <v>0</v>
      </c>
      <c r="AT6" s="197">
        <f t="shared" si="17"/>
        <v>0</v>
      </c>
      <c r="AU6" s="33"/>
      <c r="AV6" s="33"/>
      <c r="AW6" s="33"/>
      <c r="AX6" s="33"/>
      <c r="AY6" s="167">
        <f>IF(OR($AK6&lt;=$F$18,$AK6&lt;=30),AL6*$G$108+AY5,)</f>
        <v>0</v>
      </c>
    </row>
    <row r="7" spans="2:51">
      <c r="B7" s="365" t="s">
        <v>134</v>
      </c>
      <c r="C7" s="378"/>
      <c r="D7" s="379"/>
      <c r="E7" s="379"/>
      <c r="F7" s="380"/>
      <c r="I7" s="55">
        <v>2</v>
      </c>
      <c r="J7" s="33">
        <f t="shared" ref="J7:J70" si="18">IF($I7&lt;=$F$10,$F$11*$F$13+J6,)</f>
        <v>5</v>
      </c>
      <c r="K7" s="33">
        <f t="shared" ref="K7:K70" si="19">IF(J7=0,0,EXP(-1.0587+0.8836*LN(J7)+0.284))</f>
        <v>1.910565629709926</v>
      </c>
      <c r="L7" s="33">
        <f t="shared" ref="L7:L70" si="20">IF(I7&lt;=$F$10,$F$5+($F$8-$F$5)*(1-EXP(-0.0175*I7)),)</f>
        <v>45</v>
      </c>
      <c r="M7" s="33">
        <f t="shared" ref="M7:M70" si="21">IF(I7&lt;=$F$10,IF(I7&lt;=30,I7*($F$9-$F$6)/30,$F$9-$F$6),)</f>
        <v>0</v>
      </c>
      <c r="N7" s="33">
        <f t="shared" si="0"/>
        <v>0</v>
      </c>
      <c r="O7" s="34">
        <f t="shared" si="1"/>
        <v>177.03590180507811</v>
      </c>
      <c r="P7" s="55">
        <v>2</v>
      </c>
      <c r="Q7" s="33">
        <f t="shared" si="15"/>
        <v>1.56</v>
      </c>
      <c r="R7" s="33">
        <f t="shared" ref="R7:R70" si="22">IF(P7&lt;=$F$18,Q7+R6,)</f>
        <v>3.12</v>
      </c>
      <c r="S7" s="33">
        <f t="shared" ref="S7:S70" si="23">$F$19*R7</f>
        <v>1.3416000000000001</v>
      </c>
      <c r="T7" s="33">
        <f t="shared" si="2"/>
        <v>0.59747507370042785</v>
      </c>
      <c r="U7" s="33">
        <f t="shared" si="16"/>
        <v>45.859864593560836</v>
      </c>
      <c r="V7" s="33">
        <f t="shared" si="3"/>
        <v>0.66666666666666663</v>
      </c>
      <c r="W7" s="33">
        <v>0</v>
      </c>
      <c r="X7" s="33">
        <f t="shared" si="4"/>
        <v>173.97450370752907</v>
      </c>
      <c r="Y7" s="38">
        <f t="shared" si="5"/>
        <v>-3.0613980975490449</v>
      </c>
      <c r="AA7" s="71">
        <v>2</v>
      </c>
      <c r="AB7" s="33">
        <f t="shared" si="6"/>
        <v>0</v>
      </c>
      <c r="AC7" s="308">
        <f t="shared" si="7"/>
        <v>0</v>
      </c>
      <c r="AD7" s="101">
        <f t="shared" si="8"/>
        <v>0</v>
      </c>
      <c r="AE7" s="101">
        <f t="shared" si="9"/>
        <v>0</v>
      </c>
      <c r="AF7" s="197">
        <f>IF(OR(AA7&lt;=$F$18,AA7&lt;=30),EXP(-LN(2)/$D$104)*AF6+((1-EXP(-LN(2)/$D$104))/(LN(2)/$D$104))*$AB7*AC7*0.475*$F$19*44/12,)</f>
        <v>0</v>
      </c>
      <c r="AG7" s="197">
        <f>IF(OR(AA7&lt;=$F$18,AA7&lt;=30),EXP(-LN(2)/$D$106)*AG6+((1-EXP(-LN(2)/$D$106))/(LN(2)/$D$106))*$AB7*AD7*0.475*$F$19*44/12,)</f>
        <v>0</v>
      </c>
      <c r="AH7" s="197">
        <f>IF(OR(AA7&lt;=$F$18,AA7&lt;=30),EXP(-LN(2)/$D$105)*AH6+((1-EXP(-LN(2)/$D$105))/(LN(2)/$D$105))*$AB7*AE7*0.475*$F$19*44/12,)</f>
        <v>0</v>
      </c>
      <c r="AI7" s="202">
        <f>IF(OR(AA7&lt;=$F$18,AA7&lt;=30),SUM(AF7:AH7),)</f>
        <v>0</v>
      </c>
      <c r="AK7" s="71">
        <v>2</v>
      </c>
      <c r="AL7" s="33">
        <f t="shared" si="10"/>
        <v>0</v>
      </c>
      <c r="AM7" s="33">
        <f t="shared" si="11"/>
        <v>0</v>
      </c>
      <c r="AN7" s="33">
        <f t="shared" si="12"/>
        <v>0</v>
      </c>
      <c r="AO7" s="33">
        <f t="shared" si="13"/>
        <v>0</v>
      </c>
      <c r="AP7" s="33">
        <f t="shared" si="14"/>
        <v>0</v>
      </c>
      <c r="AQ7" s="197">
        <f t="shared" si="17"/>
        <v>0</v>
      </c>
      <c r="AR7" s="197">
        <f t="shared" si="17"/>
        <v>0</v>
      </c>
      <c r="AS7" s="197">
        <f t="shared" si="17"/>
        <v>0</v>
      </c>
      <c r="AT7" s="197">
        <f t="shared" si="17"/>
        <v>0</v>
      </c>
      <c r="AU7" s="33"/>
      <c r="AV7" s="33"/>
      <c r="AW7" s="33"/>
      <c r="AX7" s="33"/>
      <c r="AY7" s="167">
        <f t="shared" ref="AY7:AY35" si="24">IF(OR($AK7&lt;=$F$18,$AK7&lt;=30),AL7*$G$108+AY6,)</f>
        <v>0</v>
      </c>
    </row>
    <row r="8" spans="2:51">
      <c r="B8" s="375"/>
      <c r="C8" s="93" t="s">
        <v>73</v>
      </c>
      <c r="D8" s="371" t="s">
        <v>1</v>
      </c>
      <c r="E8" s="371"/>
      <c r="F8" s="94">
        <f>IF(D8="","",VLOOKUP(D8,$B$97:$C$100,2,0))</f>
        <v>45</v>
      </c>
      <c r="I8" s="55">
        <v>3</v>
      </c>
      <c r="J8" s="33">
        <f t="shared" si="18"/>
        <v>5</v>
      </c>
      <c r="K8" s="33">
        <f t="shared" si="19"/>
        <v>1.910565629709926</v>
      </c>
      <c r="L8" s="33">
        <f t="shared" si="20"/>
        <v>45</v>
      </c>
      <c r="M8" s="33">
        <f t="shared" si="21"/>
        <v>0</v>
      </c>
      <c r="N8" s="33">
        <f t="shared" si="0"/>
        <v>0</v>
      </c>
      <c r="O8" s="34">
        <f t="shared" si="1"/>
        <v>177.03590180507811</v>
      </c>
      <c r="P8" s="55">
        <v>3</v>
      </c>
      <c r="Q8" s="33">
        <f t="shared" si="15"/>
        <v>1.56</v>
      </c>
      <c r="R8" s="33">
        <f t="shared" si="22"/>
        <v>4.68</v>
      </c>
      <c r="S8" s="33">
        <f t="shared" si="23"/>
        <v>2.0124</v>
      </c>
      <c r="T8" s="33">
        <f t="shared" si="2"/>
        <v>0.85489746246518583</v>
      </c>
      <c r="U8" s="33">
        <f t="shared" si="16"/>
        <v>46.278641973604969</v>
      </c>
      <c r="V8" s="33">
        <f t="shared" si="3"/>
        <v>1</v>
      </c>
      <c r="W8" s="33">
        <v>0</v>
      </c>
      <c r="X8" s="33">
        <f t="shared" si="4"/>
        <v>178.34889698367843</v>
      </c>
      <c r="Y8" s="38">
        <f t="shared" si="5"/>
        <v>1.3129951786003176</v>
      </c>
      <c r="AA8" s="71">
        <v>3</v>
      </c>
      <c r="AB8" s="33">
        <f t="shared" si="6"/>
        <v>0</v>
      </c>
      <c r="AC8" s="308">
        <f t="shared" si="7"/>
        <v>0</v>
      </c>
      <c r="AD8" s="101">
        <f t="shared" si="8"/>
        <v>0</v>
      </c>
      <c r="AE8" s="101">
        <f t="shared" si="9"/>
        <v>0</v>
      </c>
      <c r="AF8" s="197">
        <f>IF(OR(AA8&lt;=$F$18,AA8&lt;=30),EXP(-LN(2)/$D$104)*AF7+((1-EXP(-LN(2)/$D$104))/(LN(2)/$D$104))*$AB8*AC8*0.475*$F$19*44/12,)</f>
        <v>0</v>
      </c>
      <c r="AG8" s="197">
        <f>IF(OR(AA8&lt;=$F$18,AA8&lt;=30),EXP(-LN(2)/$D$106)*AG7+((1-EXP(-LN(2)/$D$106))/(LN(2)/$D$106))*$AB8*AD8*0.475*$F$19*44/12,)</f>
        <v>0</v>
      </c>
      <c r="AH8" s="197">
        <f>IF(OR(AA8&lt;=$F$18,AA8&lt;=30),EXP(-LN(2)/$D$105)*AH7+((1-EXP(-LN(2)/$D$105))/(LN(2)/$D$105))*$AB8*AE8*0.475*$F$19*44/12,)</f>
        <v>0</v>
      </c>
      <c r="AI8" s="202">
        <f>IF(OR(AA8&lt;=$F$18,AA8&lt;=30),SUM(AF8:AH8),)</f>
        <v>0</v>
      </c>
      <c r="AK8" s="71">
        <v>3</v>
      </c>
      <c r="AL8" s="33">
        <f t="shared" si="10"/>
        <v>0</v>
      </c>
      <c r="AM8" s="33">
        <f t="shared" si="11"/>
        <v>0</v>
      </c>
      <c r="AN8" s="33">
        <f t="shared" si="12"/>
        <v>0</v>
      </c>
      <c r="AO8" s="33">
        <f t="shared" si="13"/>
        <v>0</v>
      </c>
      <c r="AP8" s="33">
        <f t="shared" si="14"/>
        <v>0</v>
      </c>
      <c r="AQ8" s="197">
        <f t="shared" si="17"/>
        <v>0</v>
      </c>
      <c r="AR8" s="197">
        <f t="shared" si="17"/>
        <v>0</v>
      </c>
      <c r="AS8" s="197">
        <f t="shared" si="17"/>
        <v>0</v>
      </c>
      <c r="AT8" s="197">
        <f t="shared" si="17"/>
        <v>0</v>
      </c>
      <c r="AU8" s="33"/>
      <c r="AV8" s="33"/>
      <c r="AW8" s="33"/>
      <c r="AX8" s="33"/>
      <c r="AY8" s="167">
        <f t="shared" si="24"/>
        <v>0</v>
      </c>
    </row>
    <row r="9" spans="2:51">
      <c r="B9" s="375"/>
      <c r="C9" s="93" t="s">
        <v>74</v>
      </c>
      <c r="D9" s="367" t="str">
        <f>IF(D8=$B$100,"totale","néant")</f>
        <v>néant</v>
      </c>
      <c r="E9" s="367"/>
      <c r="F9" s="94">
        <f>IF(D8=B100,10,VLOOKUP(D8,$B$97:$D$100,3,FALSE))</f>
        <v>0</v>
      </c>
      <c r="I9" s="55">
        <v>4</v>
      </c>
      <c r="J9" s="33">
        <f t="shared" si="18"/>
        <v>5</v>
      </c>
      <c r="K9" s="33">
        <f t="shared" si="19"/>
        <v>1.910565629709926</v>
      </c>
      <c r="L9" s="33">
        <f t="shared" si="20"/>
        <v>45</v>
      </c>
      <c r="M9" s="33">
        <f t="shared" si="21"/>
        <v>0</v>
      </c>
      <c r="N9" s="33">
        <f t="shared" si="0"/>
        <v>0</v>
      </c>
      <c r="O9" s="34">
        <f t="shared" si="1"/>
        <v>177.03590180507811</v>
      </c>
      <c r="P9" s="55">
        <v>4</v>
      </c>
      <c r="Q9" s="33">
        <f t="shared" si="15"/>
        <v>1.56</v>
      </c>
      <c r="R9" s="33">
        <f t="shared" si="22"/>
        <v>6.24</v>
      </c>
      <c r="S9" s="33">
        <f t="shared" si="23"/>
        <v>2.6832000000000003</v>
      </c>
      <c r="T9" s="33">
        <f t="shared" si="2"/>
        <v>1.1023256056822655</v>
      </c>
      <c r="U9" s="33">
        <f t="shared" si="16"/>
        <v>46.690154502351291</v>
      </c>
      <c r="V9" s="33">
        <f t="shared" si="3"/>
        <v>1.3333333333333333</v>
      </c>
      <c r="W9" s="33">
        <v>0</v>
      </c>
      <c r="X9" s="33">
        <f t="shared" si="4"/>
        <v>182.6792458274069</v>
      </c>
      <c r="Y9" s="38">
        <f t="shared" si="5"/>
        <v>5.6433440223287903</v>
      </c>
      <c r="AA9" s="71">
        <v>4</v>
      </c>
      <c r="AB9" s="33">
        <f t="shared" si="6"/>
        <v>0</v>
      </c>
      <c r="AC9" s="308">
        <f t="shared" si="7"/>
        <v>0</v>
      </c>
      <c r="AD9" s="101">
        <f t="shared" si="8"/>
        <v>0</v>
      </c>
      <c r="AE9" s="101">
        <f t="shared" si="9"/>
        <v>0</v>
      </c>
      <c r="AF9" s="197">
        <f>IF(OR(AA9&lt;=$F$18,AA9&lt;=30),EXP(-LN(2)/$D$104)*AF8+((1-EXP(-LN(2)/$D$104))/(LN(2)/$D$104))*$AB9*AC9*0.475*$F$19*44/12,)</f>
        <v>0</v>
      </c>
      <c r="AG9" s="197">
        <f>IF(OR(AA9&lt;=$F$18,AA9&lt;=30),EXP(-LN(2)/$D$106)*AG8+((1-EXP(-LN(2)/$D$106))/(LN(2)/$D$106))*$AB9*AD9*0.475*$F$19*44/12,)</f>
        <v>0</v>
      </c>
      <c r="AH9" s="197">
        <f>IF(OR(AA9&lt;=$F$18,AA9&lt;=30),EXP(-LN(2)/$D$105)*AH8+((1-EXP(-LN(2)/$D$105))/(LN(2)/$D$105))*$AB9*AE9*0.475*$F$19*44/12,)</f>
        <v>0</v>
      </c>
      <c r="AI9" s="202">
        <f>IF(OR(AA9&lt;=$F$18,AA9&lt;=30),SUM(AF9:AH9),)</f>
        <v>0</v>
      </c>
      <c r="AK9" s="71">
        <v>4</v>
      </c>
      <c r="AL9" s="33">
        <f t="shared" si="10"/>
        <v>0</v>
      </c>
      <c r="AM9" s="33">
        <f t="shared" si="11"/>
        <v>0</v>
      </c>
      <c r="AN9" s="33">
        <f t="shared" si="12"/>
        <v>0</v>
      </c>
      <c r="AO9" s="33">
        <f t="shared" si="13"/>
        <v>0</v>
      </c>
      <c r="AP9" s="33">
        <f t="shared" si="14"/>
        <v>0</v>
      </c>
      <c r="AQ9" s="197">
        <f t="shared" si="17"/>
        <v>0</v>
      </c>
      <c r="AR9" s="197">
        <f t="shared" si="17"/>
        <v>0</v>
      </c>
      <c r="AS9" s="197">
        <f t="shared" si="17"/>
        <v>0</v>
      </c>
      <c r="AT9" s="197">
        <f t="shared" si="17"/>
        <v>0</v>
      </c>
      <c r="AU9" s="33"/>
      <c r="AV9" s="33"/>
      <c r="AW9" s="33"/>
      <c r="AX9" s="33"/>
      <c r="AY9" s="167">
        <f t="shared" si="24"/>
        <v>0</v>
      </c>
    </row>
    <row r="10" spans="2:51">
      <c r="B10" s="375"/>
      <c r="C10" s="369" t="s">
        <v>124</v>
      </c>
      <c r="D10" s="364" t="s">
        <v>136</v>
      </c>
      <c r="E10" s="364"/>
      <c r="F10" s="95">
        <f>F18</f>
        <v>50</v>
      </c>
      <c r="I10" s="55">
        <v>5</v>
      </c>
      <c r="J10" s="33">
        <f t="shared" si="18"/>
        <v>5</v>
      </c>
      <c r="K10" s="33">
        <f t="shared" si="19"/>
        <v>1.910565629709926</v>
      </c>
      <c r="L10" s="33">
        <f t="shared" si="20"/>
        <v>45</v>
      </c>
      <c r="M10" s="33">
        <f t="shared" si="21"/>
        <v>0</v>
      </c>
      <c r="N10" s="33">
        <f t="shared" si="0"/>
        <v>0</v>
      </c>
      <c r="O10" s="34">
        <f t="shared" si="1"/>
        <v>177.03590180507811</v>
      </c>
      <c r="P10" s="55">
        <v>5</v>
      </c>
      <c r="Q10" s="33">
        <f t="shared" si="15"/>
        <v>1.56</v>
      </c>
      <c r="R10" s="33">
        <f t="shared" si="22"/>
        <v>7.8000000000000007</v>
      </c>
      <c r="S10" s="33">
        <f t="shared" si="23"/>
        <v>3.3540000000000001</v>
      </c>
      <c r="T10" s="33">
        <f t="shared" si="2"/>
        <v>1.3425781754875346</v>
      </c>
      <c r="U10" s="33">
        <f t="shared" si="16"/>
        <v>47.094528208728065</v>
      </c>
      <c r="V10" s="33">
        <f t="shared" si="3"/>
        <v>1.6666666666666667</v>
      </c>
      <c r="W10" s="33">
        <v>0</v>
      </c>
      <c r="X10" s="33">
        <f t="shared" si="4"/>
        <v>186.97092153208814</v>
      </c>
      <c r="Y10" s="38">
        <f t="shared" si="5"/>
        <v>9.9350197270100296</v>
      </c>
      <c r="AA10" s="71">
        <v>5</v>
      </c>
      <c r="AB10" s="33">
        <f t="shared" si="6"/>
        <v>0</v>
      </c>
      <c r="AC10" s="308">
        <f t="shared" si="7"/>
        <v>0</v>
      </c>
      <c r="AD10" s="101">
        <f t="shared" si="8"/>
        <v>0</v>
      </c>
      <c r="AE10" s="101">
        <f t="shared" si="9"/>
        <v>0</v>
      </c>
      <c r="AF10" s="197">
        <f t="shared" ref="AF10:AF24" si="25">IF(OR(AA10&lt;=$F$18,AA10&lt;=30),EXP(-LN(2)/$D$104)*AF9+((1-EXP(-LN(2)/$D$104))/(LN(2)/$D$104))*$AB10*AC10*0.475*$F$19*44/12,)</f>
        <v>0</v>
      </c>
      <c r="AG10" s="197">
        <f t="shared" ref="AG10:AG24" si="26">IF(OR(AA10&lt;=$F$18,AA10&lt;=30),EXP(-LN(2)/$D$106)*AG9+((1-EXP(-LN(2)/$D$106))/(LN(2)/$D$106))*$AB10*AD10*0.475*$F$19*44/12,)</f>
        <v>0</v>
      </c>
      <c r="AH10" s="197">
        <f t="shared" ref="AH10:AH24" si="27">IF(OR(AA10&lt;=$F$18,AA10&lt;=30),EXP(-LN(2)/$D$105)*AH9+((1-EXP(-LN(2)/$D$105))/(LN(2)/$D$105))*$AB10*AE10*0.475*$F$19*44/12,)</f>
        <v>0</v>
      </c>
      <c r="AI10" s="202">
        <f t="shared" ref="AI10:AI24" si="28">IF(OR(AA10&lt;=$F$18,AA10&lt;=30),SUM(AF10:AH10),)</f>
        <v>0</v>
      </c>
      <c r="AK10" s="71">
        <v>5</v>
      </c>
      <c r="AL10" s="33">
        <f t="shared" si="10"/>
        <v>0</v>
      </c>
      <c r="AM10" s="33">
        <f t="shared" si="11"/>
        <v>0</v>
      </c>
      <c r="AN10" s="33">
        <f t="shared" si="12"/>
        <v>0</v>
      </c>
      <c r="AO10" s="33">
        <f t="shared" si="13"/>
        <v>0</v>
      </c>
      <c r="AP10" s="33">
        <f t="shared" si="14"/>
        <v>0</v>
      </c>
      <c r="AQ10" s="197">
        <f t="shared" si="17"/>
        <v>0</v>
      </c>
      <c r="AR10" s="197">
        <f t="shared" si="17"/>
        <v>0</v>
      </c>
      <c r="AS10" s="197">
        <f t="shared" si="17"/>
        <v>0</v>
      </c>
      <c r="AT10" s="197">
        <f t="shared" si="17"/>
        <v>0</v>
      </c>
      <c r="AU10" s="33"/>
      <c r="AV10" s="33"/>
      <c r="AW10" s="33"/>
      <c r="AX10" s="33"/>
      <c r="AY10" s="167">
        <f t="shared" si="24"/>
        <v>0</v>
      </c>
    </row>
    <row r="11" spans="2:51">
      <c r="B11" s="375"/>
      <c r="C11" s="369"/>
      <c r="D11" s="367" t="s">
        <v>139</v>
      </c>
      <c r="E11" s="367"/>
      <c r="F11" s="36">
        <f>IF(D8=$B$100,1,0)</f>
        <v>0</v>
      </c>
      <c r="I11" s="55">
        <v>6</v>
      </c>
      <c r="J11" s="33">
        <f t="shared" si="18"/>
        <v>5</v>
      </c>
      <c r="K11" s="33">
        <f t="shared" si="19"/>
        <v>1.910565629709926</v>
      </c>
      <c r="L11" s="33">
        <f t="shared" si="20"/>
        <v>45</v>
      </c>
      <c r="M11" s="33">
        <f t="shared" si="21"/>
        <v>0</v>
      </c>
      <c r="N11" s="33">
        <f t="shared" si="0"/>
        <v>0</v>
      </c>
      <c r="O11" s="34">
        <f t="shared" si="1"/>
        <v>177.03590180507811</v>
      </c>
      <c r="P11" s="55">
        <v>6</v>
      </c>
      <c r="Q11" s="33">
        <f t="shared" si="15"/>
        <v>1.56</v>
      </c>
      <c r="R11" s="33">
        <f t="shared" si="22"/>
        <v>9.3600000000000012</v>
      </c>
      <c r="S11" s="33">
        <f t="shared" si="23"/>
        <v>4.0248000000000008</v>
      </c>
      <c r="T11" s="33">
        <f t="shared" si="2"/>
        <v>1.5772630601501412</v>
      </c>
      <c r="U11" s="33">
        <f t="shared" si="16"/>
        <v>47.491886935343359</v>
      </c>
      <c r="V11" s="33">
        <f t="shared" si="3"/>
        <v>2</v>
      </c>
      <c r="W11" s="33">
        <v>0</v>
      </c>
      <c r="X11" s="33">
        <f t="shared" si="4"/>
        <v>191.22717859268712</v>
      </c>
      <c r="Y11" s="38">
        <f t="shared" si="5"/>
        <v>14.191276787609013</v>
      </c>
      <c r="AA11" s="71">
        <v>6</v>
      </c>
      <c r="AB11" s="33">
        <f t="shared" si="6"/>
        <v>0</v>
      </c>
      <c r="AC11" s="308">
        <f t="shared" si="7"/>
        <v>0</v>
      </c>
      <c r="AD11" s="101">
        <f t="shared" si="8"/>
        <v>0</v>
      </c>
      <c r="AE11" s="101">
        <f t="shared" si="9"/>
        <v>0</v>
      </c>
      <c r="AF11" s="197">
        <f t="shared" si="25"/>
        <v>0</v>
      </c>
      <c r="AG11" s="197">
        <f t="shared" si="26"/>
        <v>0</v>
      </c>
      <c r="AH11" s="197">
        <f t="shared" si="27"/>
        <v>0</v>
      </c>
      <c r="AI11" s="202">
        <f t="shared" si="28"/>
        <v>0</v>
      </c>
      <c r="AK11" s="71">
        <v>6</v>
      </c>
      <c r="AL11" s="33">
        <f t="shared" si="10"/>
        <v>0</v>
      </c>
      <c r="AM11" s="33">
        <f t="shared" si="11"/>
        <v>0</v>
      </c>
      <c r="AN11" s="33">
        <f t="shared" si="12"/>
        <v>0</v>
      </c>
      <c r="AO11" s="33">
        <f t="shared" si="13"/>
        <v>0</v>
      </c>
      <c r="AP11" s="33">
        <f t="shared" si="14"/>
        <v>0</v>
      </c>
      <c r="AQ11" s="197">
        <f t="shared" si="17"/>
        <v>0</v>
      </c>
      <c r="AR11" s="197">
        <f t="shared" si="17"/>
        <v>0</v>
      </c>
      <c r="AS11" s="197">
        <f t="shared" si="17"/>
        <v>0</v>
      </c>
      <c r="AT11" s="197">
        <f t="shared" si="17"/>
        <v>0</v>
      </c>
      <c r="AU11" s="33"/>
      <c r="AV11" s="33"/>
      <c r="AW11" s="33"/>
      <c r="AX11" s="33"/>
      <c r="AY11" s="167">
        <f t="shared" si="24"/>
        <v>0</v>
      </c>
    </row>
    <row r="12" spans="2:51" ht="16">
      <c r="B12" s="375"/>
      <c r="C12" s="369"/>
      <c r="D12" s="364" t="s">
        <v>131</v>
      </c>
      <c r="E12" s="364"/>
      <c r="F12" s="96" t="s">
        <v>70</v>
      </c>
      <c r="I12" s="55">
        <v>7</v>
      </c>
      <c r="J12" s="33">
        <f t="shared" si="18"/>
        <v>5</v>
      </c>
      <c r="K12" s="33">
        <f t="shared" si="19"/>
        <v>1.910565629709926</v>
      </c>
      <c r="L12" s="33">
        <f t="shared" si="20"/>
        <v>45</v>
      </c>
      <c r="M12" s="33">
        <f t="shared" si="21"/>
        <v>0</v>
      </c>
      <c r="N12" s="33">
        <f t="shared" si="0"/>
        <v>0</v>
      </c>
      <c r="O12" s="34">
        <f t="shared" si="1"/>
        <v>177.03590180507811</v>
      </c>
      <c r="P12" s="55">
        <v>7</v>
      </c>
      <c r="Q12" s="33">
        <f t="shared" si="15"/>
        <v>1.56</v>
      </c>
      <c r="R12" s="33">
        <f t="shared" si="22"/>
        <v>10.920000000000002</v>
      </c>
      <c r="S12" s="33">
        <f t="shared" si="23"/>
        <v>4.6956000000000007</v>
      </c>
      <c r="T12" s="33">
        <f t="shared" si="2"/>
        <v>1.8074168030672981</v>
      </c>
      <c r="U12" s="33">
        <f t="shared" si="16"/>
        <v>47.882352376412911</v>
      </c>
      <c r="V12" s="33">
        <f t="shared" si="3"/>
        <v>2.3333333333333335</v>
      </c>
      <c r="W12" s="33">
        <v>0</v>
      </c>
      <c r="X12" s="33">
        <f t="shared" si="4"/>
        <v>195.45026853441178</v>
      </c>
      <c r="Y12" s="38">
        <f t="shared" si="5"/>
        <v>18.414366729333665</v>
      </c>
      <c r="AA12" s="71">
        <v>7</v>
      </c>
      <c r="AB12" s="33">
        <f t="shared" si="6"/>
        <v>0</v>
      </c>
      <c r="AC12" s="308">
        <f t="shared" si="7"/>
        <v>0</v>
      </c>
      <c r="AD12" s="101">
        <f t="shared" si="8"/>
        <v>0</v>
      </c>
      <c r="AE12" s="101">
        <f t="shared" si="9"/>
        <v>0</v>
      </c>
      <c r="AF12" s="197">
        <f t="shared" si="25"/>
        <v>0</v>
      </c>
      <c r="AG12" s="197">
        <f t="shared" si="26"/>
        <v>0</v>
      </c>
      <c r="AH12" s="197">
        <f t="shared" si="27"/>
        <v>0</v>
      </c>
      <c r="AI12" s="202">
        <f t="shared" si="28"/>
        <v>0</v>
      </c>
      <c r="AK12" s="71">
        <v>7</v>
      </c>
      <c r="AL12" s="33">
        <f t="shared" si="10"/>
        <v>0</v>
      </c>
      <c r="AM12" s="33">
        <f t="shared" si="11"/>
        <v>0</v>
      </c>
      <c r="AN12" s="33">
        <f t="shared" si="12"/>
        <v>0</v>
      </c>
      <c r="AO12" s="33">
        <f t="shared" si="13"/>
        <v>0</v>
      </c>
      <c r="AP12" s="33">
        <f t="shared" si="14"/>
        <v>0</v>
      </c>
      <c r="AQ12" s="197">
        <f t="shared" si="17"/>
        <v>0</v>
      </c>
      <c r="AR12" s="197">
        <f t="shared" si="17"/>
        <v>0</v>
      </c>
      <c r="AS12" s="197">
        <f t="shared" si="17"/>
        <v>0</v>
      </c>
      <c r="AT12" s="197">
        <f t="shared" si="17"/>
        <v>0</v>
      </c>
      <c r="AU12" s="33"/>
      <c r="AV12" s="33"/>
      <c r="AW12" s="33"/>
      <c r="AX12" s="33"/>
      <c r="AY12" s="167">
        <f t="shared" si="24"/>
        <v>0</v>
      </c>
    </row>
    <row r="13" spans="2:51">
      <c r="B13" s="366"/>
      <c r="C13" s="370"/>
      <c r="D13" s="368" t="s">
        <v>155</v>
      </c>
      <c r="E13" s="368"/>
      <c r="F13" s="37">
        <f>IF(ISBLANK(F$12),,VLOOKUP(F$12,C131:D195,2,FALSE))</f>
        <v>0.56999999999999995</v>
      </c>
      <c r="I13" s="55">
        <v>8</v>
      </c>
      <c r="J13" s="33">
        <f t="shared" si="18"/>
        <v>5</v>
      </c>
      <c r="K13" s="33">
        <f t="shared" si="19"/>
        <v>1.910565629709926</v>
      </c>
      <c r="L13" s="33">
        <f t="shared" si="20"/>
        <v>45</v>
      </c>
      <c r="M13" s="33">
        <f t="shared" si="21"/>
        <v>0</v>
      </c>
      <c r="N13" s="33">
        <f t="shared" si="0"/>
        <v>0</v>
      </c>
      <c r="O13" s="34">
        <f t="shared" si="1"/>
        <v>177.03590180507811</v>
      </c>
      <c r="P13" s="55">
        <v>8</v>
      </c>
      <c r="Q13" s="33">
        <f t="shared" si="15"/>
        <v>1.56</v>
      </c>
      <c r="R13" s="33">
        <f t="shared" si="22"/>
        <v>12.480000000000002</v>
      </c>
      <c r="S13" s="33">
        <f t="shared" si="23"/>
        <v>5.3664000000000005</v>
      </c>
      <c r="T13" s="33">
        <f t="shared" si="2"/>
        <v>2.0337613976378734</v>
      </c>
      <c r="U13" s="33">
        <f t="shared" si="16"/>
        <v>48.266044115029857</v>
      </c>
      <c r="V13" s="33">
        <f t="shared" si="3"/>
        <v>2.6666666666666665</v>
      </c>
      <c r="W13" s="33">
        <v>0</v>
      </c>
      <c r="X13" s="33">
        <f t="shared" si="4"/>
        <v>199.64188730043986</v>
      </c>
      <c r="Y13" s="38">
        <f t="shared" si="5"/>
        <v>22.60598549536175</v>
      </c>
      <c r="AA13" s="71">
        <v>8</v>
      </c>
      <c r="AB13" s="33">
        <f t="shared" si="6"/>
        <v>0</v>
      </c>
      <c r="AC13" s="308">
        <f t="shared" si="7"/>
        <v>0</v>
      </c>
      <c r="AD13" s="101">
        <f t="shared" si="8"/>
        <v>0</v>
      </c>
      <c r="AE13" s="101">
        <f t="shared" si="9"/>
        <v>0</v>
      </c>
      <c r="AF13" s="197">
        <f t="shared" si="25"/>
        <v>0</v>
      </c>
      <c r="AG13" s="197">
        <f t="shared" si="26"/>
        <v>0</v>
      </c>
      <c r="AH13" s="197">
        <f t="shared" si="27"/>
        <v>0</v>
      </c>
      <c r="AI13" s="202">
        <f t="shared" si="28"/>
        <v>0</v>
      </c>
      <c r="AK13" s="71">
        <v>8</v>
      </c>
      <c r="AL13" s="33">
        <f t="shared" si="10"/>
        <v>0</v>
      </c>
      <c r="AM13" s="33">
        <f t="shared" si="11"/>
        <v>0</v>
      </c>
      <c r="AN13" s="33">
        <f t="shared" si="12"/>
        <v>0</v>
      </c>
      <c r="AO13" s="33">
        <f t="shared" si="13"/>
        <v>0</v>
      </c>
      <c r="AP13" s="33">
        <f t="shared" si="14"/>
        <v>0</v>
      </c>
      <c r="AQ13" s="197">
        <f t="shared" si="17"/>
        <v>0</v>
      </c>
      <c r="AR13" s="197">
        <f t="shared" si="17"/>
        <v>0</v>
      </c>
      <c r="AS13" s="197">
        <f t="shared" si="17"/>
        <v>0</v>
      </c>
      <c r="AT13" s="197">
        <f t="shared" si="17"/>
        <v>0</v>
      </c>
      <c r="AU13" s="33"/>
      <c r="AV13" s="33"/>
      <c r="AW13" s="33"/>
      <c r="AX13" s="33"/>
      <c r="AY13" s="167">
        <f t="shared" si="24"/>
        <v>0</v>
      </c>
    </row>
    <row r="14" spans="2:51">
      <c r="B14" s="365" t="s">
        <v>132</v>
      </c>
      <c r="C14" s="361"/>
      <c r="D14" s="362"/>
      <c r="E14" s="362"/>
      <c r="F14" s="363"/>
      <c r="I14" s="55">
        <v>9</v>
      </c>
      <c r="J14" s="33">
        <f t="shared" si="18"/>
        <v>5</v>
      </c>
      <c r="K14" s="33">
        <f t="shared" si="19"/>
        <v>1.910565629709926</v>
      </c>
      <c r="L14" s="33">
        <f t="shared" si="20"/>
        <v>45</v>
      </c>
      <c r="M14" s="33">
        <f t="shared" si="21"/>
        <v>0</v>
      </c>
      <c r="N14" s="33">
        <f t="shared" si="0"/>
        <v>0</v>
      </c>
      <c r="O14" s="34">
        <f t="shared" si="1"/>
        <v>177.03590180507811</v>
      </c>
      <c r="P14" s="55">
        <v>9</v>
      </c>
      <c r="Q14" s="33">
        <f t="shared" si="15"/>
        <v>1.56</v>
      </c>
      <c r="R14" s="33">
        <f t="shared" si="22"/>
        <v>14.040000000000003</v>
      </c>
      <c r="S14" s="33">
        <f t="shared" si="23"/>
        <v>6.0372000000000012</v>
      </c>
      <c r="T14" s="33">
        <f t="shared" si="2"/>
        <v>2.2568275181945285</v>
      </c>
      <c r="U14" s="33">
        <f t="shared" si="16"/>
        <v>48.643079659788015</v>
      </c>
      <c r="V14" s="33">
        <f t="shared" si="3"/>
        <v>3</v>
      </c>
      <c r="W14" s="33">
        <v>0</v>
      </c>
      <c r="X14" s="33">
        <f t="shared" si="4"/>
        <v>203.80339001341153</v>
      </c>
      <c r="Y14" s="38">
        <f t="shared" si="5"/>
        <v>26.767488208333418</v>
      </c>
      <c r="AA14" s="71">
        <v>9</v>
      </c>
      <c r="AB14" s="33">
        <f t="shared" si="6"/>
        <v>0</v>
      </c>
      <c r="AC14" s="308">
        <f t="shared" si="7"/>
        <v>0</v>
      </c>
      <c r="AD14" s="101">
        <f t="shared" si="8"/>
        <v>0</v>
      </c>
      <c r="AE14" s="101">
        <f t="shared" si="9"/>
        <v>0</v>
      </c>
      <c r="AF14" s="197">
        <f t="shared" si="25"/>
        <v>0</v>
      </c>
      <c r="AG14" s="197">
        <f t="shared" si="26"/>
        <v>0</v>
      </c>
      <c r="AH14" s="197">
        <f t="shared" si="27"/>
        <v>0</v>
      </c>
      <c r="AI14" s="202">
        <f t="shared" si="28"/>
        <v>0</v>
      </c>
      <c r="AK14" s="71">
        <v>9</v>
      </c>
      <c r="AL14" s="33">
        <f t="shared" si="10"/>
        <v>0</v>
      </c>
      <c r="AM14" s="33">
        <f t="shared" si="11"/>
        <v>0</v>
      </c>
      <c r="AN14" s="33">
        <f t="shared" si="12"/>
        <v>0</v>
      </c>
      <c r="AO14" s="33">
        <f t="shared" si="13"/>
        <v>0</v>
      </c>
      <c r="AP14" s="33">
        <f t="shared" si="14"/>
        <v>0</v>
      </c>
      <c r="AQ14" s="197">
        <f t="shared" si="17"/>
        <v>0</v>
      </c>
      <c r="AR14" s="197">
        <f t="shared" si="17"/>
        <v>0</v>
      </c>
      <c r="AS14" s="197">
        <f t="shared" si="17"/>
        <v>0</v>
      </c>
      <c r="AT14" s="197">
        <f t="shared" si="17"/>
        <v>0</v>
      </c>
      <c r="AU14" s="33"/>
      <c r="AV14" s="33"/>
      <c r="AW14" s="33"/>
      <c r="AX14" s="33"/>
      <c r="AY14" s="167">
        <f t="shared" si="24"/>
        <v>0</v>
      </c>
    </row>
    <row r="15" spans="2:51">
      <c r="B15" s="375"/>
      <c r="C15" s="93" t="s">
        <v>73</v>
      </c>
      <c r="D15" s="371" t="s">
        <v>135</v>
      </c>
      <c r="E15" s="371"/>
      <c r="F15" s="94">
        <f>IF(D15="","",VLOOKUP(D15,$B$97:$C$100,2,0))</f>
        <v>70</v>
      </c>
      <c r="I15" s="55">
        <v>10</v>
      </c>
      <c r="J15" s="33">
        <f t="shared" si="18"/>
        <v>5</v>
      </c>
      <c r="K15" s="33">
        <f t="shared" si="19"/>
        <v>1.910565629709926</v>
      </c>
      <c r="L15" s="33">
        <f t="shared" si="20"/>
        <v>45</v>
      </c>
      <c r="M15" s="33">
        <f t="shared" si="21"/>
        <v>0</v>
      </c>
      <c r="N15" s="33">
        <f t="shared" si="0"/>
        <v>0</v>
      </c>
      <c r="O15" s="34">
        <f t="shared" si="1"/>
        <v>177.03590180507811</v>
      </c>
      <c r="P15" s="55">
        <v>10</v>
      </c>
      <c r="Q15" s="33">
        <f t="shared" si="15"/>
        <v>1.56</v>
      </c>
      <c r="R15" s="33">
        <f t="shared" si="22"/>
        <v>15.600000000000003</v>
      </c>
      <c r="S15" s="33">
        <f t="shared" si="23"/>
        <v>6.7080000000000011</v>
      </c>
      <c r="T15" s="33">
        <f t="shared" si="2"/>
        <v>2.4770209932006879</v>
      </c>
      <c r="U15" s="33">
        <f t="shared" si="16"/>
        <v>49.013574480769819</v>
      </c>
      <c r="V15" s="33">
        <f t="shared" si="3"/>
        <v>3.3333333333333335</v>
      </c>
      <c r="W15" s="33">
        <v>0</v>
      </c>
      <c r="X15" s="33">
        <f t="shared" si="4"/>
        <v>207.93590688153608</v>
      </c>
      <c r="Y15" s="38">
        <f t="shared" si="5"/>
        <v>30.900005076457973</v>
      </c>
      <c r="AA15" s="71">
        <v>10</v>
      </c>
      <c r="AB15" s="33">
        <f t="shared" si="6"/>
        <v>0</v>
      </c>
      <c r="AC15" s="308">
        <f t="shared" si="7"/>
        <v>0</v>
      </c>
      <c r="AD15" s="101">
        <f t="shared" si="8"/>
        <v>0</v>
      </c>
      <c r="AE15" s="101">
        <f t="shared" si="9"/>
        <v>0</v>
      </c>
      <c r="AF15" s="197">
        <f t="shared" si="25"/>
        <v>0</v>
      </c>
      <c r="AG15" s="197">
        <f t="shared" si="26"/>
        <v>0</v>
      </c>
      <c r="AH15" s="197">
        <f t="shared" si="27"/>
        <v>0</v>
      </c>
      <c r="AI15" s="202">
        <f t="shared" si="28"/>
        <v>0</v>
      </c>
      <c r="AK15" s="71">
        <v>10</v>
      </c>
      <c r="AL15" s="33">
        <f t="shared" si="10"/>
        <v>0</v>
      </c>
      <c r="AM15" s="33">
        <f t="shared" si="11"/>
        <v>0</v>
      </c>
      <c r="AN15" s="33">
        <f t="shared" si="12"/>
        <v>0</v>
      </c>
      <c r="AO15" s="33">
        <f t="shared" si="13"/>
        <v>0</v>
      </c>
      <c r="AP15" s="33">
        <f t="shared" si="14"/>
        <v>0</v>
      </c>
      <c r="AQ15" s="197">
        <f t="shared" si="17"/>
        <v>0</v>
      </c>
      <c r="AR15" s="197">
        <f t="shared" si="17"/>
        <v>0</v>
      </c>
      <c r="AS15" s="197">
        <f t="shared" si="17"/>
        <v>0</v>
      </c>
      <c r="AT15" s="197">
        <f t="shared" si="17"/>
        <v>0</v>
      </c>
      <c r="AU15" s="33"/>
      <c r="AV15" s="33"/>
      <c r="AW15" s="33"/>
      <c r="AX15" s="33"/>
      <c r="AY15" s="167">
        <f t="shared" si="24"/>
        <v>0</v>
      </c>
    </row>
    <row r="16" spans="2:51">
      <c r="B16" s="375"/>
      <c r="C16" s="93" t="s">
        <v>74</v>
      </c>
      <c r="D16" s="367" t="s">
        <v>138</v>
      </c>
      <c r="E16" s="367"/>
      <c r="F16" s="94">
        <v>10</v>
      </c>
      <c r="I16" s="55">
        <v>11</v>
      </c>
      <c r="J16" s="33">
        <f t="shared" si="18"/>
        <v>5</v>
      </c>
      <c r="K16" s="33">
        <f t="shared" si="19"/>
        <v>1.910565629709926</v>
      </c>
      <c r="L16" s="33">
        <f t="shared" si="20"/>
        <v>45</v>
      </c>
      <c r="M16" s="33">
        <f t="shared" si="21"/>
        <v>0</v>
      </c>
      <c r="N16" s="33">
        <f t="shared" si="0"/>
        <v>0</v>
      </c>
      <c r="O16" s="34">
        <f t="shared" si="1"/>
        <v>177.03590180507811</v>
      </c>
      <c r="P16" s="55">
        <v>11</v>
      </c>
      <c r="Q16" s="33">
        <f t="shared" si="15"/>
        <v>0</v>
      </c>
      <c r="R16" s="33">
        <f t="shared" si="22"/>
        <v>15.600000000000003</v>
      </c>
      <c r="S16" s="33">
        <f t="shared" si="23"/>
        <v>6.7080000000000011</v>
      </c>
      <c r="T16" s="33">
        <f t="shared" si="2"/>
        <v>2.4770209932006879</v>
      </c>
      <c r="U16" s="33">
        <f t="shared" si="16"/>
        <v>49.377642044909919</v>
      </c>
      <c r="V16" s="33">
        <f t="shared" si="3"/>
        <v>3.6666666666666665</v>
      </c>
      <c r="W16" s="33">
        <v>0</v>
      </c>
      <c r="X16" s="33">
        <f t="shared" si="4"/>
        <v>210.49304350560533</v>
      </c>
      <c r="Y16" s="38">
        <f t="shared" si="5"/>
        <v>33.457141700527217</v>
      </c>
      <c r="AA16" s="71">
        <v>11</v>
      </c>
      <c r="AB16" s="33">
        <f t="shared" si="6"/>
        <v>0</v>
      </c>
      <c r="AC16" s="308">
        <f t="shared" si="7"/>
        <v>0</v>
      </c>
      <c r="AD16" s="101">
        <f t="shared" si="8"/>
        <v>0.56000000000000005</v>
      </c>
      <c r="AE16" s="101">
        <f t="shared" si="9"/>
        <v>0.44</v>
      </c>
      <c r="AF16" s="197">
        <f t="shared" si="25"/>
        <v>0</v>
      </c>
      <c r="AG16" s="197">
        <f t="shared" si="26"/>
        <v>0</v>
      </c>
      <c r="AH16" s="197">
        <f t="shared" si="27"/>
        <v>0</v>
      </c>
      <c r="AI16" s="202">
        <f t="shared" si="28"/>
        <v>0</v>
      </c>
      <c r="AK16" s="71">
        <v>11</v>
      </c>
      <c r="AL16" s="33">
        <f t="shared" si="10"/>
        <v>0</v>
      </c>
      <c r="AM16" s="33">
        <f t="shared" si="11"/>
        <v>0</v>
      </c>
      <c r="AN16" s="33">
        <f t="shared" si="12"/>
        <v>0.56000000000000005</v>
      </c>
      <c r="AO16" s="33">
        <f t="shared" si="13"/>
        <v>0.44</v>
      </c>
      <c r="AP16" s="33">
        <f t="shared" si="14"/>
        <v>0</v>
      </c>
      <c r="AQ16" s="197">
        <f t="shared" si="17"/>
        <v>0</v>
      </c>
      <c r="AR16" s="197">
        <f t="shared" si="17"/>
        <v>0</v>
      </c>
      <c r="AS16" s="197">
        <f t="shared" si="17"/>
        <v>0</v>
      </c>
      <c r="AT16" s="197">
        <f t="shared" si="17"/>
        <v>0</v>
      </c>
      <c r="AU16" s="33"/>
      <c r="AV16" s="33"/>
      <c r="AW16" s="33"/>
      <c r="AX16" s="33"/>
      <c r="AY16" s="167">
        <f t="shared" si="24"/>
        <v>0</v>
      </c>
    </row>
    <row r="17" spans="2:51" ht="16">
      <c r="B17" s="375"/>
      <c r="C17" s="369" t="s">
        <v>124</v>
      </c>
      <c r="D17" s="364" t="s">
        <v>131</v>
      </c>
      <c r="E17" s="364"/>
      <c r="F17" s="96" t="s">
        <v>27</v>
      </c>
      <c r="I17" s="55">
        <v>12</v>
      </c>
      <c r="J17" s="33">
        <f t="shared" si="18"/>
        <v>5</v>
      </c>
      <c r="K17" s="33">
        <f t="shared" si="19"/>
        <v>1.910565629709926</v>
      </c>
      <c r="L17" s="33">
        <f t="shared" si="20"/>
        <v>45</v>
      </c>
      <c r="M17" s="33">
        <f t="shared" si="21"/>
        <v>0</v>
      </c>
      <c r="N17" s="33">
        <f t="shared" si="0"/>
        <v>0</v>
      </c>
      <c r="O17" s="34">
        <f t="shared" si="1"/>
        <v>177.03590180507811</v>
      </c>
      <c r="P17" s="55">
        <v>12</v>
      </c>
      <c r="Q17" s="33">
        <f t="shared" si="15"/>
        <v>19.825000000000003</v>
      </c>
      <c r="R17" s="33">
        <f t="shared" si="22"/>
        <v>35.425000000000004</v>
      </c>
      <c r="S17" s="33">
        <f t="shared" si="23"/>
        <v>15.232750000000001</v>
      </c>
      <c r="T17" s="33">
        <f t="shared" si="2"/>
        <v>5.1127550171159086</v>
      </c>
      <c r="U17" s="33">
        <f t="shared" si="16"/>
        <v>49.735393850745325</v>
      </c>
      <c r="V17" s="33">
        <f t="shared" si="3"/>
        <v>4</v>
      </c>
      <c r="W17" s="33">
        <v>0</v>
      </c>
      <c r="X17" s="33">
        <f t="shared" si="4"/>
        <v>232.46486535754306</v>
      </c>
      <c r="Y17" s="38">
        <f t="shared" si="5"/>
        <v>55.42896355246495</v>
      </c>
      <c r="AA17" s="71">
        <v>12</v>
      </c>
      <c r="AB17" s="33">
        <f t="shared" si="6"/>
        <v>0</v>
      </c>
      <c r="AC17" s="308">
        <f t="shared" si="7"/>
        <v>0</v>
      </c>
      <c r="AD17" s="101">
        <f t="shared" si="8"/>
        <v>0</v>
      </c>
      <c r="AE17" s="101">
        <f t="shared" si="9"/>
        <v>0</v>
      </c>
      <c r="AF17" s="197">
        <f t="shared" si="25"/>
        <v>0</v>
      </c>
      <c r="AG17" s="197">
        <f t="shared" si="26"/>
        <v>0</v>
      </c>
      <c r="AH17" s="197">
        <f t="shared" si="27"/>
        <v>0</v>
      </c>
      <c r="AI17" s="202">
        <f t="shared" si="28"/>
        <v>0</v>
      </c>
      <c r="AK17" s="71">
        <v>12</v>
      </c>
      <c r="AL17" s="33">
        <f t="shared" si="10"/>
        <v>0</v>
      </c>
      <c r="AM17" s="33">
        <f t="shared" si="11"/>
        <v>0</v>
      </c>
      <c r="AN17" s="33">
        <f t="shared" si="12"/>
        <v>0</v>
      </c>
      <c r="AO17" s="33">
        <f t="shared" si="13"/>
        <v>0</v>
      </c>
      <c r="AP17" s="33">
        <f t="shared" si="14"/>
        <v>0</v>
      </c>
      <c r="AQ17" s="197">
        <f t="shared" si="17"/>
        <v>0</v>
      </c>
      <c r="AR17" s="197">
        <f t="shared" si="17"/>
        <v>0</v>
      </c>
      <c r="AS17" s="197">
        <f t="shared" si="17"/>
        <v>0</v>
      </c>
      <c r="AT17" s="197">
        <f t="shared" si="17"/>
        <v>0</v>
      </c>
      <c r="AU17" s="33"/>
      <c r="AV17" s="33"/>
      <c r="AW17" s="33"/>
      <c r="AX17" s="33"/>
      <c r="AY17" s="167">
        <f t="shared" si="24"/>
        <v>0</v>
      </c>
    </row>
    <row r="18" spans="2:51">
      <c r="B18" s="375"/>
      <c r="C18" s="369"/>
      <c r="D18" s="364" t="s">
        <v>136</v>
      </c>
      <c r="E18" s="364"/>
      <c r="F18" s="97">
        <v>50</v>
      </c>
      <c r="I18" s="55">
        <v>13</v>
      </c>
      <c r="J18" s="33">
        <f t="shared" si="18"/>
        <v>5</v>
      </c>
      <c r="K18" s="33">
        <f t="shared" si="19"/>
        <v>1.910565629709926</v>
      </c>
      <c r="L18" s="33">
        <f t="shared" si="20"/>
        <v>45</v>
      </c>
      <c r="M18" s="33">
        <f t="shared" si="21"/>
        <v>0</v>
      </c>
      <c r="N18" s="33">
        <f t="shared" si="0"/>
        <v>0</v>
      </c>
      <c r="O18" s="34">
        <f t="shared" si="1"/>
        <v>177.03590180507811</v>
      </c>
      <c r="P18" s="55">
        <v>13</v>
      </c>
      <c r="Q18" s="33">
        <f t="shared" si="15"/>
        <v>19.825000000000003</v>
      </c>
      <c r="R18" s="33">
        <f t="shared" si="22"/>
        <v>55.250000000000007</v>
      </c>
      <c r="S18" s="33">
        <f t="shared" si="23"/>
        <v>23.757500000000004</v>
      </c>
      <c r="T18" s="33">
        <f t="shared" si="2"/>
        <v>7.571982418716499</v>
      </c>
      <c r="U18" s="33">
        <f t="shared" si="16"/>
        <v>50.086939462562704</v>
      </c>
      <c r="V18" s="33">
        <f t="shared" si="3"/>
        <v>4.333333333333333</v>
      </c>
      <c r="W18" s="33">
        <v>0</v>
      </c>
      <c r="X18" s="33">
        <f t="shared" si="4"/>
        <v>254.1065154642167</v>
      </c>
      <c r="Y18" s="38">
        <f t="shared" si="5"/>
        <v>77.070613659138587</v>
      </c>
      <c r="AA18" s="71">
        <v>13</v>
      </c>
      <c r="AB18" s="33">
        <f t="shared" si="6"/>
        <v>0</v>
      </c>
      <c r="AC18" s="308">
        <f t="shared" si="7"/>
        <v>0</v>
      </c>
      <c r="AD18" s="101">
        <f t="shared" si="8"/>
        <v>0</v>
      </c>
      <c r="AE18" s="101">
        <f t="shared" si="9"/>
        <v>0</v>
      </c>
      <c r="AF18" s="197">
        <f t="shared" si="25"/>
        <v>0</v>
      </c>
      <c r="AG18" s="197">
        <f t="shared" si="26"/>
        <v>0</v>
      </c>
      <c r="AH18" s="197">
        <f t="shared" si="27"/>
        <v>0</v>
      </c>
      <c r="AI18" s="202">
        <f t="shared" si="28"/>
        <v>0</v>
      </c>
      <c r="AK18" s="71">
        <v>13</v>
      </c>
      <c r="AL18" s="33">
        <f t="shared" si="10"/>
        <v>0</v>
      </c>
      <c r="AM18" s="33">
        <f t="shared" si="11"/>
        <v>0</v>
      </c>
      <c r="AN18" s="33">
        <f t="shared" si="12"/>
        <v>0</v>
      </c>
      <c r="AO18" s="33">
        <f t="shared" si="13"/>
        <v>0</v>
      </c>
      <c r="AP18" s="33">
        <f t="shared" si="14"/>
        <v>0</v>
      </c>
      <c r="AQ18" s="197">
        <f t="shared" si="17"/>
        <v>0</v>
      </c>
      <c r="AR18" s="197">
        <f t="shared" si="17"/>
        <v>0</v>
      </c>
      <c r="AS18" s="197">
        <f t="shared" si="17"/>
        <v>0</v>
      </c>
      <c r="AT18" s="197">
        <f t="shared" si="17"/>
        <v>0</v>
      </c>
      <c r="AU18" s="33"/>
      <c r="AV18" s="33"/>
      <c r="AW18" s="33"/>
      <c r="AX18" s="33"/>
      <c r="AY18" s="167">
        <f t="shared" si="24"/>
        <v>0</v>
      </c>
    </row>
    <row r="19" spans="2:51">
      <c r="B19" s="375"/>
      <c r="C19" s="369"/>
      <c r="D19" s="367" t="s">
        <v>155</v>
      </c>
      <c r="E19" s="367"/>
      <c r="F19" s="36">
        <f>IF(ISBLANK(F$17),,VLOOKUP(F$17,C131:D195,2,FALSE))</f>
        <v>0.43</v>
      </c>
      <c r="I19" s="55">
        <v>14</v>
      </c>
      <c r="J19" s="33">
        <f t="shared" si="18"/>
        <v>5</v>
      </c>
      <c r="K19" s="33">
        <f t="shared" si="19"/>
        <v>1.910565629709926</v>
      </c>
      <c r="L19" s="33">
        <f t="shared" si="20"/>
        <v>45</v>
      </c>
      <c r="M19" s="33">
        <f t="shared" si="21"/>
        <v>0</v>
      </c>
      <c r="N19" s="33">
        <f t="shared" si="0"/>
        <v>0</v>
      </c>
      <c r="O19" s="34">
        <f t="shared" si="1"/>
        <v>177.03590180507811</v>
      </c>
      <c r="P19" s="55">
        <v>14</v>
      </c>
      <c r="Q19" s="33">
        <f t="shared" si="15"/>
        <v>19.825000000000003</v>
      </c>
      <c r="R19" s="33">
        <f t="shared" si="22"/>
        <v>75.075000000000017</v>
      </c>
      <c r="S19" s="33">
        <f t="shared" si="23"/>
        <v>32.282250000000005</v>
      </c>
      <c r="T19" s="33">
        <f t="shared" si="2"/>
        <v>9.9282447639623577</v>
      </c>
      <c r="U19" s="33">
        <f t="shared" si="16"/>
        <v>50.432386543953299</v>
      </c>
      <c r="V19" s="33">
        <f t="shared" si="3"/>
        <v>4.666666666666667</v>
      </c>
      <c r="W19" s="33">
        <v>0</v>
      </c>
      <c r="X19" s="33">
        <f t="shared" si="4"/>
        <v>275.54647348617431</v>
      </c>
      <c r="Y19" s="38">
        <f t="shared" si="5"/>
        <v>98.510571681096195</v>
      </c>
      <c r="AA19" s="71">
        <v>14</v>
      </c>
      <c r="AB19" s="33">
        <f t="shared" si="6"/>
        <v>0</v>
      </c>
      <c r="AC19" s="308">
        <f t="shared" si="7"/>
        <v>0</v>
      </c>
      <c r="AD19" s="101">
        <f t="shared" si="8"/>
        <v>0</v>
      </c>
      <c r="AE19" s="101">
        <f t="shared" si="9"/>
        <v>0</v>
      </c>
      <c r="AF19" s="197">
        <f t="shared" si="25"/>
        <v>0</v>
      </c>
      <c r="AG19" s="197">
        <f t="shared" si="26"/>
        <v>0</v>
      </c>
      <c r="AH19" s="197">
        <f t="shared" si="27"/>
        <v>0</v>
      </c>
      <c r="AI19" s="202">
        <f t="shared" si="28"/>
        <v>0</v>
      </c>
      <c r="AK19" s="71">
        <v>14</v>
      </c>
      <c r="AL19" s="33">
        <f t="shared" si="10"/>
        <v>0</v>
      </c>
      <c r="AM19" s="33">
        <f t="shared" si="11"/>
        <v>0</v>
      </c>
      <c r="AN19" s="33">
        <f t="shared" si="12"/>
        <v>0</v>
      </c>
      <c r="AO19" s="33">
        <f t="shared" si="13"/>
        <v>0</v>
      </c>
      <c r="AP19" s="33">
        <f t="shared" si="14"/>
        <v>0</v>
      </c>
      <c r="AQ19" s="197">
        <f t="shared" si="17"/>
        <v>0</v>
      </c>
      <c r="AR19" s="197">
        <f t="shared" si="17"/>
        <v>0</v>
      </c>
      <c r="AS19" s="197">
        <f t="shared" si="17"/>
        <v>0</v>
      </c>
      <c r="AT19" s="197">
        <f t="shared" si="17"/>
        <v>0</v>
      </c>
      <c r="AU19" s="33"/>
      <c r="AV19" s="33"/>
      <c r="AW19" s="33"/>
      <c r="AX19" s="33"/>
      <c r="AY19" s="167">
        <f t="shared" si="24"/>
        <v>0</v>
      </c>
    </row>
    <row r="20" spans="2:51">
      <c r="B20" s="375"/>
      <c r="C20" s="369"/>
      <c r="D20" s="367" t="s">
        <v>140</v>
      </c>
      <c r="E20" s="367"/>
      <c r="F20" s="98">
        <v>1.3</v>
      </c>
      <c r="I20" s="55">
        <v>15</v>
      </c>
      <c r="J20" s="33">
        <f t="shared" si="18"/>
        <v>5</v>
      </c>
      <c r="K20" s="33">
        <f t="shared" si="19"/>
        <v>1.910565629709926</v>
      </c>
      <c r="L20" s="33">
        <f t="shared" si="20"/>
        <v>45</v>
      </c>
      <c r="M20" s="33">
        <f t="shared" si="21"/>
        <v>0</v>
      </c>
      <c r="N20" s="33">
        <f t="shared" si="0"/>
        <v>0</v>
      </c>
      <c r="O20" s="34">
        <f t="shared" si="1"/>
        <v>177.03590180507811</v>
      </c>
      <c r="P20" s="55">
        <v>15</v>
      </c>
      <c r="Q20" s="33">
        <f t="shared" si="15"/>
        <v>19.825000000000003</v>
      </c>
      <c r="R20" s="33">
        <f t="shared" si="22"/>
        <v>94.90000000000002</v>
      </c>
      <c r="S20" s="33">
        <f t="shared" si="23"/>
        <v>40.807000000000009</v>
      </c>
      <c r="T20" s="33">
        <f t="shared" si="2"/>
        <v>12.21229305851112</v>
      </c>
      <c r="U20" s="33">
        <f t="shared" si="16"/>
        <v>50.771840890785739</v>
      </c>
      <c r="V20" s="33">
        <f t="shared" si="3"/>
        <v>5</v>
      </c>
      <c r="W20" s="33">
        <v>0</v>
      </c>
      <c r="X20" s="33">
        <f t="shared" si="4"/>
        <v>296.83868534312126</v>
      </c>
      <c r="Y20" s="38">
        <f t="shared" si="5"/>
        <v>119.80278353804314</v>
      </c>
      <c r="AA20" s="71">
        <v>15</v>
      </c>
      <c r="AB20" s="33">
        <f t="shared" si="6"/>
        <v>0</v>
      </c>
      <c r="AC20" s="308">
        <f t="shared" si="7"/>
        <v>0</v>
      </c>
      <c r="AD20" s="101">
        <f t="shared" si="8"/>
        <v>0</v>
      </c>
      <c r="AE20" s="101">
        <f t="shared" si="9"/>
        <v>0</v>
      </c>
      <c r="AF20" s="197">
        <f t="shared" si="25"/>
        <v>0</v>
      </c>
      <c r="AG20" s="197">
        <f t="shared" si="26"/>
        <v>0</v>
      </c>
      <c r="AH20" s="197">
        <f t="shared" si="27"/>
        <v>0</v>
      </c>
      <c r="AI20" s="202">
        <f t="shared" si="28"/>
        <v>0</v>
      </c>
      <c r="AK20" s="71">
        <v>15</v>
      </c>
      <c r="AL20" s="33">
        <f t="shared" si="10"/>
        <v>0</v>
      </c>
      <c r="AM20" s="33">
        <f t="shared" si="11"/>
        <v>0</v>
      </c>
      <c r="AN20" s="33">
        <f t="shared" si="12"/>
        <v>0</v>
      </c>
      <c r="AO20" s="33">
        <f t="shared" si="13"/>
        <v>0</v>
      </c>
      <c r="AP20" s="33">
        <f t="shared" si="14"/>
        <v>0</v>
      </c>
      <c r="AQ20" s="197">
        <f t="shared" si="17"/>
        <v>0</v>
      </c>
      <c r="AR20" s="197">
        <f t="shared" si="17"/>
        <v>0</v>
      </c>
      <c r="AS20" s="197">
        <f t="shared" si="17"/>
        <v>0</v>
      </c>
      <c r="AT20" s="197">
        <f t="shared" si="17"/>
        <v>0</v>
      </c>
      <c r="AU20" s="33"/>
      <c r="AV20" s="33"/>
      <c r="AW20" s="33"/>
      <c r="AX20" s="33"/>
      <c r="AY20" s="167">
        <f t="shared" si="24"/>
        <v>0</v>
      </c>
    </row>
    <row r="21" spans="2:51">
      <c r="B21" s="366"/>
      <c r="C21" s="370"/>
      <c r="D21" s="368" t="s">
        <v>143</v>
      </c>
      <c r="E21" s="368"/>
      <c r="F21" s="103">
        <v>2.1429</v>
      </c>
      <c r="I21" s="55">
        <v>16</v>
      </c>
      <c r="J21" s="33">
        <f t="shared" si="18"/>
        <v>5</v>
      </c>
      <c r="K21" s="33">
        <f t="shared" si="19"/>
        <v>1.910565629709926</v>
      </c>
      <c r="L21" s="33">
        <f t="shared" si="20"/>
        <v>45</v>
      </c>
      <c r="M21" s="33">
        <f t="shared" si="21"/>
        <v>0</v>
      </c>
      <c r="N21" s="33">
        <f t="shared" si="0"/>
        <v>0</v>
      </c>
      <c r="O21" s="34">
        <f t="shared" si="1"/>
        <v>177.03590180507811</v>
      </c>
      <c r="P21" s="55">
        <v>16</v>
      </c>
      <c r="Q21" s="33">
        <f t="shared" si="15"/>
        <v>-9.1000000000000085</v>
      </c>
      <c r="R21" s="33">
        <f t="shared" si="22"/>
        <v>85.800000000000011</v>
      </c>
      <c r="S21" s="33">
        <f t="shared" si="23"/>
        <v>36.894000000000005</v>
      </c>
      <c r="T21" s="33">
        <f t="shared" si="2"/>
        <v>11.17156867911179</v>
      </c>
      <c r="U21" s="33">
        <f t="shared" si="16"/>
        <v>51.105406463606862</v>
      </c>
      <c r="V21" s="33">
        <f t="shared" si="3"/>
        <v>5.333333333333333</v>
      </c>
      <c r="W21" s="33">
        <v>0</v>
      </c>
      <c r="X21" s="33">
        <f t="shared" si="4"/>
        <v>290.65624470490042</v>
      </c>
      <c r="Y21" s="38">
        <f t="shared" si="5"/>
        <v>113.6203428998223</v>
      </c>
      <c r="AA21" s="71">
        <v>16</v>
      </c>
      <c r="AB21" s="33">
        <f t="shared" si="6"/>
        <v>7</v>
      </c>
      <c r="AC21" s="308">
        <f t="shared" si="7"/>
        <v>0</v>
      </c>
      <c r="AD21" s="101">
        <f t="shared" si="8"/>
        <v>0.56000000000000005</v>
      </c>
      <c r="AE21" s="101">
        <f t="shared" si="9"/>
        <v>0.44</v>
      </c>
      <c r="AF21" s="197">
        <f t="shared" si="25"/>
        <v>0</v>
      </c>
      <c r="AG21" s="197">
        <f t="shared" si="26"/>
        <v>2.8954286887420788</v>
      </c>
      <c r="AH21" s="197">
        <f t="shared" si="27"/>
        <v>1.949386991297267</v>
      </c>
      <c r="AI21" s="202">
        <f t="shared" si="28"/>
        <v>4.8448156800393463</v>
      </c>
      <c r="AK21" s="71">
        <v>16</v>
      </c>
      <c r="AL21" s="33">
        <f t="shared" si="10"/>
        <v>7</v>
      </c>
      <c r="AM21" s="33">
        <f t="shared" si="11"/>
        <v>0</v>
      </c>
      <c r="AN21" s="33">
        <f t="shared" si="12"/>
        <v>0.56000000000000005</v>
      </c>
      <c r="AO21" s="33">
        <f t="shared" si="13"/>
        <v>0.44</v>
      </c>
      <c r="AP21" s="33">
        <f t="shared" si="14"/>
        <v>0</v>
      </c>
      <c r="AQ21" s="197">
        <f t="shared" si="17"/>
        <v>0</v>
      </c>
      <c r="AR21" s="197">
        <f t="shared" si="17"/>
        <v>3.9200000000000004</v>
      </c>
      <c r="AS21" s="197">
        <f t="shared" si="17"/>
        <v>3.08</v>
      </c>
      <c r="AT21" s="197">
        <f t="shared" si="17"/>
        <v>0</v>
      </c>
      <c r="AU21" s="33"/>
      <c r="AV21" s="33"/>
      <c r="AW21" s="33"/>
      <c r="AX21" s="33"/>
      <c r="AY21" s="167">
        <f t="shared" si="24"/>
        <v>3.01</v>
      </c>
    </row>
    <row r="22" spans="2:51">
      <c r="E22" s="6"/>
      <c r="I22" s="55">
        <v>17</v>
      </c>
      <c r="J22" s="33">
        <f t="shared" si="18"/>
        <v>5</v>
      </c>
      <c r="K22" s="33">
        <f t="shared" si="19"/>
        <v>1.910565629709926</v>
      </c>
      <c r="L22" s="33">
        <f t="shared" si="20"/>
        <v>45</v>
      </c>
      <c r="M22" s="33">
        <f t="shared" si="21"/>
        <v>0</v>
      </c>
      <c r="N22" s="33">
        <f t="shared" si="0"/>
        <v>0</v>
      </c>
      <c r="O22" s="34">
        <f t="shared" si="1"/>
        <v>177.03590180507811</v>
      </c>
      <c r="P22" s="55">
        <v>17</v>
      </c>
      <c r="Q22" s="33">
        <f t="shared" si="15"/>
        <v>28.925000000000001</v>
      </c>
      <c r="R22" s="33">
        <f t="shared" si="22"/>
        <v>114.72500000000001</v>
      </c>
      <c r="S22" s="33">
        <f t="shared" si="23"/>
        <v>49.33175</v>
      </c>
      <c r="T22" s="33">
        <f t="shared" si="2"/>
        <v>14.441046275500875</v>
      </c>
      <c r="U22" s="33">
        <f t="shared" si="16"/>
        <v>51.433185419480445</v>
      </c>
      <c r="V22" s="33">
        <f t="shared" si="3"/>
        <v>5.666666666666667</v>
      </c>
      <c r="W22" s="33">
        <v>0</v>
      </c>
      <c r="X22" s="33">
        <f t="shared" si="4"/>
        <v>320.43707782903675</v>
      </c>
      <c r="Y22" s="38">
        <f t="shared" si="5"/>
        <v>143.40117602395864</v>
      </c>
      <c r="AA22" s="71">
        <v>17</v>
      </c>
      <c r="AB22" s="33">
        <f t="shared" si="6"/>
        <v>0</v>
      </c>
      <c r="AC22" s="308">
        <f t="shared" si="7"/>
        <v>0</v>
      </c>
      <c r="AD22" s="101">
        <f t="shared" si="8"/>
        <v>0</v>
      </c>
      <c r="AE22" s="101">
        <f t="shared" si="9"/>
        <v>0</v>
      </c>
      <c r="AF22" s="197">
        <f t="shared" si="25"/>
        <v>0</v>
      </c>
      <c r="AG22" s="197">
        <f t="shared" si="26"/>
        <v>2.8162530389844496</v>
      </c>
      <c r="AH22" s="197">
        <f t="shared" si="27"/>
        <v>1.3784247607031388</v>
      </c>
      <c r="AI22" s="202">
        <f t="shared" si="28"/>
        <v>4.1946777996875886</v>
      </c>
      <c r="AK22" s="71">
        <v>17</v>
      </c>
      <c r="AL22" s="33">
        <f t="shared" si="10"/>
        <v>0</v>
      </c>
      <c r="AM22" s="33">
        <f t="shared" si="11"/>
        <v>0</v>
      </c>
      <c r="AN22" s="33">
        <f t="shared" si="12"/>
        <v>0</v>
      </c>
      <c r="AO22" s="33">
        <f t="shared" si="13"/>
        <v>0</v>
      </c>
      <c r="AP22" s="33">
        <f t="shared" si="14"/>
        <v>0</v>
      </c>
      <c r="AQ22" s="197">
        <f t="shared" si="17"/>
        <v>0</v>
      </c>
      <c r="AR22" s="197">
        <f t="shared" si="17"/>
        <v>0</v>
      </c>
      <c r="AS22" s="197">
        <f t="shared" si="17"/>
        <v>0</v>
      </c>
      <c r="AT22" s="197">
        <f t="shared" si="17"/>
        <v>0</v>
      </c>
      <c r="AU22" s="33"/>
      <c r="AV22" s="33"/>
      <c r="AW22" s="33"/>
      <c r="AX22" s="33"/>
      <c r="AY22" s="167">
        <f t="shared" si="24"/>
        <v>3.01</v>
      </c>
    </row>
    <row r="23" spans="2:51">
      <c r="B23" s="387" t="s">
        <v>142</v>
      </c>
      <c r="C23" s="388"/>
      <c r="D23" s="388"/>
      <c r="E23" s="388"/>
      <c r="F23" s="388"/>
      <c r="G23" s="389"/>
      <c r="I23" s="55">
        <v>18</v>
      </c>
      <c r="J23" s="33">
        <f t="shared" si="18"/>
        <v>5</v>
      </c>
      <c r="K23" s="33">
        <f t="shared" si="19"/>
        <v>1.910565629709926</v>
      </c>
      <c r="L23" s="33">
        <f t="shared" si="20"/>
        <v>45</v>
      </c>
      <c r="M23" s="33">
        <f t="shared" si="21"/>
        <v>0</v>
      </c>
      <c r="N23" s="33">
        <f t="shared" si="0"/>
        <v>0</v>
      </c>
      <c r="O23" s="34">
        <f t="shared" si="1"/>
        <v>177.03590180507811</v>
      </c>
      <c r="P23" s="55">
        <v>18</v>
      </c>
      <c r="Q23" s="33">
        <f t="shared" si="15"/>
        <v>28.925000000000001</v>
      </c>
      <c r="R23" s="33">
        <f t="shared" si="22"/>
        <v>143.65</v>
      </c>
      <c r="S23" s="33">
        <f t="shared" si="23"/>
        <v>61.769500000000001</v>
      </c>
      <c r="T23" s="33">
        <f t="shared" si="2"/>
        <v>17.614894530438896</v>
      </c>
      <c r="U23" s="33">
        <f t="shared" si="16"/>
        <v>51.755278143273578</v>
      </c>
      <c r="V23" s="33">
        <f t="shared" si="3"/>
        <v>6</v>
      </c>
      <c r="W23" s="33">
        <v>0</v>
      </c>
      <c r="X23" s="33">
        <f t="shared" si="4"/>
        <v>350.03050699918418</v>
      </c>
      <c r="Y23" s="38">
        <f t="shared" si="5"/>
        <v>172.99460519410607</v>
      </c>
      <c r="AA23" s="71">
        <v>18</v>
      </c>
      <c r="AB23" s="33">
        <f t="shared" si="6"/>
        <v>0</v>
      </c>
      <c r="AC23" s="308">
        <f t="shared" si="7"/>
        <v>0</v>
      </c>
      <c r="AD23" s="101">
        <f t="shared" si="8"/>
        <v>0</v>
      </c>
      <c r="AE23" s="101">
        <f t="shared" si="9"/>
        <v>0</v>
      </c>
      <c r="AF23" s="197">
        <f t="shared" si="25"/>
        <v>0</v>
      </c>
      <c r="AG23" s="197">
        <f t="shared" si="26"/>
        <v>2.7392424515331091</v>
      </c>
      <c r="AH23" s="197">
        <f t="shared" si="27"/>
        <v>0.97469349564863361</v>
      </c>
      <c r="AI23" s="202">
        <f t="shared" si="28"/>
        <v>3.7139359471817426</v>
      </c>
      <c r="AK23" s="71">
        <v>18</v>
      </c>
      <c r="AL23" s="33">
        <f t="shared" si="10"/>
        <v>0</v>
      </c>
      <c r="AM23" s="33">
        <f t="shared" si="11"/>
        <v>0</v>
      </c>
      <c r="AN23" s="33">
        <f t="shared" si="12"/>
        <v>0</v>
      </c>
      <c r="AO23" s="33">
        <f t="shared" si="13"/>
        <v>0</v>
      </c>
      <c r="AP23" s="33">
        <f t="shared" si="14"/>
        <v>0</v>
      </c>
      <c r="AQ23" s="197">
        <f t="shared" si="17"/>
        <v>0</v>
      </c>
      <c r="AR23" s="197">
        <f t="shared" si="17"/>
        <v>0</v>
      </c>
      <c r="AS23" s="197">
        <f t="shared" si="17"/>
        <v>0</v>
      </c>
      <c r="AT23" s="197">
        <f t="shared" si="17"/>
        <v>0</v>
      </c>
      <c r="AU23" s="33"/>
      <c r="AV23" s="33"/>
      <c r="AW23" s="33"/>
      <c r="AX23" s="33"/>
      <c r="AY23" s="167">
        <f t="shared" si="24"/>
        <v>3.01</v>
      </c>
    </row>
    <row r="24" spans="2:51">
      <c r="B24" s="47" t="s">
        <v>114</v>
      </c>
      <c r="C24" s="48" t="s">
        <v>115</v>
      </c>
      <c r="D24" s="48" t="s">
        <v>83</v>
      </c>
      <c r="E24" s="48" t="s">
        <v>117</v>
      </c>
      <c r="F24" s="48" t="s">
        <v>116</v>
      </c>
      <c r="G24" s="49" t="s">
        <v>141</v>
      </c>
      <c r="I24" s="55">
        <v>19</v>
      </c>
      <c r="J24" s="33">
        <f t="shared" si="18"/>
        <v>5</v>
      </c>
      <c r="K24" s="33">
        <f t="shared" si="19"/>
        <v>1.910565629709926</v>
      </c>
      <c r="L24" s="33">
        <f t="shared" si="20"/>
        <v>45</v>
      </c>
      <c r="M24" s="33">
        <f t="shared" si="21"/>
        <v>0</v>
      </c>
      <c r="N24" s="33">
        <f t="shared" si="0"/>
        <v>0</v>
      </c>
      <c r="O24" s="34">
        <f t="shared" si="1"/>
        <v>177.03590180507811</v>
      </c>
      <c r="P24" s="55">
        <v>19</v>
      </c>
      <c r="Q24" s="33">
        <f t="shared" si="15"/>
        <v>28.925000000000001</v>
      </c>
      <c r="R24" s="33">
        <f t="shared" si="22"/>
        <v>172.57500000000002</v>
      </c>
      <c r="S24" s="33">
        <f t="shared" si="23"/>
        <v>74.207250000000002</v>
      </c>
      <c r="T24" s="33">
        <f t="shared" si="2"/>
        <v>20.714690497958149</v>
      </c>
      <c r="U24" s="33">
        <f t="shared" si="16"/>
        <v>52.07178327840036</v>
      </c>
      <c r="V24" s="33">
        <f t="shared" si="3"/>
        <v>6.333333333333333</v>
      </c>
      <c r="W24" s="33">
        <v>0</v>
      </c>
      <c r="X24" s="33">
        <f t="shared" si="4"/>
        <v>379.47447394363394</v>
      </c>
      <c r="Y24" s="38">
        <f t="shared" si="5"/>
        <v>202.43857213855583</v>
      </c>
      <c r="AA24" s="71">
        <v>19</v>
      </c>
      <c r="AB24" s="33">
        <f t="shared" si="6"/>
        <v>0</v>
      </c>
      <c r="AC24" s="308">
        <f t="shared" si="7"/>
        <v>0</v>
      </c>
      <c r="AD24" s="101">
        <f t="shared" si="8"/>
        <v>0</v>
      </c>
      <c r="AE24" s="101">
        <f t="shared" si="9"/>
        <v>0</v>
      </c>
      <c r="AF24" s="197">
        <f t="shared" si="25"/>
        <v>0</v>
      </c>
      <c r="AG24" s="197">
        <f t="shared" si="26"/>
        <v>2.6643377226454361</v>
      </c>
      <c r="AH24" s="197">
        <f t="shared" si="27"/>
        <v>0.68921238035156951</v>
      </c>
      <c r="AI24" s="202">
        <f t="shared" si="28"/>
        <v>3.3535501029970058</v>
      </c>
      <c r="AK24" s="71">
        <v>19</v>
      </c>
      <c r="AL24" s="33">
        <f t="shared" si="10"/>
        <v>0</v>
      </c>
      <c r="AM24" s="33">
        <f t="shared" si="11"/>
        <v>0</v>
      </c>
      <c r="AN24" s="33">
        <f t="shared" si="12"/>
        <v>0</v>
      </c>
      <c r="AO24" s="33">
        <f t="shared" si="13"/>
        <v>0</v>
      </c>
      <c r="AP24" s="33">
        <f t="shared" si="14"/>
        <v>0</v>
      </c>
      <c r="AQ24" s="197">
        <f t="shared" si="17"/>
        <v>0</v>
      </c>
      <c r="AR24" s="197">
        <f t="shared" si="17"/>
        <v>0</v>
      </c>
      <c r="AS24" s="197">
        <f t="shared" si="17"/>
        <v>0</v>
      </c>
      <c r="AT24" s="197">
        <f t="shared" si="17"/>
        <v>0</v>
      </c>
      <c r="AU24" s="33"/>
      <c r="AV24" s="33"/>
      <c r="AW24" s="33"/>
      <c r="AX24" s="33"/>
      <c r="AY24" s="167">
        <f t="shared" si="24"/>
        <v>3.01</v>
      </c>
    </row>
    <row r="25" spans="2:51">
      <c r="B25" s="45">
        <v>0</v>
      </c>
      <c r="C25" s="337">
        <v>10</v>
      </c>
      <c r="D25" s="139">
        <f>D26+0</f>
        <v>12</v>
      </c>
      <c r="E25" s="143">
        <f t="shared" ref="E25:E54" si="29">$F$20</f>
        <v>1.3</v>
      </c>
      <c r="F25" s="46">
        <f t="shared" ref="F25:F40" si="30">D25*E25</f>
        <v>15.600000000000001</v>
      </c>
      <c r="G25" s="50">
        <f>F25/(C25-B25)</f>
        <v>1.56</v>
      </c>
      <c r="I25" s="55">
        <v>20</v>
      </c>
      <c r="J25" s="33">
        <f t="shared" si="18"/>
        <v>5</v>
      </c>
      <c r="K25" s="33">
        <f t="shared" si="19"/>
        <v>1.910565629709926</v>
      </c>
      <c r="L25" s="33">
        <f t="shared" si="20"/>
        <v>45</v>
      </c>
      <c r="M25" s="33">
        <f t="shared" si="21"/>
        <v>0</v>
      </c>
      <c r="N25" s="33">
        <f t="shared" si="0"/>
        <v>0</v>
      </c>
      <c r="O25" s="34">
        <f t="shared" si="1"/>
        <v>177.03590180507811</v>
      </c>
      <c r="P25" s="55">
        <v>20</v>
      </c>
      <c r="Q25" s="33">
        <f t="shared" si="15"/>
        <v>28.925000000000001</v>
      </c>
      <c r="R25" s="33">
        <f t="shared" si="22"/>
        <v>201.50000000000003</v>
      </c>
      <c r="S25" s="33">
        <f t="shared" si="23"/>
        <v>86.64500000000001</v>
      </c>
      <c r="T25" s="33">
        <f t="shared" si="2"/>
        <v>23.754299443125493</v>
      </c>
      <c r="U25" s="33">
        <f t="shared" si="16"/>
        <v>52.382797757032165</v>
      </c>
      <c r="V25" s="33">
        <f t="shared" si="3"/>
        <v>6.666666666666667</v>
      </c>
      <c r="W25" s="33">
        <v>0</v>
      </c>
      <c r="X25" s="33">
        <f t="shared" si="4"/>
        <v>408.79348275033931</v>
      </c>
      <c r="Y25" s="38">
        <f t="shared" si="5"/>
        <v>231.7575809452612</v>
      </c>
      <c r="AA25" s="71">
        <v>20</v>
      </c>
      <c r="AB25" s="33">
        <f t="shared" si="6"/>
        <v>0</v>
      </c>
      <c r="AC25" s="308">
        <f t="shared" si="7"/>
        <v>0</v>
      </c>
      <c r="AD25" s="101">
        <f t="shared" si="8"/>
        <v>0</v>
      </c>
      <c r="AE25" s="101">
        <f t="shared" si="9"/>
        <v>0</v>
      </c>
      <c r="AF25" s="197">
        <f>IF(OR(AA25&lt;=$F$18,AA25&lt;=30),EXP(-LN(2)/$D$104)*AF24+((1-EXP(-LN(2)/$D$104))/(LN(2)/$D$104))*$AB25*AC25*0.475*$F$19*44/12,)</f>
        <v>0</v>
      </c>
      <c r="AG25" s="197">
        <f>IF(OR(AA25&lt;=$F$18,AA25&lt;=30),EXP(-LN(2)/$D$106)*AG24+((1-EXP(-LN(2)/$D$106))/(LN(2)/$D$106))*$AB25*AD25*0.475*$F$19*44/12,)</f>
        <v>2.5914812675082652</v>
      </c>
      <c r="AH25" s="197">
        <f>IF(OR(AA25&lt;=$F$18,AA25&lt;=30),EXP(-LN(2)/$D$105)*AH24+((1-EXP(-LN(2)/$D$105))/(LN(2)/$D$105))*$AB25*AE25*0.475*$F$19*44/12,)</f>
        <v>0.48734674782431686</v>
      </c>
      <c r="AI25" s="202">
        <f>IF(OR(AA25&lt;=$F$18,AA25&lt;=30),SUM(AF25:AH25),)</f>
        <v>3.078828015332582</v>
      </c>
      <c r="AK25" s="71">
        <v>20</v>
      </c>
      <c r="AL25" s="33">
        <f t="shared" si="10"/>
        <v>0</v>
      </c>
      <c r="AM25" s="33">
        <f t="shared" si="11"/>
        <v>0</v>
      </c>
      <c r="AN25" s="33">
        <f t="shared" si="12"/>
        <v>0</v>
      </c>
      <c r="AO25" s="33">
        <f t="shared" si="13"/>
        <v>0</v>
      </c>
      <c r="AP25" s="33">
        <f t="shared" si="14"/>
        <v>0</v>
      </c>
      <c r="AQ25" s="197">
        <f>IF($AK25&lt;=$F$18,$AL25*AM25,)</f>
        <v>0</v>
      </c>
      <c r="AR25" s="197">
        <f>IF($AK25&lt;=$F$18,$AL25*AN25,)</f>
        <v>0</v>
      </c>
      <c r="AS25" s="197">
        <f>IF($AK25&lt;=$F$18,$AL25*AO25,)</f>
        <v>0</v>
      </c>
      <c r="AT25" s="197">
        <f>IF($AK25&lt;=$F$18,$AL25*AP25,)</f>
        <v>0</v>
      </c>
      <c r="AU25" s="33"/>
      <c r="AV25" s="33"/>
      <c r="AW25" s="33"/>
      <c r="AX25" s="33"/>
      <c r="AY25" s="167">
        <f t="shared" si="24"/>
        <v>3.01</v>
      </c>
    </row>
    <row r="26" spans="2:51">
      <c r="B26" s="40">
        <f t="shared" ref="B26:B54" si="31">C25</f>
        <v>10</v>
      </c>
      <c r="C26" s="41">
        <f>B26+1</f>
        <v>11</v>
      </c>
      <c r="D26" s="140">
        <v>12</v>
      </c>
      <c r="E26" s="144">
        <f t="shared" si="29"/>
        <v>1.3</v>
      </c>
      <c r="F26" s="42">
        <f t="shared" si="30"/>
        <v>15.600000000000001</v>
      </c>
      <c r="G26" s="145">
        <f>(F26-F25)/(C26-B26)</f>
        <v>0</v>
      </c>
      <c r="I26" s="55">
        <v>21</v>
      </c>
      <c r="J26" s="33">
        <f t="shared" si="18"/>
        <v>5</v>
      </c>
      <c r="K26" s="33">
        <f t="shared" si="19"/>
        <v>1.910565629709926</v>
      </c>
      <c r="L26" s="33">
        <f t="shared" si="20"/>
        <v>45</v>
      </c>
      <c r="M26" s="33">
        <f t="shared" si="21"/>
        <v>0</v>
      </c>
      <c r="N26" s="33">
        <f t="shared" si="0"/>
        <v>0</v>
      </c>
      <c r="O26" s="34">
        <f t="shared" si="1"/>
        <v>177.03590180507811</v>
      </c>
      <c r="P26" s="55">
        <v>21</v>
      </c>
      <c r="Q26" s="33">
        <f t="shared" si="15"/>
        <v>-72.799999999999983</v>
      </c>
      <c r="R26" s="33">
        <f t="shared" si="22"/>
        <v>128.70000000000005</v>
      </c>
      <c r="S26" s="33">
        <f t="shared" si="23"/>
        <v>55.341000000000015</v>
      </c>
      <c r="T26" s="33">
        <f t="shared" si="2"/>
        <v>15.984843779971362</v>
      </c>
      <c r="U26" s="33">
        <f t="shared" si="16"/>
        <v>52.688416829783918</v>
      </c>
      <c r="V26" s="33">
        <f t="shared" si="3"/>
        <v>7</v>
      </c>
      <c r="W26" s="33">
        <v>0</v>
      </c>
      <c r="X26" s="33">
        <f t="shared" si="4"/>
        <v>343.08337295932444</v>
      </c>
      <c r="Y26" s="38">
        <f t="shared" si="5"/>
        <v>166.04747115424632</v>
      </c>
      <c r="AA26" s="71">
        <v>21</v>
      </c>
      <c r="AB26" s="33">
        <f t="shared" si="6"/>
        <v>56</v>
      </c>
      <c r="AC26" s="308">
        <f t="shared" si="7"/>
        <v>0</v>
      </c>
      <c r="AD26" s="101">
        <f t="shared" si="8"/>
        <v>0.56000000000000005</v>
      </c>
      <c r="AE26" s="101">
        <f t="shared" si="9"/>
        <v>0.44</v>
      </c>
      <c r="AF26" s="197">
        <f>IF(OR(AA26&lt;=$F$18,AA26&lt;=30),EXP(-LN(2)/$D$104)*AF25+((1-EXP(-LN(2)/$D$104))/(LN(2)/$D$104))*$AB26*AC26*0.475*$F$19*44/12,)</f>
        <v>0</v>
      </c>
      <c r="AG26" s="197">
        <f>IF(OR(AA26&lt;=$F$18,AA26&lt;=30),EXP(-LN(2)/$D$106)*AG25+((1-EXP(-LN(2)/$D$106))/(LN(2)/$D$106))*$AB26*AD26*0.475*$F$19*44/12,)</f>
        <v>25.684046585904806</v>
      </c>
      <c r="AH26" s="197">
        <f>IF(OR(AA26&lt;=$F$18,AA26&lt;=30),EXP(-LN(2)/$D$105)*AH25+((1-EXP(-LN(2)/$D$105))/(LN(2)/$D$105))*$AB26*AE26*0.475*$F$19*44/12,)</f>
        <v>15.939702120553921</v>
      </c>
      <c r="AI26" s="202">
        <f>IF(OR(AA26&lt;=$F$18,AA26&lt;=30),SUM(AF26:AH26),)</f>
        <v>41.623748706458727</v>
      </c>
      <c r="AK26" s="71">
        <v>21</v>
      </c>
      <c r="AL26" s="33">
        <f t="shared" si="10"/>
        <v>56</v>
      </c>
      <c r="AM26" s="33">
        <f t="shared" si="11"/>
        <v>0</v>
      </c>
      <c r="AN26" s="33">
        <f t="shared" si="12"/>
        <v>0.56000000000000005</v>
      </c>
      <c r="AO26" s="33">
        <f t="shared" si="13"/>
        <v>0.44</v>
      </c>
      <c r="AP26" s="33">
        <f t="shared" si="14"/>
        <v>0</v>
      </c>
      <c r="AQ26" s="197">
        <f t="shared" ref="AQ26:AT35" si="32">IF($AK26&lt;=$F$18,$AL26*AM26,)</f>
        <v>0</v>
      </c>
      <c r="AR26" s="197">
        <f t="shared" si="32"/>
        <v>31.360000000000003</v>
      </c>
      <c r="AS26" s="197">
        <f t="shared" si="32"/>
        <v>24.64</v>
      </c>
      <c r="AT26" s="197">
        <f t="shared" si="32"/>
        <v>0</v>
      </c>
      <c r="AU26" s="33"/>
      <c r="AV26" s="33"/>
      <c r="AW26" s="33"/>
      <c r="AX26" s="33"/>
      <c r="AY26" s="167">
        <f t="shared" si="24"/>
        <v>27.089999999999996</v>
      </c>
    </row>
    <row r="27" spans="2:51">
      <c r="B27" s="40">
        <f t="shared" si="31"/>
        <v>11</v>
      </c>
      <c r="C27" s="155">
        <f>C25+5</f>
        <v>15</v>
      </c>
      <c r="D27" s="140">
        <f>D28+7</f>
        <v>73</v>
      </c>
      <c r="E27" s="144">
        <f t="shared" si="29"/>
        <v>1.3</v>
      </c>
      <c r="F27" s="42">
        <f t="shared" si="30"/>
        <v>94.9</v>
      </c>
      <c r="G27" s="51">
        <f t="shared" ref="G27:G40" si="33">(F27-F26)/(C27-B27)</f>
        <v>19.825000000000003</v>
      </c>
      <c r="I27" s="55">
        <v>22</v>
      </c>
      <c r="J27" s="33">
        <f t="shared" si="18"/>
        <v>5</v>
      </c>
      <c r="K27" s="33">
        <f t="shared" si="19"/>
        <v>1.910565629709926</v>
      </c>
      <c r="L27" s="33">
        <f t="shared" si="20"/>
        <v>45</v>
      </c>
      <c r="M27" s="33">
        <f t="shared" si="21"/>
        <v>0</v>
      </c>
      <c r="N27" s="33">
        <f t="shared" si="0"/>
        <v>0</v>
      </c>
      <c r="O27" s="34">
        <f t="shared" si="1"/>
        <v>177.03590180507811</v>
      </c>
      <c r="P27" s="55">
        <v>22</v>
      </c>
      <c r="Q27" s="33">
        <f t="shared" si="15"/>
        <v>34.774999999999999</v>
      </c>
      <c r="R27" s="33">
        <f t="shared" si="22"/>
        <v>163.47500000000005</v>
      </c>
      <c r="S27" s="33">
        <f t="shared" si="23"/>
        <v>70.294250000000019</v>
      </c>
      <c r="T27" s="33">
        <f t="shared" si="2"/>
        <v>19.746512367889117</v>
      </c>
      <c r="U27" s="33">
        <f t="shared" si="16"/>
        <v>52.988734094885309</v>
      </c>
      <c r="V27" s="33">
        <f t="shared" si="3"/>
        <v>7.333333333333333</v>
      </c>
      <c r="W27" s="33">
        <v>0</v>
      </c>
      <c r="X27" s="33">
        <f t="shared" si="4"/>
        <v>378.00190836087523</v>
      </c>
      <c r="Y27" s="38">
        <f t="shared" si="5"/>
        <v>200.96600655579712</v>
      </c>
      <c r="AA27" s="71">
        <v>22</v>
      </c>
      <c r="AB27" s="33">
        <f t="shared" si="6"/>
        <v>0</v>
      </c>
      <c r="AC27" s="308">
        <f t="shared" si="7"/>
        <v>0</v>
      </c>
      <c r="AD27" s="101">
        <f t="shared" si="8"/>
        <v>0</v>
      </c>
      <c r="AE27" s="101">
        <f t="shared" si="9"/>
        <v>0</v>
      </c>
      <c r="AF27" s="197">
        <f t="shared" ref="AF27:AF90" si="34">IF(OR(AA27&lt;=$F$18,AA27&lt;=30),EXP(-LN(2)/$D$104)*AF26+((1-EXP(-LN(2)/$D$104))/(LN(2)/$D$104))*$AB27*AC27*0.475*$F$19*44/12,)</f>
        <v>0</v>
      </c>
      <c r="AG27" s="197">
        <f t="shared" ref="AG27:AG90" si="35">IF(OR(AA27&lt;=$F$18,AA27&lt;=30),EXP(-LN(2)/$D$106)*AG26+((1-EXP(-LN(2)/$D$106))/(LN(2)/$D$106))*$AB27*AD27*0.475*$F$19*44/12,)</f>
        <v>24.981714981347931</v>
      </c>
      <c r="AH27" s="197">
        <f t="shared" ref="AH27:AH90" si="36">IF(OR(AA27&lt;=$F$18,AA27&lt;=30),EXP(-LN(2)/$D$105)*AH26+((1-EXP(-LN(2)/$D$105))/(LN(2)/$D$105))*$AB27*AE27*0.475*$F$19*44/12,)</f>
        <v>11.27107145953727</v>
      </c>
      <c r="AI27" s="202">
        <f t="shared" ref="AI27:AI90" si="37">IF(OR(AA27&lt;=$F$18,AA27&lt;=30),SUM(AF27:AH27),)</f>
        <v>36.252786440885203</v>
      </c>
      <c r="AK27" s="71">
        <v>22</v>
      </c>
      <c r="AL27" s="33">
        <f t="shared" si="10"/>
        <v>0</v>
      </c>
      <c r="AM27" s="33">
        <f t="shared" si="11"/>
        <v>0</v>
      </c>
      <c r="AN27" s="33">
        <f t="shared" si="12"/>
        <v>0</v>
      </c>
      <c r="AO27" s="33">
        <f t="shared" si="13"/>
        <v>0</v>
      </c>
      <c r="AP27" s="33">
        <f t="shared" si="14"/>
        <v>0</v>
      </c>
      <c r="AQ27" s="197">
        <f t="shared" si="32"/>
        <v>0</v>
      </c>
      <c r="AR27" s="197">
        <f t="shared" si="32"/>
        <v>0</v>
      </c>
      <c r="AS27" s="197">
        <f t="shared" si="32"/>
        <v>0</v>
      </c>
      <c r="AT27" s="197">
        <f t="shared" si="32"/>
        <v>0</v>
      </c>
      <c r="AU27" s="33"/>
      <c r="AV27" s="33"/>
      <c r="AW27" s="33"/>
      <c r="AX27" s="33"/>
      <c r="AY27" s="167">
        <f t="shared" si="24"/>
        <v>27.089999999999996</v>
      </c>
    </row>
    <row r="28" spans="2:51">
      <c r="B28" s="40">
        <f t="shared" si="31"/>
        <v>15</v>
      </c>
      <c r="C28" s="155">
        <f>C26+5</f>
        <v>16</v>
      </c>
      <c r="D28" s="140">
        <v>66</v>
      </c>
      <c r="E28" s="144">
        <f t="shared" si="29"/>
        <v>1.3</v>
      </c>
      <c r="F28" s="42">
        <f t="shared" si="30"/>
        <v>85.8</v>
      </c>
      <c r="G28" s="51">
        <f t="shared" si="33"/>
        <v>-9.1000000000000085</v>
      </c>
      <c r="I28" s="55">
        <v>23</v>
      </c>
      <c r="J28" s="33">
        <f t="shared" si="18"/>
        <v>5</v>
      </c>
      <c r="K28" s="33">
        <f t="shared" si="19"/>
        <v>1.910565629709926</v>
      </c>
      <c r="L28" s="33">
        <f t="shared" si="20"/>
        <v>45</v>
      </c>
      <c r="M28" s="33">
        <f t="shared" si="21"/>
        <v>0</v>
      </c>
      <c r="N28" s="33">
        <f t="shared" si="0"/>
        <v>0</v>
      </c>
      <c r="O28" s="34">
        <f t="shared" si="1"/>
        <v>177.03590180507811</v>
      </c>
      <c r="P28" s="55">
        <v>23</v>
      </c>
      <c r="Q28" s="33">
        <f t="shared" si="15"/>
        <v>34.774999999999999</v>
      </c>
      <c r="R28" s="33">
        <f t="shared" si="22"/>
        <v>198.25000000000006</v>
      </c>
      <c r="S28" s="33">
        <f t="shared" si="23"/>
        <v>85.247500000000016</v>
      </c>
      <c r="T28" s="33">
        <f t="shared" si="2"/>
        <v>23.415442650786485</v>
      </c>
      <c r="U28" s="33">
        <f t="shared" si="16"/>
        <v>53.283841526846018</v>
      </c>
      <c r="V28" s="33">
        <f t="shared" si="3"/>
        <v>7.666666666666667</v>
      </c>
      <c r="W28" s="33">
        <v>0</v>
      </c>
      <c r="X28" s="33">
        <f t="shared" si="4"/>
        <v>412.73982182633307</v>
      </c>
      <c r="Y28" s="38">
        <f t="shared" si="5"/>
        <v>235.70392002125496</v>
      </c>
      <c r="AA28" s="71">
        <v>23</v>
      </c>
      <c r="AB28" s="33">
        <f t="shared" si="6"/>
        <v>0</v>
      </c>
      <c r="AC28" s="308">
        <f t="shared" si="7"/>
        <v>0</v>
      </c>
      <c r="AD28" s="101">
        <f t="shared" si="8"/>
        <v>0</v>
      </c>
      <c r="AE28" s="101">
        <f t="shared" si="9"/>
        <v>0</v>
      </c>
      <c r="AF28" s="197">
        <f t="shared" si="34"/>
        <v>0</v>
      </c>
      <c r="AG28" s="197">
        <f t="shared" si="35"/>
        <v>24.298588671451679</v>
      </c>
      <c r="AH28" s="197">
        <f t="shared" si="36"/>
        <v>7.9698510602769614</v>
      </c>
      <c r="AI28" s="202">
        <f t="shared" si="37"/>
        <v>32.268439731728641</v>
      </c>
      <c r="AK28" s="71">
        <v>23</v>
      </c>
      <c r="AL28" s="33">
        <f t="shared" si="10"/>
        <v>0</v>
      </c>
      <c r="AM28" s="33">
        <f t="shared" si="11"/>
        <v>0</v>
      </c>
      <c r="AN28" s="33">
        <f t="shared" si="12"/>
        <v>0</v>
      </c>
      <c r="AO28" s="33">
        <f t="shared" si="13"/>
        <v>0</v>
      </c>
      <c r="AP28" s="33">
        <f t="shared" si="14"/>
        <v>0</v>
      </c>
      <c r="AQ28" s="197">
        <f t="shared" si="32"/>
        <v>0</v>
      </c>
      <c r="AR28" s="197">
        <f t="shared" si="32"/>
        <v>0</v>
      </c>
      <c r="AS28" s="197">
        <f t="shared" si="32"/>
        <v>0</v>
      </c>
      <c r="AT28" s="197">
        <f t="shared" si="32"/>
        <v>0</v>
      </c>
      <c r="AU28" s="33"/>
      <c r="AV28" s="33"/>
      <c r="AW28" s="33"/>
      <c r="AX28" s="33"/>
      <c r="AY28" s="167">
        <f t="shared" si="24"/>
        <v>27.089999999999996</v>
      </c>
    </row>
    <row r="29" spans="2:51">
      <c r="B29" s="40">
        <f t="shared" si="31"/>
        <v>16</v>
      </c>
      <c r="C29" s="155">
        <f t="shared" ref="C29:C54" si="38">C27+5</f>
        <v>20</v>
      </c>
      <c r="D29" s="140">
        <f>D30+56</f>
        <v>155</v>
      </c>
      <c r="E29" s="144">
        <f t="shared" si="29"/>
        <v>1.3</v>
      </c>
      <c r="F29" s="42">
        <f t="shared" si="30"/>
        <v>201.5</v>
      </c>
      <c r="G29" s="51">
        <f t="shared" si="33"/>
        <v>28.925000000000001</v>
      </c>
      <c r="I29" s="55">
        <v>24</v>
      </c>
      <c r="J29" s="33">
        <f t="shared" si="18"/>
        <v>5</v>
      </c>
      <c r="K29" s="33">
        <f t="shared" si="19"/>
        <v>1.910565629709926</v>
      </c>
      <c r="L29" s="33">
        <f t="shared" si="20"/>
        <v>45</v>
      </c>
      <c r="M29" s="33">
        <f t="shared" si="21"/>
        <v>0</v>
      </c>
      <c r="N29" s="33">
        <f t="shared" si="0"/>
        <v>0</v>
      </c>
      <c r="O29" s="34">
        <f t="shared" si="1"/>
        <v>177.03590180507811</v>
      </c>
      <c r="P29" s="55">
        <v>24</v>
      </c>
      <c r="Q29" s="33">
        <f t="shared" si="15"/>
        <v>34.774999999999999</v>
      </c>
      <c r="R29" s="33">
        <f t="shared" si="22"/>
        <v>233.02500000000006</v>
      </c>
      <c r="S29" s="33">
        <f t="shared" si="23"/>
        <v>100.20075000000003</v>
      </c>
      <c r="T29" s="33">
        <f t="shared" si="2"/>
        <v>27.009817883933174</v>
      </c>
      <c r="U29" s="33">
        <f t="shared" si="16"/>
        <v>53.573829504623582</v>
      </c>
      <c r="V29" s="33">
        <f t="shared" si="3"/>
        <v>8</v>
      </c>
      <c r="W29" s="33">
        <v>0</v>
      </c>
      <c r="X29" s="33">
        <f t="shared" si="4"/>
        <v>447.32911391480349</v>
      </c>
      <c r="Y29" s="38">
        <f t="shared" si="5"/>
        <v>270.29321210972535</v>
      </c>
      <c r="AA29" s="71">
        <v>24</v>
      </c>
      <c r="AB29" s="33">
        <f t="shared" si="6"/>
        <v>0</v>
      </c>
      <c r="AC29" s="308">
        <f t="shared" si="7"/>
        <v>0</v>
      </c>
      <c r="AD29" s="101">
        <f t="shared" si="8"/>
        <v>0</v>
      </c>
      <c r="AE29" s="101">
        <f t="shared" si="9"/>
        <v>0</v>
      </c>
      <c r="AF29" s="197">
        <f t="shared" si="34"/>
        <v>0</v>
      </c>
      <c r="AG29" s="197">
        <f t="shared" si="35"/>
        <v>23.634142486423588</v>
      </c>
      <c r="AH29" s="197">
        <f t="shared" si="36"/>
        <v>5.6355357297686357</v>
      </c>
      <c r="AI29" s="202">
        <f t="shared" si="37"/>
        <v>29.269678216192226</v>
      </c>
      <c r="AK29" s="71">
        <v>24</v>
      </c>
      <c r="AL29" s="33">
        <f t="shared" si="10"/>
        <v>0</v>
      </c>
      <c r="AM29" s="33">
        <f t="shared" si="11"/>
        <v>0</v>
      </c>
      <c r="AN29" s="33">
        <f t="shared" si="12"/>
        <v>0</v>
      </c>
      <c r="AO29" s="33">
        <f t="shared" si="13"/>
        <v>0</v>
      </c>
      <c r="AP29" s="33">
        <f t="shared" si="14"/>
        <v>0</v>
      </c>
      <c r="AQ29" s="197">
        <f t="shared" si="32"/>
        <v>0</v>
      </c>
      <c r="AR29" s="197">
        <f t="shared" si="32"/>
        <v>0</v>
      </c>
      <c r="AS29" s="197">
        <f t="shared" si="32"/>
        <v>0</v>
      </c>
      <c r="AT29" s="197">
        <f t="shared" si="32"/>
        <v>0</v>
      </c>
      <c r="AU29" s="33"/>
      <c r="AV29" s="33"/>
      <c r="AW29" s="33"/>
      <c r="AX29" s="33"/>
      <c r="AY29" s="167">
        <f t="shared" si="24"/>
        <v>27.089999999999996</v>
      </c>
    </row>
    <row r="30" spans="2:51">
      <c r="B30" s="40">
        <f t="shared" si="31"/>
        <v>20</v>
      </c>
      <c r="C30" s="155">
        <f t="shared" si="38"/>
        <v>21</v>
      </c>
      <c r="D30" s="140">
        <v>99</v>
      </c>
      <c r="E30" s="144">
        <f t="shared" si="29"/>
        <v>1.3</v>
      </c>
      <c r="F30" s="42">
        <f t="shared" si="30"/>
        <v>128.70000000000002</v>
      </c>
      <c r="G30" s="51">
        <f t="shared" si="33"/>
        <v>-72.799999999999983</v>
      </c>
      <c r="I30" s="55">
        <v>25</v>
      </c>
      <c r="J30" s="33">
        <f t="shared" si="18"/>
        <v>5</v>
      </c>
      <c r="K30" s="33">
        <f t="shared" si="19"/>
        <v>1.910565629709926</v>
      </c>
      <c r="L30" s="33">
        <f t="shared" si="20"/>
        <v>45</v>
      </c>
      <c r="M30" s="33">
        <f t="shared" si="21"/>
        <v>0</v>
      </c>
      <c r="N30" s="33">
        <f t="shared" si="0"/>
        <v>0</v>
      </c>
      <c r="O30" s="34">
        <f t="shared" si="1"/>
        <v>177.03590180507811</v>
      </c>
      <c r="P30" s="55">
        <v>25</v>
      </c>
      <c r="Q30" s="33">
        <f t="shared" si="15"/>
        <v>34.774999999999999</v>
      </c>
      <c r="R30" s="33">
        <f t="shared" si="22"/>
        <v>267.80000000000007</v>
      </c>
      <c r="S30" s="33">
        <f t="shared" si="23"/>
        <v>115.15400000000002</v>
      </c>
      <c r="T30" s="33">
        <f t="shared" si="2"/>
        <v>30.542052140818949</v>
      </c>
      <c r="U30" s="33">
        <f t="shared" si="16"/>
        <v>53.858786839302695</v>
      </c>
      <c r="V30" s="33">
        <f t="shared" si="3"/>
        <v>8.3333333333333339</v>
      </c>
      <c r="W30" s="33">
        <v>0</v>
      </c>
      <c r="X30" s="33">
        <f t="shared" si="4"/>
        <v>481.79173144492512</v>
      </c>
      <c r="Y30" s="38">
        <f t="shared" si="5"/>
        <v>304.75582963984698</v>
      </c>
      <c r="AA30" s="71">
        <v>25</v>
      </c>
      <c r="AB30" s="33">
        <f t="shared" si="6"/>
        <v>0</v>
      </c>
      <c r="AC30" s="308">
        <f>IF(AA30&lt;=$F$18,IFERROR(VLOOKUP($AA30,$B$82:$G$94,3,FALSE),0),)*50%</f>
        <v>0</v>
      </c>
      <c r="AD30" s="101">
        <f t="shared" si="8"/>
        <v>0</v>
      </c>
      <c r="AE30" s="101">
        <f t="shared" si="9"/>
        <v>0</v>
      </c>
      <c r="AF30" s="197">
        <f t="shared" si="34"/>
        <v>0</v>
      </c>
      <c r="AG30" s="197">
        <f t="shared" si="35"/>
        <v>22.987865617266799</v>
      </c>
      <c r="AH30" s="197">
        <f t="shared" si="36"/>
        <v>3.9849255301384812</v>
      </c>
      <c r="AI30" s="202">
        <f t="shared" si="37"/>
        <v>26.972791147405282</v>
      </c>
      <c r="AK30" s="71">
        <v>25</v>
      </c>
      <c r="AL30" s="33">
        <f t="shared" si="10"/>
        <v>0</v>
      </c>
      <c r="AM30" s="33">
        <f t="shared" si="11"/>
        <v>0</v>
      </c>
      <c r="AN30" s="33">
        <f t="shared" si="12"/>
        <v>0</v>
      </c>
      <c r="AO30" s="33">
        <f t="shared" si="13"/>
        <v>0</v>
      </c>
      <c r="AP30" s="33">
        <f t="shared" si="14"/>
        <v>0</v>
      </c>
      <c r="AQ30" s="197">
        <f t="shared" si="32"/>
        <v>0</v>
      </c>
      <c r="AR30" s="197">
        <f t="shared" si="32"/>
        <v>0</v>
      </c>
      <c r="AS30" s="197">
        <f t="shared" si="32"/>
        <v>0</v>
      </c>
      <c r="AT30" s="197">
        <f t="shared" si="32"/>
        <v>0</v>
      </c>
      <c r="AU30" s="33"/>
      <c r="AV30" s="33"/>
      <c r="AW30" s="33"/>
      <c r="AX30" s="33"/>
      <c r="AY30" s="167">
        <f t="shared" si="24"/>
        <v>27.089999999999996</v>
      </c>
    </row>
    <row r="31" spans="2:51">
      <c r="B31" s="40">
        <f t="shared" si="31"/>
        <v>21</v>
      </c>
      <c r="C31" s="155">
        <f t="shared" si="38"/>
        <v>25</v>
      </c>
      <c r="D31" s="140">
        <f>D32+56</f>
        <v>206</v>
      </c>
      <c r="E31" s="144">
        <f t="shared" si="29"/>
        <v>1.3</v>
      </c>
      <c r="F31" s="42">
        <f t="shared" si="30"/>
        <v>267.8</v>
      </c>
      <c r="G31" s="51">
        <f t="shared" si="33"/>
        <v>34.774999999999999</v>
      </c>
      <c r="I31" s="55">
        <v>26</v>
      </c>
      <c r="J31" s="33">
        <f t="shared" si="18"/>
        <v>5</v>
      </c>
      <c r="K31" s="33">
        <f t="shared" si="19"/>
        <v>1.910565629709926</v>
      </c>
      <c r="L31" s="33">
        <f t="shared" si="20"/>
        <v>45</v>
      </c>
      <c r="M31" s="33">
        <f t="shared" si="21"/>
        <v>0</v>
      </c>
      <c r="N31" s="33">
        <f t="shared" si="0"/>
        <v>0</v>
      </c>
      <c r="O31" s="34">
        <f t="shared" si="1"/>
        <v>177.03590180507811</v>
      </c>
      <c r="P31" s="55">
        <v>26</v>
      </c>
      <c r="Q31" s="33">
        <f t="shared" si="15"/>
        <v>-72.800000000000011</v>
      </c>
      <c r="R31" s="33">
        <f t="shared" si="22"/>
        <v>195.00000000000006</v>
      </c>
      <c r="S31" s="33">
        <f t="shared" si="23"/>
        <v>83.850000000000023</v>
      </c>
      <c r="T31" s="33">
        <f t="shared" si="2"/>
        <v>23.075938604999987</v>
      </c>
      <c r="U31" s="33">
        <f t="shared" si="16"/>
        <v>54.138800801294295</v>
      </c>
      <c r="V31" s="33">
        <f t="shared" si="3"/>
        <v>8.6666666666666661</v>
      </c>
      <c r="W31" s="33">
        <v>0</v>
      </c>
      <c r="X31" s="33">
        <f t="shared" si="4"/>
        <v>416.51605711956523</v>
      </c>
      <c r="Y31" s="38">
        <f t="shared" si="5"/>
        <v>239.48015531448712</v>
      </c>
      <c r="AA31" s="71">
        <v>26</v>
      </c>
      <c r="AB31" s="33">
        <f t="shared" si="6"/>
        <v>56</v>
      </c>
      <c r="AC31" s="308">
        <f t="shared" ref="AC31:AC94" si="39">IF(AA31&lt;=$F$18,IFERROR(VLOOKUP($AA31,$B$82:$G$94,3,FALSE),0),)*50%</f>
        <v>0</v>
      </c>
      <c r="AD31" s="101">
        <f t="shared" si="8"/>
        <v>0.56000000000000005</v>
      </c>
      <c r="AE31" s="101">
        <f t="shared" si="9"/>
        <v>0.44</v>
      </c>
      <c r="AF31" s="197">
        <f t="shared" si="34"/>
        <v>0</v>
      </c>
      <c r="AG31" s="197">
        <f t="shared" si="35"/>
        <v>45.522690733019957</v>
      </c>
      <c r="AH31" s="197">
        <f t="shared" si="36"/>
        <v>18.412863795262453</v>
      </c>
      <c r="AI31" s="202">
        <f t="shared" si="37"/>
        <v>63.93555452828241</v>
      </c>
      <c r="AK31" s="71">
        <v>26</v>
      </c>
      <c r="AL31" s="33">
        <f t="shared" si="10"/>
        <v>56</v>
      </c>
      <c r="AM31" s="33">
        <f t="shared" si="11"/>
        <v>0</v>
      </c>
      <c r="AN31" s="33">
        <f t="shared" si="12"/>
        <v>0.56000000000000005</v>
      </c>
      <c r="AO31" s="33">
        <f t="shared" si="13"/>
        <v>0.44</v>
      </c>
      <c r="AP31" s="33">
        <f t="shared" si="14"/>
        <v>0</v>
      </c>
      <c r="AQ31" s="197">
        <f t="shared" si="32"/>
        <v>0</v>
      </c>
      <c r="AR31" s="197">
        <f t="shared" si="32"/>
        <v>31.360000000000003</v>
      </c>
      <c r="AS31" s="197">
        <f t="shared" si="32"/>
        <v>24.64</v>
      </c>
      <c r="AT31" s="197">
        <f t="shared" si="32"/>
        <v>0</v>
      </c>
      <c r="AU31" s="33"/>
      <c r="AV31" s="33"/>
      <c r="AW31" s="33"/>
      <c r="AX31" s="33"/>
      <c r="AY31" s="167">
        <f t="shared" si="24"/>
        <v>51.169999999999995</v>
      </c>
    </row>
    <row r="32" spans="2:51">
      <c r="B32" s="40">
        <f t="shared" si="31"/>
        <v>25</v>
      </c>
      <c r="C32" s="155">
        <f t="shared" si="38"/>
        <v>26</v>
      </c>
      <c r="D32" s="140">
        <v>150</v>
      </c>
      <c r="E32" s="144">
        <f t="shared" si="29"/>
        <v>1.3</v>
      </c>
      <c r="F32" s="42">
        <f t="shared" si="30"/>
        <v>195</v>
      </c>
      <c r="G32" s="51">
        <f t="shared" si="33"/>
        <v>-72.800000000000011</v>
      </c>
      <c r="I32" s="55">
        <v>27</v>
      </c>
      <c r="J32" s="33">
        <f t="shared" si="18"/>
        <v>5</v>
      </c>
      <c r="K32" s="33">
        <f t="shared" si="19"/>
        <v>1.910565629709926</v>
      </c>
      <c r="L32" s="33">
        <f t="shared" si="20"/>
        <v>45</v>
      </c>
      <c r="M32" s="33">
        <f t="shared" si="21"/>
        <v>0</v>
      </c>
      <c r="N32" s="33">
        <f t="shared" si="0"/>
        <v>0</v>
      </c>
      <c r="O32" s="34">
        <f t="shared" si="1"/>
        <v>177.03590180507811</v>
      </c>
      <c r="P32" s="55">
        <v>27</v>
      </c>
      <c r="Q32" s="33">
        <f t="shared" si="15"/>
        <v>37.375</v>
      </c>
      <c r="R32" s="33">
        <f t="shared" si="22"/>
        <v>232.37500000000006</v>
      </c>
      <c r="S32" s="33">
        <f t="shared" si="23"/>
        <v>99.921250000000029</v>
      </c>
      <c r="T32" s="33">
        <f t="shared" si="2"/>
        <v>26.943235586666674</v>
      </c>
      <c r="U32" s="33">
        <f t="shared" si="16"/>
        <v>54.413957147062774</v>
      </c>
      <c r="V32" s="33">
        <f t="shared" si="3"/>
        <v>9</v>
      </c>
      <c r="W32" s="33">
        <v>0</v>
      </c>
      <c r="X32" s="33">
        <f t="shared" si="4"/>
        <v>453.47348860267465</v>
      </c>
      <c r="Y32" s="38">
        <f t="shared" si="5"/>
        <v>276.43758679759651</v>
      </c>
      <c r="AA32" s="71">
        <v>27</v>
      </c>
      <c r="AB32" s="33">
        <f t="shared" si="6"/>
        <v>0</v>
      </c>
      <c r="AC32" s="308">
        <f t="shared" si="39"/>
        <v>0</v>
      </c>
      <c r="AD32" s="101">
        <f t="shared" si="8"/>
        <v>0</v>
      </c>
      <c r="AE32" s="101">
        <f t="shared" si="9"/>
        <v>0</v>
      </c>
      <c r="AF32" s="197">
        <f t="shared" si="34"/>
        <v>0</v>
      </c>
      <c r="AG32" s="197">
        <f t="shared" si="35"/>
        <v>44.277870360991265</v>
      </c>
      <c r="AH32" s="197">
        <f t="shared" si="36"/>
        <v>13.019860850694352</v>
      </c>
      <c r="AI32" s="202">
        <f t="shared" si="37"/>
        <v>57.297731211685615</v>
      </c>
      <c r="AK32" s="71">
        <v>27</v>
      </c>
      <c r="AL32" s="33">
        <f t="shared" si="10"/>
        <v>0</v>
      </c>
      <c r="AM32" s="33">
        <f t="shared" si="11"/>
        <v>0</v>
      </c>
      <c r="AN32" s="33">
        <f t="shared" si="12"/>
        <v>0</v>
      </c>
      <c r="AO32" s="33">
        <f t="shared" si="13"/>
        <v>0</v>
      </c>
      <c r="AP32" s="33">
        <f t="shared" si="14"/>
        <v>0</v>
      </c>
      <c r="AQ32" s="197">
        <f t="shared" si="32"/>
        <v>0</v>
      </c>
      <c r="AR32" s="197">
        <f t="shared" si="32"/>
        <v>0</v>
      </c>
      <c r="AS32" s="197">
        <f t="shared" si="32"/>
        <v>0</v>
      </c>
      <c r="AT32" s="197">
        <f t="shared" si="32"/>
        <v>0</v>
      </c>
      <c r="AU32" s="33"/>
      <c r="AV32" s="33"/>
      <c r="AW32" s="33"/>
      <c r="AX32" s="33"/>
      <c r="AY32" s="167">
        <f t="shared" si="24"/>
        <v>51.169999999999995</v>
      </c>
    </row>
    <row r="33" spans="2:51">
      <c r="B33" s="40">
        <f t="shared" si="31"/>
        <v>26</v>
      </c>
      <c r="C33" s="155">
        <f t="shared" si="38"/>
        <v>30</v>
      </c>
      <c r="D33" s="140">
        <f>D34+56</f>
        <v>265</v>
      </c>
      <c r="E33" s="144">
        <f t="shared" si="29"/>
        <v>1.3</v>
      </c>
      <c r="F33" s="42">
        <f t="shared" si="30"/>
        <v>344.5</v>
      </c>
      <c r="G33" s="51">
        <f t="shared" si="33"/>
        <v>37.375</v>
      </c>
      <c r="I33" s="55">
        <v>28</v>
      </c>
      <c r="J33" s="33">
        <f t="shared" si="18"/>
        <v>5</v>
      </c>
      <c r="K33" s="33">
        <f t="shared" si="19"/>
        <v>1.910565629709926</v>
      </c>
      <c r="L33" s="33">
        <f t="shared" si="20"/>
        <v>45</v>
      </c>
      <c r="M33" s="33">
        <f t="shared" si="21"/>
        <v>0</v>
      </c>
      <c r="N33" s="33">
        <f t="shared" si="0"/>
        <v>0</v>
      </c>
      <c r="O33" s="34">
        <f t="shared" si="1"/>
        <v>177.03590180507811</v>
      </c>
      <c r="P33" s="55">
        <v>28</v>
      </c>
      <c r="Q33" s="33">
        <f t="shared" si="15"/>
        <v>37.375</v>
      </c>
      <c r="R33" s="33">
        <f t="shared" si="22"/>
        <v>269.75000000000006</v>
      </c>
      <c r="S33" s="33">
        <f t="shared" si="23"/>
        <v>115.99250000000002</v>
      </c>
      <c r="T33" s="33">
        <f t="shared" si="2"/>
        <v>30.738476059051258</v>
      </c>
      <c r="U33" s="33">
        <f t="shared" si="16"/>
        <v>54.684340145389598</v>
      </c>
      <c r="V33" s="33">
        <f t="shared" si="3"/>
        <v>9.3333333333333339</v>
      </c>
      <c r="W33" s="33">
        <v>0</v>
      </c>
      <c r="X33" s="33">
        <f t="shared" si="4"/>
        <v>490.28791939149841</v>
      </c>
      <c r="Y33" s="38">
        <f t="shared" si="5"/>
        <v>313.25201758642027</v>
      </c>
      <c r="AA33" s="71">
        <v>28</v>
      </c>
      <c r="AB33" s="33">
        <f t="shared" si="6"/>
        <v>0</v>
      </c>
      <c r="AC33" s="308">
        <f t="shared" si="39"/>
        <v>0</v>
      </c>
      <c r="AD33" s="101">
        <f t="shared" si="8"/>
        <v>0</v>
      </c>
      <c r="AE33" s="101">
        <f t="shared" si="9"/>
        <v>0</v>
      </c>
      <c r="AF33" s="197">
        <f t="shared" si="34"/>
        <v>0</v>
      </c>
      <c r="AG33" s="197">
        <f t="shared" si="35"/>
        <v>43.067089667497953</v>
      </c>
      <c r="AH33" s="197">
        <f t="shared" si="36"/>
        <v>9.2064318976312283</v>
      </c>
      <c r="AI33" s="202">
        <f t="shared" si="37"/>
        <v>52.27352156512918</v>
      </c>
      <c r="AK33" s="71">
        <v>28</v>
      </c>
      <c r="AL33" s="33">
        <f t="shared" si="10"/>
        <v>0</v>
      </c>
      <c r="AM33" s="33">
        <f t="shared" si="11"/>
        <v>0</v>
      </c>
      <c r="AN33" s="33">
        <f t="shared" si="12"/>
        <v>0</v>
      </c>
      <c r="AO33" s="33">
        <f t="shared" si="13"/>
        <v>0</v>
      </c>
      <c r="AP33" s="33">
        <f t="shared" si="14"/>
        <v>0</v>
      </c>
      <c r="AQ33" s="197">
        <f t="shared" si="32"/>
        <v>0</v>
      </c>
      <c r="AR33" s="197">
        <f t="shared" si="32"/>
        <v>0</v>
      </c>
      <c r="AS33" s="197">
        <f t="shared" si="32"/>
        <v>0</v>
      </c>
      <c r="AT33" s="197">
        <f t="shared" si="32"/>
        <v>0</v>
      </c>
      <c r="AU33" s="33"/>
      <c r="AV33" s="33"/>
      <c r="AW33" s="33"/>
      <c r="AX33" s="33"/>
      <c r="AY33" s="167">
        <f t="shared" si="24"/>
        <v>51.169999999999995</v>
      </c>
    </row>
    <row r="34" spans="2:51" ht="16" thickBot="1">
      <c r="B34" s="40">
        <f t="shared" si="31"/>
        <v>30</v>
      </c>
      <c r="C34" s="155">
        <f t="shared" si="38"/>
        <v>31</v>
      </c>
      <c r="D34" s="140">
        <v>209</v>
      </c>
      <c r="E34" s="144">
        <f t="shared" si="29"/>
        <v>1.3</v>
      </c>
      <c r="F34" s="42">
        <f t="shared" si="30"/>
        <v>271.7</v>
      </c>
      <c r="G34" s="51">
        <f t="shared" si="33"/>
        <v>-72.800000000000011</v>
      </c>
      <c r="I34" s="55">
        <v>29</v>
      </c>
      <c r="J34" s="33">
        <f t="shared" si="18"/>
        <v>5</v>
      </c>
      <c r="K34" s="33">
        <f t="shared" si="19"/>
        <v>1.910565629709926</v>
      </c>
      <c r="L34" s="33">
        <f t="shared" si="20"/>
        <v>45</v>
      </c>
      <c r="M34" s="33">
        <f t="shared" si="21"/>
        <v>0</v>
      </c>
      <c r="N34" s="33">
        <f t="shared" si="0"/>
        <v>0</v>
      </c>
      <c r="O34" s="34">
        <f t="shared" si="1"/>
        <v>177.03590180507811</v>
      </c>
      <c r="P34" s="55">
        <v>29</v>
      </c>
      <c r="Q34" s="35">
        <f t="shared" si="15"/>
        <v>37.375</v>
      </c>
      <c r="R34" s="33">
        <f t="shared" si="22"/>
        <v>307.12500000000006</v>
      </c>
      <c r="S34" s="33">
        <f t="shared" si="23"/>
        <v>132.06375000000003</v>
      </c>
      <c r="T34" s="33">
        <f t="shared" si="2"/>
        <v>34.472793351378328</v>
      </c>
      <c r="U34" s="33">
        <f t="shared" si="16"/>
        <v>54.950032603181285</v>
      </c>
      <c r="V34" s="33">
        <f t="shared" si="3"/>
        <v>9.6666666666666661</v>
      </c>
      <c r="W34" s="33">
        <v>0</v>
      </c>
      <c r="X34" s="33">
        <f t="shared" si="4"/>
        <v>526.97904365975967</v>
      </c>
      <c r="Y34" s="38">
        <f t="shared" si="5"/>
        <v>349.94314185468158</v>
      </c>
      <c r="AA34" s="71">
        <v>29</v>
      </c>
      <c r="AB34" s="146">
        <f t="shared" si="6"/>
        <v>0</v>
      </c>
      <c r="AC34" s="308">
        <f t="shared" si="39"/>
        <v>0</v>
      </c>
      <c r="AD34" s="102">
        <f t="shared" si="8"/>
        <v>0</v>
      </c>
      <c r="AE34" s="102">
        <f t="shared" si="9"/>
        <v>0</v>
      </c>
      <c r="AF34" s="199">
        <f t="shared" si="34"/>
        <v>0</v>
      </c>
      <c r="AG34" s="199">
        <f t="shared" si="35"/>
        <v>41.88941783574041</v>
      </c>
      <c r="AH34" s="197">
        <f t="shared" si="36"/>
        <v>6.5099304253471768</v>
      </c>
      <c r="AI34" s="202">
        <f t="shared" si="37"/>
        <v>48.399348261087589</v>
      </c>
      <c r="AK34" s="71">
        <v>29</v>
      </c>
      <c r="AL34" s="146">
        <f t="shared" si="10"/>
        <v>0</v>
      </c>
      <c r="AM34" s="35">
        <f t="shared" si="11"/>
        <v>0</v>
      </c>
      <c r="AN34" s="35">
        <f t="shared" si="12"/>
        <v>0</v>
      </c>
      <c r="AO34" s="35">
        <f t="shared" si="13"/>
        <v>0</v>
      </c>
      <c r="AP34" s="35">
        <f t="shared" si="14"/>
        <v>0</v>
      </c>
      <c r="AQ34" s="197">
        <f t="shared" si="32"/>
        <v>0</v>
      </c>
      <c r="AR34" s="197">
        <f t="shared" si="32"/>
        <v>0</v>
      </c>
      <c r="AS34" s="197">
        <f t="shared" si="32"/>
        <v>0</v>
      </c>
      <c r="AT34" s="197">
        <f t="shared" si="32"/>
        <v>0</v>
      </c>
      <c r="AU34" s="33"/>
      <c r="AV34" s="33"/>
      <c r="AW34" s="33"/>
      <c r="AX34" s="33"/>
      <c r="AY34" s="167">
        <f t="shared" si="24"/>
        <v>51.169999999999995</v>
      </c>
    </row>
    <row r="35" spans="2:51" ht="16" thickBot="1">
      <c r="B35" s="40">
        <f t="shared" si="31"/>
        <v>31</v>
      </c>
      <c r="C35" s="155">
        <f t="shared" si="38"/>
        <v>35</v>
      </c>
      <c r="D35" s="140">
        <f>D36+56</f>
        <v>322</v>
      </c>
      <c r="E35" s="144">
        <f t="shared" si="29"/>
        <v>1.3</v>
      </c>
      <c r="F35" s="42">
        <f t="shared" si="30"/>
        <v>418.6</v>
      </c>
      <c r="G35" s="51">
        <f t="shared" si="33"/>
        <v>36.725000000000009</v>
      </c>
      <c r="I35" s="87">
        <v>30</v>
      </c>
      <c r="J35" s="162">
        <f>IF($I35&lt;=$F$10,IF(AND(D8=B100,F12=C194),($F$11*$F$13+J34*50%),$F$11*$F$13+J34),)</f>
        <v>5</v>
      </c>
      <c r="K35" s="53">
        <f t="shared" si="19"/>
        <v>1.910565629709926</v>
      </c>
      <c r="L35" s="53">
        <f t="shared" si="20"/>
        <v>45</v>
      </c>
      <c r="M35" s="53">
        <f t="shared" si="21"/>
        <v>0</v>
      </c>
      <c r="N35" s="54">
        <f t="shared" si="0"/>
        <v>0</v>
      </c>
      <c r="O35" s="69">
        <f t="shared" si="1"/>
        <v>177.03590180507811</v>
      </c>
      <c r="P35" s="87">
        <v>30</v>
      </c>
      <c r="Q35" s="53">
        <f t="shared" si="15"/>
        <v>37.375</v>
      </c>
      <c r="R35" s="54">
        <f t="shared" si="22"/>
        <v>344.50000000000006</v>
      </c>
      <c r="S35" s="53">
        <f t="shared" si="23"/>
        <v>148.13500000000002</v>
      </c>
      <c r="T35" s="54">
        <f t="shared" si="2"/>
        <v>38.154449559758739</v>
      </c>
      <c r="U35" s="54">
        <f t="shared" si="16"/>
        <v>55.211115890829625</v>
      </c>
      <c r="V35" s="53">
        <f t="shared" si="3"/>
        <v>10</v>
      </c>
      <c r="W35" s="54">
        <v>0</v>
      </c>
      <c r="X35" s="69">
        <f t="shared" si="4"/>
        <v>563.56154958295508</v>
      </c>
      <c r="Y35" s="65">
        <f t="shared" si="5"/>
        <v>386.525647777877</v>
      </c>
      <c r="AA35" s="73">
        <v>30</v>
      </c>
      <c r="AB35" s="146">
        <f t="shared" si="6"/>
        <v>0</v>
      </c>
      <c r="AC35" s="308">
        <f t="shared" si="39"/>
        <v>0</v>
      </c>
      <c r="AD35" s="102">
        <f t="shared" si="8"/>
        <v>0</v>
      </c>
      <c r="AE35" s="102">
        <f t="shared" si="9"/>
        <v>0</v>
      </c>
      <c r="AF35" s="203">
        <f t="shared" si="34"/>
        <v>0</v>
      </c>
      <c r="AG35" s="198">
        <f t="shared" si="35"/>
        <v>40.743949502153342</v>
      </c>
      <c r="AH35" s="204">
        <f t="shared" si="36"/>
        <v>4.603215948815615</v>
      </c>
      <c r="AI35" s="205">
        <f t="shared" si="37"/>
        <v>45.347165450968959</v>
      </c>
      <c r="AK35" s="73">
        <v>30</v>
      </c>
      <c r="AL35" s="146">
        <f t="shared" si="10"/>
        <v>0</v>
      </c>
      <c r="AM35" s="35">
        <f t="shared" si="11"/>
        <v>0</v>
      </c>
      <c r="AN35" s="35">
        <f t="shared" si="12"/>
        <v>0</v>
      </c>
      <c r="AO35" s="35">
        <f t="shared" si="13"/>
        <v>0</v>
      </c>
      <c r="AP35" s="35">
        <f t="shared" si="14"/>
        <v>0</v>
      </c>
      <c r="AQ35" s="198">
        <f t="shared" si="32"/>
        <v>0</v>
      </c>
      <c r="AR35" s="198">
        <f t="shared" si="32"/>
        <v>0</v>
      </c>
      <c r="AS35" s="198">
        <f t="shared" si="32"/>
        <v>0</v>
      </c>
      <c r="AT35" s="198">
        <f t="shared" si="32"/>
        <v>0</v>
      </c>
      <c r="AU35" s="53"/>
      <c r="AV35" s="53"/>
      <c r="AW35" s="53"/>
      <c r="AX35" s="53"/>
      <c r="AY35" s="168">
        <f t="shared" si="24"/>
        <v>51.169999999999995</v>
      </c>
    </row>
    <row r="36" spans="2:51">
      <c r="B36" s="40">
        <f t="shared" si="31"/>
        <v>35</v>
      </c>
      <c r="C36" s="155">
        <f t="shared" si="38"/>
        <v>36</v>
      </c>
      <c r="D36" s="140">
        <v>266</v>
      </c>
      <c r="E36" s="144">
        <f t="shared" si="29"/>
        <v>1.3</v>
      </c>
      <c r="F36" s="42">
        <f t="shared" si="30"/>
        <v>345.8</v>
      </c>
      <c r="G36" s="51">
        <f t="shared" si="33"/>
        <v>-72.800000000000011</v>
      </c>
      <c r="I36" s="55">
        <v>31</v>
      </c>
      <c r="J36" s="33">
        <f t="shared" si="18"/>
        <v>5</v>
      </c>
      <c r="K36" s="33">
        <f t="shared" si="19"/>
        <v>1.910565629709926</v>
      </c>
      <c r="L36" s="33">
        <f t="shared" si="20"/>
        <v>45</v>
      </c>
      <c r="M36" s="33">
        <f t="shared" si="21"/>
        <v>0</v>
      </c>
      <c r="N36" s="33">
        <f t="shared" si="0"/>
        <v>0</v>
      </c>
      <c r="O36" s="34">
        <f t="shared" si="1"/>
        <v>177.03590180507811</v>
      </c>
      <c r="P36" s="55">
        <v>31</v>
      </c>
      <c r="Q36" s="33">
        <f t="shared" si="15"/>
        <v>-72.800000000000011</v>
      </c>
      <c r="R36" s="33">
        <f t="shared" si="22"/>
        <v>271.70000000000005</v>
      </c>
      <c r="S36" s="33">
        <f t="shared" si="23"/>
        <v>116.83100000000002</v>
      </c>
      <c r="T36" s="33">
        <f t="shared" si="2"/>
        <v>30.934734765201398</v>
      </c>
      <c r="U36" s="33">
        <f t="shared" si="16"/>
        <v>55.467669967132053</v>
      </c>
      <c r="V36" s="33">
        <f t="shared" si="3"/>
        <v>10</v>
      </c>
      <c r="W36" s="33">
        <v>0</v>
      </c>
      <c r="X36" s="33">
        <f t="shared" si="4"/>
        <v>497.40677792887664</v>
      </c>
      <c r="Y36" s="38">
        <f t="shared" si="5"/>
        <v>320.37087612379855</v>
      </c>
      <c r="AA36" s="71">
        <v>31</v>
      </c>
      <c r="AB36" s="33">
        <f t="shared" si="6"/>
        <v>56</v>
      </c>
      <c r="AC36" s="308">
        <f t="shared" si="39"/>
        <v>0.1</v>
      </c>
      <c r="AD36" s="101">
        <f t="shared" si="8"/>
        <v>0.44800000000000006</v>
      </c>
      <c r="AE36" s="101">
        <f t="shared" si="9"/>
        <v>0.35200000000000004</v>
      </c>
      <c r="AF36" s="197">
        <f t="shared" si="34"/>
        <v>4.1526773713079361</v>
      </c>
      <c r="AG36" s="197">
        <f t="shared" si="35"/>
        <v>58.16054766833507</v>
      </c>
      <c r="AH36" s="197">
        <f t="shared" si="36"/>
        <v>15.7310419569761</v>
      </c>
      <c r="AI36" s="202">
        <f t="shared" si="37"/>
        <v>78.044266996619115</v>
      </c>
      <c r="AK36" s="71">
        <v>31</v>
      </c>
      <c r="AL36" s="33"/>
      <c r="AM36" s="33"/>
      <c r="AN36" s="33"/>
      <c r="AO36" s="33"/>
      <c r="AP36" s="33"/>
      <c r="AQ36" s="197"/>
      <c r="AR36" s="197"/>
      <c r="AS36" s="197"/>
      <c r="AT36" s="197"/>
      <c r="AU36" s="33"/>
      <c r="AV36" s="33"/>
      <c r="AW36" s="33"/>
      <c r="AX36" s="33"/>
      <c r="AY36" s="76"/>
    </row>
    <row r="37" spans="2:51">
      <c r="B37" s="40">
        <f t="shared" si="31"/>
        <v>36</v>
      </c>
      <c r="C37" s="155">
        <f t="shared" si="38"/>
        <v>40</v>
      </c>
      <c r="D37" s="140">
        <f>D38+56</f>
        <v>373</v>
      </c>
      <c r="E37" s="144">
        <f t="shared" si="29"/>
        <v>1.3</v>
      </c>
      <c r="F37" s="42">
        <f t="shared" si="30"/>
        <v>484.90000000000003</v>
      </c>
      <c r="G37" s="51">
        <f t="shared" si="33"/>
        <v>34.775000000000006</v>
      </c>
      <c r="I37" s="55">
        <v>32</v>
      </c>
      <c r="J37" s="33">
        <f t="shared" si="18"/>
        <v>5</v>
      </c>
      <c r="K37" s="33">
        <f t="shared" si="19"/>
        <v>1.910565629709926</v>
      </c>
      <c r="L37" s="33">
        <f t="shared" si="20"/>
        <v>45</v>
      </c>
      <c r="M37" s="33">
        <f t="shared" si="21"/>
        <v>0</v>
      </c>
      <c r="N37" s="33">
        <f t="shared" si="0"/>
        <v>0</v>
      </c>
      <c r="O37" s="34">
        <f t="shared" si="1"/>
        <v>177.03590180507811</v>
      </c>
      <c r="P37" s="55">
        <v>32</v>
      </c>
      <c r="Q37" s="33">
        <f t="shared" si="15"/>
        <v>36.725000000000009</v>
      </c>
      <c r="R37" s="33">
        <f t="shared" si="22"/>
        <v>308.42500000000007</v>
      </c>
      <c r="S37" s="33">
        <f t="shared" si="23"/>
        <v>132.62275000000002</v>
      </c>
      <c r="T37" s="33">
        <f t="shared" si="2"/>
        <v>34.601693534076247</v>
      </c>
      <c r="U37" s="33">
        <f t="shared" si="16"/>
        <v>55.719773403779627</v>
      </c>
      <c r="V37" s="33">
        <f t="shared" si="3"/>
        <v>10</v>
      </c>
      <c r="W37" s="33">
        <v>0</v>
      </c>
      <c r="X37" s="33">
        <f t="shared" si="4"/>
        <v>532.2217416357081</v>
      </c>
      <c r="Y37" s="38">
        <f t="shared" si="5"/>
        <v>355.18583983063002</v>
      </c>
      <c r="AA37" s="71">
        <v>32</v>
      </c>
      <c r="AB37" s="33">
        <f t="shared" si="6"/>
        <v>0</v>
      </c>
      <c r="AC37" s="308">
        <f t="shared" si="39"/>
        <v>0</v>
      </c>
      <c r="AD37" s="101">
        <f t="shared" si="8"/>
        <v>0</v>
      </c>
      <c r="AE37" s="101">
        <f t="shared" si="9"/>
        <v>0</v>
      </c>
      <c r="AF37" s="197">
        <f t="shared" si="34"/>
        <v>4.0712459009396822</v>
      </c>
      <c r="AG37" s="197">
        <f t="shared" si="35"/>
        <v>56.570144433814171</v>
      </c>
      <c r="AH37" s="197">
        <f t="shared" si="36"/>
        <v>11.123526442907897</v>
      </c>
      <c r="AI37" s="202">
        <f t="shared" si="37"/>
        <v>71.764916777661753</v>
      </c>
      <c r="AK37" s="71">
        <v>32</v>
      </c>
      <c r="AL37" s="33"/>
      <c r="AM37" s="33"/>
      <c r="AN37" s="33"/>
      <c r="AO37" s="33"/>
      <c r="AP37" s="33"/>
      <c r="AQ37" s="197"/>
      <c r="AR37" s="197"/>
      <c r="AS37" s="197"/>
      <c r="AT37" s="197"/>
      <c r="AU37" s="33"/>
      <c r="AV37" s="33"/>
      <c r="AW37" s="33"/>
      <c r="AX37" s="33"/>
      <c r="AY37" s="76"/>
    </row>
    <row r="38" spans="2:51">
      <c r="B38" s="40">
        <f t="shared" si="31"/>
        <v>40</v>
      </c>
      <c r="C38" s="155">
        <f t="shared" si="38"/>
        <v>41</v>
      </c>
      <c r="D38" s="140">
        <v>317</v>
      </c>
      <c r="E38" s="144">
        <f t="shared" si="29"/>
        <v>1.3</v>
      </c>
      <c r="F38" s="42">
        <f t="shared" si="30"/>
        <v>412.1</v>
      </c>
      <c r="G38" s="51">
        <f t="shared" si="33"/>
        <v>-72.800000000000011</v>
      </c>
      <c r="I38" s="55">
        <v>33</v>
      </c>
      <c r="J38" s="33">
        <f t="shared" si="18"/>
        <v>5</v>
      </c>
      <c r="K38" s="33">
        <f t="shared" si="19"/>
        <v>1.910565629709926</v>
      </c>
      <c r="L38" s="33">
        <f t="shared" si="20"/>
        <v>45</v>
      </c>
      <c r="M38" s="33">
        <f t="shared" si="21"/>
        <v>0</v>
      </c>
      <c r="N38" s="33">
        <f t="shared" si="0"/>
        <v>0</v>
      </c>
      <c r="O38" s="34">
        <f t="shared" si="1"/>
        <v>177.03590180507811</v>
      </c>
      <c r="P38" s="55">
        <v>33</v>
      </c>
      <c r="Q38" s="33">
        <f t="shared" si="15"/>
        <v>36.725000000000009</v>
      </c>
      <c r="R38" s="33">
        <f t="shared" si="22"/>
        <v>345.15000000000009</v>
      </c>
      <c r="S38" s="33">
        <f t="shared" si="23"/>
        <v>148.41450000000003</v>
      </c>
      <c r="T38" s="33">
        <f t="shared" si="2"/>
        <v>38.218052526039692</v>
      </c>
      <c r="U38" s="33">
        <f t="shared" si="16"/>
        <v>55.96750340942021</v>
      </c>
      <c r="V38" s="33">
        <f t="shared" si="3"/>
        <v>10</v>
      </c>
      <c r="W38" s="33">
        <v>0</v>
      </c>
      <c r="X38" s="33">
        <f t="shared" si="4"/>
        <v>566.93254148405993</v>
      </c>
      <c r="Y38" s="38">
        <f t="shared" si="5"/>
        <v>389.89663967898184</v>
      </c>
      <c r="AA38" s="71">
        <v>33</v>
      </c>
      <c r="AB38" s="33">
        <f t="shared" si="6"/>
        <v>0</v>
      </c>
      <c r="AC38" s="308">
        <f t="shared" si="39"/>
        <v>0</v>
      </c>
      <c r="AD38" s="101">
        <f t="shared" si="8"/>
        <v>0</v>
      </c>
      <c r="AE38" s="101">
        <f t="shared" si="9"/>
        <v>0</v>
      </c>
      <c r="AF38" s="197">
        <f t="shared" si="34"/>
        <v>3.9914112520370577</v>
      </c>
      <c r="AG38" s="197">
        <f t="shared" si="35"/>
        <v>55.023230859376923</v>
      </c>
      <c r="AH38" s="197">
        <f t="shared" si="36"/>
        <v>7.8655209784880507</v>
      </c>
      <c r="AI38" s="202">
        <f t="shared" si="37"/>
        <v>66.880163089902041</v>
      </c>
      <c r="AK38" s="71">
        <v>33</v>
      </c>
      <c r="AL38" s="33"/>
      <c r="AM38" s="33"/>
      <c r="AN38" s="33"/>
      <c r="AO38" s="33"/>
      <c r="AP38" s="33"/>
      <c r="AQ38" s="197"/>
      <c r="AR38" s="197"/>
      <c r="AS38" s="197"/>
      <c r="AT38" s="197"/>
      <c r="AU38" s="33"/>
      <c r="AV38" s="33"/>
      <c r="AW38" s="33"/>
      <c r="AX38" s="33"/>
      <c r="AY38" s="76"/>
    </row>
    <row r="39" spans="2:51">
      <c r="B39" s="40">
        <f t="shared" si="31"/>
        <v>41</v>
      </c>
      <c r="C39" s="155">
        <f t="shared" si="38"/>
        <v>45</v>
      </c>
      <c r="D39" s="140">
        <f>D40+56</f>
        <v>417</v>
      </c>
      <c r="E39" s="144">
        <f t="shared" si="29"/>
        <v>1.3</v>
      </c>
      <c r="F39" s="42">
        <f t="shared" si="30"/>
        <v>542.1</v>
      </c>
      <c r="G39" s="51">
        <f t="shared" si="33"/>
        <v>32.5</v>
      </c>
      <c r="I39" s="55">
        <v>34</v>
      </c>
      <c r="J39" s="33">
        <f t="shared" si="18"/>
        <v>5</v>
      </c>
      <c r="K39" s="33">
        <f t="shared" si="19"/>
        <v>1.910565629709926</v>
      </c>
      <c r="L39" s="33">
        <f t="shared" si="20"/>
        <v>45</v>
      </c>
      <c r="M39" s="33">
        <f t="shared" si="21"/>
        <v>0</v>
      </c>
      <c r="N39" s="33">
        <f t="shared" si="0"/>
        <v>0</v>
      </c>
      <c r="O39" s="34">
        <f t="shared" si="1"/>
        <v>177.03590180507811</v>
      </c>
      <c r="P39" s="55">
        <v>34</v>
      </c>
      <c r="Q39" s="33">
        <f t="shared" si="15"/>
        <v>36.725000000000009</v>
      </c>
      <c r="R39" s="33">
        <f t="shared" si="22"/>
        <v>381.87500000000011</v>
      </c>
      <c r="S39" s="33">
        <f t="shared" si="23"/>
        <v>164.20625000000004</v>
      </c>
      <c r="T39" s="33">
        <f t="shared" si="2"/>
        <v>41.789809260445338</v>
      </c>
      <c r="U39" s="33">
        <f t="shared" si="16"/>
        <v>56.210935853304257</v>
      </c>
      <c r="V39" s="33">
        <f t="shared" si="3"/>
        <v>10</v>
      </c>
      <c r="W39" s="33">
        <v>0</v>
      </c>
      <c r="X39" s="33">
        <f t="shared" si="4"/>
        <v>601.54990134072466</v>
      </c>
      <c r="Y39" s="38">
        <f t="shared" si="5"/>
        <v>424.51399953564658</v>
      </c>
      <c r="AA39" s="71">
        <v>34</v>
      </c>
      <c r="AB39" s="33">
        <f t="shared" si="6"/>
        <v>0</v>
      </c>
      <c r="AC39" s="308">
        <f t="shared" si="39"/>
        <v>0</v>
      </c>
      <c r="AD39" s="101">
        <f t="shared" si="8"/>
        <v>0</v>
      </c>
      <c r="AE39" s="101">
        <f t="shared" si="9"/>
        <v>0</v>
      </c>
      <c r="AF39" s="197">
        <f t="shared" si="34"/>
        <v>3.9131421119050858</v>
      </c>
      <c r="AG39" s="197">
        <f t="shared" si="35"/>
        <v>53.518617717981307</v>
      </c>
      <c r="AH39" s="197">
        <f t="shared" si="36"/>
        <v>5.5617632214539494</v>
      </c>
      <c r="AI39" s="202">
        <f t="shared" si="37"/>
        <v>62.993523051340347</v>
      </c>
      <c r="AK39" s="71">
        <v>34</v>
      </c>
      <c r="AL39" s="33"/>
      <c r="AM39" s="33"/>
      <c r="AN39" s="33"/>
      <c r="AO39" s="33"/>
      <c r="AP39" s="33"/>
      <c r="AQ39" s="197"/>
      <c r="AR39" s="197"/>
      <c r="AS39" s="197"/>
      <c r="AT39" s="197"/>
      <c r="AU39" s="33"/>
      <c r="AV39" s="33"/>
      <c r="AW39" s="33"/>
      <c r="AX39" s="33"/>
      <c r="AY39" s="76"/>
    </row>
    <row r="40" spans="2:51">
      <c r="B40" s="40">
        <f t="shared" si="31"/>
        <v>45</v>
      </c>
      <c r="C40" s="155">
        <f t="shared" si="38"/>
        <v>46</v>
      </c>
      <c r="D40" s="140">
        <v>361</v>
      </c>
      <c r="E40" s="144">
        <f t="shared" si="29"/>
        <v>1.3</v>
      </c>
      <c r="F40" s="42">
        <f t="shared" si="30"/>
        <v>469.3</v>
      </c>
      <c r="G40" s="51">
        <f t="shared" si="33"/>
        <v>-72.800000000000011</v>
      </c>
      <c r="I40" s="55">
        <v>35</v>
      </c>
      <c r="J40" s="33">
        <f t="shared" si="18"/>
        <v>5</v>
      </c>
      <c r="K40" s="33">
        <f t="shared" si="19"/>
        <v>1.910565629709926</v>
      </c>
      <c r="L40" s="33">
        <f t="shared" si="20"/>
        <v>45</v>
      </c>
      <c r="M40" s="33">
        <f t="shared" si="21"/>
        <v>0</v>
      </c>
      <c r="N40" s="33">
        <f t="shared" si="0"/>
        <v>0</v>
      </c>
      <c r="O40" s="34">
        <f t="shared" si="1"/>
        <v>177.03590180507811</v>
      </c>
      <c r="P40" s="55">
        <v>35</v>
      </c>
      <c r="Q40" s="33">
        <f t="shared" si="15"/>
        <v>36.725000000000009</v>
      </c>
      <c r="R40" s="33">
        <f t="shared" si="22"/>
        <v>418.60000000000014</v>
      </c>
      <c r="S40" s="33">
        <f t="shared" si="23"/>
        <v>179.99800000000005</v>
      </c>
      <c r="T40" s="33">
        <f t="shared" si="2"/>
        <v>45.321741203124091</v>
      </c>
      <c r="U40" s="33">
        <f t="shared" si="16"/>
        <v>56.450145288520318</v>
      </c>
      <c r="V40" s="33">
        <f t="shared" si="3"/>
        <v>10</v>
      </c>
      <c r="W40" s="33">
        <v>0</v>
      </c>
      <c r="X40" s="33">
        <f t="shared" si="4"/>
        <v>636.08241532001568</v>
      </c>
      <c r="Y40" s="38">
        <f t="shared" si="5"/>
        <v>459.0465135149376</v>
      </c>
      <c r="AA40" s="71">
        <v>35</v>
      </c>
      <c r="AB40" s="33">
        <f t="shared" si="6"/>
        <v>0</v>
      </c>
      <c r="AC40" s="308">
        <f t="shared" si="39"/>
        <v>0</v>
      </c>
      <c r="AD40" s="101">
        <f t="shared" si="8"/>
        <v>0</v>
      </c>
      <c r="AE40" s="101">
        <f t="shared" si="9"/>
        <v>0</v>
      </c>
      <c r="AF40" s="197">
        <f t="shared" si="34"/>
        <v>3.8364077818716402</v>
      </c>
      <c r="AG40" s="197">
        <f t="shared" si="35"/>
        <v>52.055148302061319</v>
      </c>
      <c r="AH40" s="197">
        <f t="shared" si="36"/>
        <v>3.9327604892440258</v>
      </c>
      <c r="AI40" s="202">
        <f t="shared" si="37"/>
        <v>59.824316573176986</v>
      </c>
      <c r="AK40" s="71">
        <v>35</v>
      </c>
      <c r="AL40" s="33"/>
      <c r="AM40" s="33"/>
      <c r="AN40" s="33"/>
      <c r="AO40" s="33"/>
      <c r="AP40" s="33"/>
      <c r="AQ40" s="197"/>
      <c r="AR40" s="197"/>
      <c r="AS40" s="197"/>
      <c r="AT40" s="197"/>
      <c r="AU40" s="33"/>
      <c r="AV40" s="33"/>
      <c r="AW40" s="33"/>
      <c r="AX40" s="33"/>
      <c r="AY40" s="76"/>
    </row>
    <row r="41" spans="2:51">
      <c r="B41" s="40">
        <f t="shared" si="31"/>
        <v>46</v>
      </c>
      <c r="C41" s="155">
        <f t="shared" si="38"/>
        <v>50</v>
      </c>
      <c r="D41" s="140">
        <f>D42+52</f>
        <v>453</v>
      </c>
      <c r="E41" s="144">
        <f t="shared" si="29"/>
        <v>1.3</v>
      </c>
      <c r="F41" s="42">
        <f t="shared" ref="F41:F52" si="40">D41*E41</f>
        <v>588.9</v>
      </c>
      <c r="G41" s="51">
        <f t="shared" ref="G41:G52" si="41">(F41-F40)/(C41-B41)</f>
        <v>29.899999999999991</v>
      </c>
      <c r="I41" s="55">
        <v>36</v>
      </c>
      <c r="J41" s="33">
        <f t="shared" si="18"/>
        <v>5</v>
      </c>
      <c r="K41" s="33">
        <f t="shared" si="19"/>
        <v>1.910565629709926</v>
      </c>
      <c r="L41" s="33">
        <f t="shared" si="20"/>
        <v>45</v>
      </c>
      <c r="M41" s="33">
        <f t="shared" si="21"/>
        <v>0</v>
      </c>
      <c r="N41" s="33">
        <f t="shared" si="0"/>
        <v>0</v>
      </c>
      <c r="O41" s="34">
        <f t="shared" si="1"/>
        <v>177.03590180507811</v>
      </c>
      <c r="P41" s="55">
        <v>36</v>
      </c>
      <c r="Q41" s="33">
        <f t="shared" si="15"/>
        <v>-72.800000000000011</v>
      </c>
      <c r="R41" s="33">
        <f t="shared" si="22"/>
        <v>345.80000000000013</v>
      </c>
      <c r="S41" s="33">
        <f t="shared" si="23"/>
        <v>148.69400000000005</v>
      </c>
      <c r="T41" s="33">
        <f t="shared" si="2"/>
        <v>38.281641551494822</v>
      </c>
      <c r="U41" s="33">
        <f t="shared" si="16"/>
        <v>56.68520497482757</v>
      </c>
      <c r="V41" s="33">
        <f t="shared" si="3"/>
        <v>10</v>
      </c>
      <c r="W41" s="33">
        <v>0</v>
      </c>
      <c r="X41" s="33">
        <f t="shared" si="4"/>
        <v>570.16166060988803</v>
      </c>
      <c r="Y41" s="38">
        <f t="shared" si="5"/>
        <v>393.12575880480995</v>
      </c>
      <c r="AA41" s="71">
        <v>36</v>
      </c>
      <c r="AB41" s="33">
        <f t="shared" si="6"/>
        <v>56</v>
      </c>
      <c r="AC41" s="308">
        <f t="shared" si="39"/>
        <v>0.2</v>
      </c>
      <c r="AD41" s="101">
        <f t="shared" si="8"/>
        <v>0.33600000000000002</v>
      </c>
      <c r="AE41" s="101">
        <f t="shared" si="9"/>
        <v>0.26400000000000001</v>
      </c>
      <c r="AF41" s="197">
        <f t="shared" si="34"/>
        <v>12.066532907862703</v>
      </c>
      <c r="AG41" s="197">
        <f t="shared" si="35"/>
        <v>64.529755240242153</v>
      </c>
      <c r="AH41" s="197">
        <f t="shared" si="36"/>
        <v>12.137939168953858</v>
      </c>
      <c r="AI41" s="202">
        <f t="shared" si="37"/>
        <v>88.734227317058725</v>
      </c>
      <c r="AK41" s="71">
        <v>36</v>
      </c>
      <c r="AL41" s="33"/>
      <c r="AM41" s="33"/>
      <c r="AN41" s="33"/>
      <c r="AO41" s="33"/>
      <c r="AP41" s="33"/>
      <c r="AQ41" s="197"/>
      <c r="AR41" s="197"/>
      <c r="AS41" s="197"/>
      <c r="AT41" s="197"/>
      <c r="AU41" s="33"/>
      <c r="AV41" s="33"/>
      <c r="AW41" s="33"/>
      <c r="AX41" s="33"/>
      <c r="AY41" s="76"/>
    </row>
    <row r="42" spans="2:51">
      <c r="B42" s="40">
        <f t="shared" si="31"/>
        <v>50</v>
      </c>
      <c r="C42" s="155">
        <f t="shared" si="38"/>
        <v>51</v>
      </c>
      <c r="D42" s="140">
        <v>401</v>
      </c>
      <c r="E42" s="144">
        <f t="shared" si="29"/>
        <v>1.3</v>
      </c>
      <c r="F42" s="42">
        <f t="shared" si="40"/>
        <v>521.30000000000007</v>
      </c>
      <c r="G42" s="51">
        <f t="shared" si="41"/>
        <v>-67.599999999999909</v>
      </c>
      <c r="I42" s="55">
        <v>37</v>
      </c>
      <c r="J42" s="33">
        <f t="shared" si="18"/>
        <v>5</v>
      </c>
      <c r="K42" s="33">
        <f t="shared" si="19"/>
        <v>1.910565629709926</v>
      </c>
      <c r="L42" s="33">
        <f t="shared" si="20"/>
        <v>45</v>
      </c>
      <c r="M42" s="33">
        <f t="shared" si="21"/>
        <v>0</v>
      </c>
      <c r="N42" s="33">
        <f t="shared" si="0"/>
        <v>0</v>
      </c>
      <c r="O42" s="34">
        <f t="shared" si="1"/>
        <v>177.03590180507811</v>
      </c>
      <c r="P42" s="55">
        <v>37</v>
      </c>
      <c r="Q42" s="33">
        <f t="shared" si="15"/>
        <v>34.775000000000006</v>
      </c>
      <c r="R42" s="33">
        <f t="shared" si="22"/>
        <v>380.57500000000016</v>
      </c>
      <c r="S42" s="33">
        <f t="shared" si="23"/>
        <v>163.64725000000007</v>
      </c>
      <c r="T42" s="33">
        <f t="shared" si="2"/>
        <v>41.664080577192891</v>
      </c>
      <c r="U42" s="33">
        <f t="shared" si="16"/>
        <v>56.916186901092118</v>
      </c>
      <c r="V42" s="33">
        <f t="shared" si="3"/>
        <v>10</v>
      </c>
      <c r="W42" s="33">
        <v>0</v>
      </c>
      <c r="X42" s="33">
        <f t="shared" si="4"/>
        <v>602.94325272594881</v>
      </c>
      <c r="Y42" s="38">
        <f t="shared" si="5"/>
        <v>425.90735092087073</v>
      </c>
      <c r="AA42" s="71">
        <v>37</v>
      </c>
      <c r="AB42" s="33">
        <f t="shared" si="6"/>
        <v>0</v>
      </c>
      <c r="AC42" s="308">
        <f t="shared" si="39"/>
        <v>0</v>
      </c>
      <c r="AD42" s="101">
        <f t="shared" si="8"/>
        <v>0</v>
      </c>
      <c r="AE42" s="101">
        <f t="shared" si="9"/>
        <v>0</v>
      </c>
      <c r="AF42" s="197">
        <f t="shared" si="34"/>
        <v>11.829915557397863</v>
      </c>
      <c r="AG42" s="197">
        <f t="shared" si="35"/>
        <v>62.765185689725385</v>
      </c>
      <c r="AH42" s="197">
        <f t="shared" si="36"/>
        <v>8.5828190959970811</v>
      </c>
      <c r="AI42" s="202">
        <f t="shared" si="37"/>
        <v>83.177920343120334</v>
      </c>
      <c r="AK42" s="71">
        <v>37</v>
      </c>
      <c r="AL42" s="33"/>
      <c r="AM42" s="33"/>
      <c r="AN42" s="33"/>
      <c r="AO42" s="33"/>
      <c r="AP42" s="33"/>
      <c r="AQ42" s="197"/>
      <c r="AR42" s="197"/>
      <c r="AS42" s="197"/>
      <c r="AT42" s="197"/>
      <c r="AU42" s="33"/>
      <c r="AV42" s="33"/>
      <c r="AW42" s="33"/>
      <c r="AX42" s="33"/>
      <c r="AY42" s="76"/>
    </row>
    <row r="43" spans="2:51">
      <c r="B43" s="40">
        <f t="shared" si="31"/>
        <v>51</v>
      </c>
      <c r="C43" s="155">
        <f t="shared" si="38"/>
        <v>55</v>
      </c>
      <c r="D43" s="140">
        <f>D44+44</f>
        <v>485</v>
      </c>
      <c r="E43" s="144">
        <f t="shared" si="29"/>
        <v>1.3</v>
      </c>
      <c r="F43" s="42">
        <f t="shared" si="40"/>
        <v>630.5</v>
      </c>
      <c r="G43" s="51">
        <f t="shared" si="41"/>
        <v>27.299999999999983</v>
      </c>
      <c r="I43" s="55">
        <v>38</v>
      </c>
      <c r="J43" s="33">
        <f t="shared" si="18"/>
        <v>5</v>
      </c>
      <c r="K43" s="33">
        <f t="shared" si="19"/>
        <v>1.910565629709926</v>
      </c>
      <c r="L43" s="33">
        <f t="shared" si="20"/>
        <v>45</v>
      </c>
      <c r="M43" s="33">
        <f t="shared" si="21"/>
        <v>0</v>
      </c>
      <c r="N43" s="33">
        <f t="shared" si="0"/>
        <v>0</v>
      </c>
      <c r="O43" s="34">
        <f t="shared" si="1"/>
        <v>177.03590180507811</v>
      </c>
      <c r="P43" s="55">
        <v>38</v>
      </c>
      <c r="Q43" s="33">
        <f t="shared" si="15"/>
        <v>34.775000000000006</v>
      </c>
      <c r="R43" s="33">
        <f t="shared" si="22"/>
        <v>415.35000000000014</v>
      </c>
      <c r="S43" s="33">
        <f t="shared" si="23"/>
        <v>178.60050000000007</v>
      </c>
      <c r="T43" s="33">
        <f t="shared" si="2"/>
        <v>45.010681898185908</v>
      </c>
      <c r="U43" s="33">
        <f t="shared" si="16"/>
        <v>57.143161807334202</v>
      </c>
      <c r="V43" s="33">
        <f t="shared" si="3"/>
        <v>10</v>
      </c>
      <c r="W43" s="33">
        <v>0</v>
      </c>
      <c r="X43" s="33">
        <f t="shared" si="4"/>
        <v>635.64773509956592</v>
      </c>
      <c r="Y43" s="38">
        <f t="shared" si="5"/>
        <v>458.61183329448784</v>
      </c>
      <c r="AA43" s="71">
        <v>38</v>
      </c>
      <c r="AB43" s="33">
        <f t="shared" si="6"/>
        <v>0</v>
      </c>
      <c r="AC43" s="308">
        <f t="shared" si="39"/>
        <v>0</v>
      </c>
      <c r="AD43" s="101">
        <f t="shared" si="8"/>
        <v>0</v>
      </c>
      <c r="AE43" s="101">
        <f t="shared" si="9"/>
        <v>0</v>
      </c>
      <c r="AF43" s="197">
        <f t="shared" si="34"/>
        <v>11.597938128853306</v>
      </c>
      <c r="AG43" s="197">
        <f t="shared" si="35"/>
        <v>61.04886838636218</v>
      </c>
      <c r="AH43" s="197">
        <f t="shared" si="36"/>
        <v>6.06896958447693</v>
      </c>
      <c r="AI43" s="202">
        <f t="shared" si="37"/>
        <v>78.71577609969242</v>
      </c>
      <c r="AK43" s="71">
        <v>38</v>
      </c>
      <c r="AL43" s="33"/>
      <c r="AM43" s="33"/>
      <c r="AN43" s="33"/>
      <c r="AO43" s="33"/>
      <c r="AP43" s="33"/>
      <c r="AQ43" s="197"/>
      <c r="AR43" s="197"/>
      <c r="AS43" s="197"/>
      <c r="AT43" s="197"/>
      <c r="AU43" s="33"/>
      <c r="AV43" s="33"/>
      <c r="AW43" s="33"/>
      <c r="AX43" s="33"/>
      <c r="AY43" s="76"/>
    </row>
    <row r="44" spans="2:51">
      <c r="B44" s="40">
        <f t="shared" si="31"/>
        <v>55</v>
      </c>
      <c r="C44" s="155">
        <f t="shared" si="38"/>
        <v>56</v>
      </c>
      <c r="D44" s="140">
        <v>441</v>
      </c>
      <c r="E44" s="144">
        <f t="shared" si="29"/>
        <v>1.3</v>
      </c>
      <c r="F44" s="42">
        <f t="shared" si="40"/>
        <v>573.30000000000007</v>
      </c>
      <c r="G44" s="51">
        <f t="shared" si="41"/>
        <v>-57.199999999999932</v>
      </c>
      <c r="I44" s="55">
        <v>39</v>
      </c>
      <c r="J44" s="33">
        <f t="shared" si="18"/>
        <v>5</v>
      </c>
      <c r="K44" s="33">
        <f t="shared" si="19"/>
        <v>1.910565629709926</v>
      </c>
      <c r="L44" s="33">
        <f t="shared" si="20"/>
        <v>45</v>
      </c>
      <c r="M44" s="33">
        <f t="shared" si="21"/>
        <v>0</v>
      </c>
      <c r="N44" s="33">
        <f t="shared" si="0"/>
        <v>0</v>
      </c>
      <c r="O44" s="34">
        <f t="shared" si="1"/>
        <v>177.03590180507811</v>
      </c>
      <c r="P44" s="55">
        <v>39</v>
      </c>
      <c r="Q44" s="33">
        <f t="shared" si="15"/>
        <v>34.775000000000006</v>
      </c>
      <c r="R44" s="33">
        <f t="shared" si="22"/>
        <v>450.12500000000011</v>
      </c>
      <c r="S44" s="33">
        <f t="shared" si="23"/>
        <v>193.55375000000004</v>
      </c>
      <c r="T44" s="33">
        <f t="shared" si="2"/>
        <v>48.324787142626228</v>
      </c>
      <c r="U44" s="33">
        <f t="shared" si="16"/>
        <v>57.366199206392857</v>
      </c>
      <c r="V44" s="33">
        <f t="shared" si="3"/>
        <v>10</v>
      </c>
      <c r="W44" s="33">
        <v>0</v>
      </c>
      <c r="X44" s="33">
        <f t="shared" si="4"/>
        <v>668.2811826135146</v>
      </c>
      <c r="Y44" s="38">
        <f t="shared" si="5"/>
        <v>491.24528080843652</v>
      </c>
      <c r="AA44" s="71">
        <v>39</v>
      </c>
      <c r="AB44" s="33">
        <f t="shared" si="6"/>
        <v>0</v>
      </c>
      <c r="AC44" s="308">
        <f t="shared" si="39"/>
        <v>0</v>
      </c>
      <c r="AD44" s="101">
        <f t="shared" si="8"/>
        <v>0</v>
      </c>
      <c r="AE44" s="101">
        <f t="shared" si="9"/>
        <v>0</v>
      </c>
      <c r="AF44" s="197">
        <f t="shared" si="34"/>
        <v>11.370509636190247</v>
      </c>
      <c r="AG44" s="197">
        <f t="shared" si="35"/>
        <v>59.379483869916648</v>
      </c>
      <c r="AH44" s="197">
        <f t="shared" si="36"/>
        <v>4.2914095479985415</v>
      </c>
      <c r="AI44" s="202">
        <f t="shared" si="37"/>
        <v>75.04140305410543</v>
      </c>
      <c r="AK44" s="71">
        <v>39</v>
      </c>
      <c r="AL44" s="33"/>
      <c r="AM44" s="33"/>
      <c r="AN44" s="33"/>
      <c r="AO44" s="33"/>
      <c r="AP44" s="33"/>
      <c r="AQ44" s="197"/>
      <c r="AR44" s="197"/>
      <c r="AS44" s="197"/>
      <c r="AT44" s="197"/>
      <c r="AU44" s="33"/>
      <c r="AV44" s="33"/>
      <c r="AW44" s="33"/>
      <c r="AX44" s="33"/>
      <c r="AY44" s="76"/>
    </row>
    <row r="45" spans="2:51">
      <c r="B45" s="40">
        <f t="shared" si="31"/>
        <v>56</v>
      </c>
      <c r="C45" s="155">
        <f t="shared" si="38"/>
        <v>60</v>
      </c>
      <c r="D45" s="140">
        <f>D46+39</f>
        <v>519</v>
      </c>
      <c r="E45" s="144">
        <f t="shared" si="29"/>
        <v>1.3</v>
      </c>
      <c r="F45" s="42">
        <f t="shared" si="40"/>
        <v>674.7</v>
      </c>
      <c r="G45" s="51">
        <f t="shared" si="41"/>
        <v>25.349999999999994</v>
      </c>
      <c r="I45" s="55">
        <v>40</v>
      </c>
      <c r="J45" s="33">
        <f t="shared" si="18"/>
        <v>5</v>
      </c>
      <c r="K45" s="33">
        <f t="shared" si="19"/>
        <v>1.910565629709926</v>
      </c>
      <c r="L45" s="33">
        <f t="shared" si="20"/>
        <v>45</v>
      </c>
      <c r="M45" s="33">
        <f t="shared" si="21"/>
        <v>0</v>
      </c>
      <c r="N45" s="33">
        <f t="shared" si="0"/>
        <v>0</v>
      </c>
      <c r="O45" s="34">
        <f t="shared" si="1"/>
        <v>177.03590180507811</v>
      </c>
      <c r="P45" s="55">
        <v>40</v>
      </c>
      <c r="Q45" s="33">
        <f t="shared" si="15"/>
        <v>34.775000000000006</v>
      </c>
      <c r="R45" s="33">
        <f t="shared" si="22"/>
        <v>484.90000000000009</v>
      </c>
      <c r="S45" s="33">
        <f t="shared" si="23"/>
        <v>208.50700000000003</v>
      </c>
      <c r="T45" s="33">
        <f t="shared" si="2"/>
        <v>51.609192279260824</v>
      </c>
      <c r="U45" s="33">
        <f t="shared" si="16"/>
        <v>57.585367405214768</v>
      </c>
      <c r="V45" s="33">
        <f t="shared" si="3"/>
        <v>10</v>
      </c>
      <c r="W45" s="33">
        <v>0</v>
      </c>
      <c r="X45" s="33">
        <f t="shared" si="4"/>
        <v>700.84871537216679</v>
      </c>
      <c r="Y45" s="38">
        <f t="shared" si="5"/>
        <v>523.81281356708871</v>
      </c>
      <c r="AA45" s="71">
        <v>40</v>
      </c>
      <c r="AB45" s="33">
        <f t="shared" si="6"/>
        <v>0</v>
      </c>
      <c r="AC45" s="308">
        <f t="shared" si="39"/>
        <v>0</v>
      </c>
      <c r="AD45" s="101">
        <f t="shared" si="8"/>
        <v>0</v>
      </c>
      <c r="AE45" s="101">
        <f t="shared" si="9"/>
        <v>0</v>
      </c>
      <c r="AF45" s="197">
        <f t="shared" si="34"/>
        <v>11.147540877550629</v>
      </c>
      <c r="AG45" s="197">
        <f t="shared" si="35"/>
        <v>57.755748760862431</v>
      </c>
      <c r="AH45" s="197">
        <f t="shared" si="36"/>
        <v>3.0344847922384659</v>
      </c>
      <c r="AI45" s="202">
        <f t="shared" si="37"/>
        <v>71.93777443065153</v>
      </c>
      <c r="AK45" s="71">
        <v>40</v>
      </c>
      <c r="AL45" s="33"/>
      <c r="AM45" s="33"/>
      <c r="AN45" s="33"/>
      <c r="AO45" s="33"/>
      <c r="AP45" s="33"/>
      <c r="AQ45" s="197"/>
      <c r="AR45" s="197"/>
      <c r="AS45" s="197"/>
      <c r="AT45" s="197"/>
      <c r="AU45" s="33"/>
      <c r="AV45" s="33"/>
      <c r="AW45" s="33"/>
      <c r="AX45" s="33"/>
      <c r="AY45" s="76"/>
    </row>
    <row r="46" spans="2:51">
      <c r="B46" s="40">
        <f t="shared" si="31"/>
        <v>60</v>
      </c>
      <c r="C46" s="155">
        <f t="shared" si="38"/>
        <v>61</v>
      </c>
      <c r="D46" s="140">
        <v>480</v>
      </c>
      <c r="E46" s="144">
        <f t="shared" si="29"/>
        <v>1.3</v>
      </c>
      <c r="F46" s="42">
        <f t="shared" si="40"/>
        <v>624</v>
      </c>
      <c r="G46" s="51">
        <f t="shared" si="41"/>
        <v>-50.700000000000045</v>
      </c>
      <c r="I46" s="55">
        <v>41</v>
      </c>
      <c r="J46" s="33">
        <f t="shared" si="18"/>
        <v>5</v>
      </c>
      <c r="K46" s="33">
        <f t="shared" si="19"/>
        <v>1.910565629709926</v>
      </c>
      <c r="L46" s="33">
        <f t="shared" si="20"/>
        <v>45</v>
      </c>
      <c r="M46" s="33">
        <f t="shared" si="21"/>
        <v>0</v>
      </c>
      <c r="N46" s="33">
        <f t="shared" si="0"/>
        <v>0</v>
      </c>
      <c r="O46" s="34">
        <f t="shared" si="1"/>
        <v>177.03590180507811</v>
      </c>
      <c r="P46" s="55">
        <v>41</v>
      </c>
      <c r="Q46" s="33">
        <f t="shared" si="15"/>
        <v>-72.800000000000011</v>
      </c>
      <c r="R46" s="33">
        <f t="shared" si="22"/>
        <v>412.10000000000008</v>
      </c>
      <c r="S46" s="33">
        <f t="shared" si="23"/>
        <v>177.20300000000003</v>
      </c>
      <c r="T46" s="33">
        <f t="shared" si="2"/>
        <v>44.699339148895412</v>
      </c>
      <c r="U46" s="33">
        <f t="shared" si="16"/>
        <v>57.800733525773801</v>
      </c>
      <c r="V46" s="33">
        <f t="shared" si="3"/>
        <v>10</v>
      </c>
      <c r="W46" s="33">
        <v>0</v>
      </c>
      <c r="X46" s="33">
        <f t="shared" si="4"/>
        <v>635.08259694549679</v>
      </c>
      <c r="Y46" s="38">
        <f t="shared" si="5"/>
        <v>458.04669514041871</v>
      </c>
      <c r="AA46" s="71">
        <v>41</v>
      </c>
      <c r="AB46" s="33">
        <f t="shared" si="6"/>
        <v>56</v>
      </c>
      <c r="AC46" s="308">
        <f t="shared" si="39"/>
        <v>0.3</v>
      </c>
      <c r="AD46" s="101">
        <f t="shared" si="8"/>
        <v>0.22400000000000003</v>
      </c>
      <c r="AE46" s="101">
        <f t="shared" si="9"/>
        <v>0.17600000000000002</v>
      </c>
      <c r="AF46" s="197">
        <f t="shared" si="34"/>
        <v>23.386976514194224</v>
      </c>
      <c r="AG46" s="197">
        <f t="shared" si="35"/>
        <v>65.441786577728479</v>
      </c>
      <c r="AH46" s="197">
        <f t="shared" si="36"/>
        <v>8.3837431461505254</v>
      </c>
      <c r="AI46" s="202">
        <f t="shared" si="37"/>
        <v>97.212506238073217</v>
      </c>
      <c r="AK46" s="71">
        <v>41</v>
      </c>
      <c r="AL46" s="33"/>
      <c r="AM46" s="33"/>
      <c r="AN46" s="33"/>
      <c r="AO46" s="33"/>
      <c r="AP46" s="33"/>
      <c r="AQ46" s="197"/>
      <c r="AR46" s="197"/>
      <c r="AS46" s="197"/>
      <c r="AT46" s="197"/>
      <c r="AU46" s="33"/>
      <c r="AV46" s="33"/>
      <c r="AW46" s="33"/>
      <c r="AX46" s="33"/>
      <c r="AY46" s="76"/>
    </row>
    <row r="47" spans="2:51">
      <c r="B47" s="40">
        <f t="shared" si="31"/>
        <v>61</v>
      </c>
      <c r="C47" s="155">
        <f t="shared" si="38"/>
        <v>65</v>
      </c>
      <c r="D47" s="140">
        <f>D48+35</f>
        <v>551</v>
      </c>
      <c r="E47" s="144">
        <f t="shared" si="29"/>
        <v>1.3</v>
      </c>
      <c r="F47" s="42">
        <f t="shared" si="40"/>
        <v>716.30000000000007</v>
      </c>
      <c r="G47" s="51">
        <f t="shared" si="41"/>
        <v>23.075000000000017</v>
      </c>
      <c r="I47" s="55">
        <v>42</v>
      </c>
      <c r="J47" s="33">
        <f t="shared" si="18"/>
        <v>5</v>
      </c>
      <c r="K47" s="33">
        <f t="shared" si="19"/>
        <v>1.910565629709926</v>
      </c>
      <c r="L47" s="33">
        <f t="shared" si="20"/>
        <v>45</v>
      </c>
      <c r="M47" s="33">
        <f t="shared" si="21"/>
        <v>0</v>
      </c>
      <c r="N47" s="33">
        <f t="shared" si="0"/>
        <v>0</v>
      </c>
      <c r="O47" s="34">
        <f t="shared" si="1"/>
        <v>177.03590180507811</v>
      </c>
      <c r="P47" s="55">
        <v>42</v>
      </c>
      <c r="Q47" s="33">
        <f t="shared" si="15"/>
        <v>32.5</v>
      </c>
      <c r="R47" s="33">
        <f t="shared" si="22"/>
        <v>444.60000000000008</v>
      </c>
      <c r="S47" s="33">
        <f t="shared" si="23"/>
        <v>191.17800000000003</v>
      </c>
      <c r="T47" s="33">
        <f t="shared" si="2"/>
        <v>47.80029816501365</v>
      </c>
      <c r="U47" s="33">
        <f t="shared" si="16"/>
        <v>58.012363525627649</v>
      </c>
      <c r="V47" s="33">
        <f t="shared" si="3"/>
        <v>10</v>
      </c>
      <c r="W47" s="33">
        <v>0</v>
      </c>
      <c r="X47" s="33">
        <f t="shared" si="4"/>
        <v>665.5992022313668</v>
      </c>
      <c r="Y47" s="38">
        <f t="shared" si="5"/>
        <v>488.56330042628872</v>
      </c>
      <c r="AA47" s="71">
        <v>42</v>
      </c>
      <c r="AB47" s="33">
        <f t="shared" si="6"/>
        <v>0</v>
      </c>
      <c r="AC47" s="308">
        <f t="shared" si="39"/>
        <v>0</v>
      </c>
      <c r="AD47" s="101">
        <f t="shared" si="8"/>
        <v>0</v>
      </c>
      <c r="AE47" s="101">
        <f t="shared" si="9"/>
        <v>0</v>
      </c>
      <c r="AF47" s="197">
        <f t="shared" si="34"/>
        <v>22.928372169398031</v>
      </c>
      <c r="AG47" s="197">
        <f t="shared" si="35"/>
        <v>63.652277482326504</v>
      </c>
      <c r="AH47" s="197">
        <f t="shared" si="36"/>
        <v>5.9282016303692773</v>
      </c>
      <c r="AI47" s="202">
        <f t="shared" si="37"/>
        <v>92.508851282093815</v>
      </c>
      <c r="AK47" s="71">
        <v>42</v>
      </c>
      <c r="AL47" s="33"/>
      <c r="AM47" s="33"/>
      <c r="AN47" s="33"/>
      <c r="AO47" s="33"/>
      <c r="AP47" s="33"/>
      <c r="AQ47" s="197"/>
      <c r="AR47" s="197"/>
      <c r="AS47" s="197"/>
      <c r="AT47" s="197"/>
      <c r="AU47" s="33"/>
      <c r="AV47" s="33"/>
      <c r="AW47" s="33"/>
      <c r="AX47" s="33"/>
      <c r="AY47" s="76"/>
    </row>
    <row r="48" spans="2:51">
      <c r="B48" s="40">
        <f t="shared" si="31"/>
        <v>65</v>
      </c>
      <c r="C48" s="155">
        <f t="shared" si="38"/>
        <v>66</v>
      </c>
      <c r="D48" s="140">
        <v>516</v>
      </c>
      <c r="E48" s="144">
        <f t="shared" si="29"/>
        <v>1.3</v>
      </c>
      <c r="F48" s="42">
        <f t="shared" si="40"/>
        <v>670.80000000000007</v>
      </c>
      <c r="G48" s="51">
        <f t="shared" si="41"/>
        <v>-45.5</v>
      </c>
      <c r="I48" s="55">
        <v>43</v>
      </c>
      <c r="J48" s="33">
        <f t="shared" si="18"/>
        <v>5</v>
      </c>
      <c r="K48" s="33">
        <f t="shared" si="19"/>
        <v>1.910565629709926</v>
      </c>
      <c r="L48" s="33">
        <f t="shared" si="20"/>
        <v>45</v>
      </c>
      <c r="M48" s="33">
        <f t="shared" si="21"/>
        <v>0</v>
      </c>
      <c r="N48" s="33">
        <f t="shared" si="0"/>
        <v>0</v>
      </c>
      <c r="O48" s="34">
        <f t="shared" si="1"/>
        <v>177.03590180507811</v>
      </c>
      <c r="P48" s="55">
        <v>43</v>
      </c>
      <c r="Q48" s="33">
        <f t="shared" si="15"/>
        <v>32.5</v>
      </c>
      <c r="R48" s="33">
        <f t="shared" si="22"/>
        <v>477.10000000000008</v>
      </c>
      <c r="S48" s="33">
        <f t="shared" si="23"/>
        <v>205.15300000000002</v>
      </c>
      <c r="T48" s="33">
        <f t="shared" si="2"/>
        <v>50.874959053246712</v>
      </c>
      <c r="U48" s="33">
        <f t="shared" si="16"/>
        <v>58.220322218117829</v>
      </c>
      <c r="V48" s="33">
        <f t="shared" si="3"/>
        <v>10</v>
      </c>
      <c r="W48" s="33">
        <v>0</v>
      </c>
      <c r="X48" s="33">
        <f t="shared" si="4"/>
        <v>696.05654348416999</v>
      </c>
      <c r="Y48" s="38">
        <f t="shared" si="5"/>
        <v>519.02064167909191</v>
      </c>
      <c r="AA48" s="71">
        <v>43</v>
      </c>
      <c r="AB48" s="33">
        <f t="shared" si="6"/>
        <v>0</v>
      </c>
      <c r="AC48" s="308">
        <f t="shared" si="39"/>
        <v>0</v>
      </c>
      <c r="AD48" s="101">
        <f t="shared" si="8"/>
        <v>0</v>
      </c>
      <c r="AE48" s="101">
        <f t="shared" si="9"/>
        <v>0</v>
      </c>
      <c r="AF48" s="197">
        <f t="shared" si="34"/>
        <v>22.478760776082261</v>
      </c>
      <c r="AG48" s="197">
        <f t="shared" si="35"/>
        <v>61.911702607244493</v>
      </c>
      <c r="AH48" s="197">
        <f t="shared" si="36"/>
        <v>4.1918715730752627</v>
      </c>
      <c r="AI48" s="202">
        <f t="shared" si="37"/>
        <v>88.582334956402022</v>
      </c>
      <c r="AK48" s="71">
        <v>43</v>
      </c>
      <c r="AL48" s="33"/>
      <c r="AM48" s="33"/>
      <c r="AN48" s="33"/>
      <c r="AO48" s="33"/>
      <c r="AP48" s="33"/>
      <c r="AQ48" s="197"/>
      <c r="AR48" s="197"/>
      <c r="AS48" s="197"/>
      <c r="AT48" s="197"/>
      <c r="AU48" s="33"/>
      <c r="AV48" s="33"/>
      <c r="AW48" s="33"/>
      <c r="AX48" s="33"/>
      <c r="AY48" s="76"/>
    </row>
    <row r="49" spans="2:51">
      <c r="B49" s="40">
        <f t="shared" si="31"/>
        <v>66</v>
      </c>
      <c r="C49" s="155">
        <f t="shared" si="38"/>
        <v>70</v>
      </c>
      <c r="D49" s="140">
        <f>D50+32</f>
        <v>579</v>
      </c>
      <c r="E49" s="144">
        <f t="shared" si="29"/>
        <v>1.3</v>
      </c>
      <c r="F49" s="42">
        <f t="shared" si="40"/>
        <v>752.7</v>
      </c>
      <c r="G49" s="51">
        <f t="shared" si="41"/>
        <v>20.474999999999994</v>
      </c>
      <c r="I49" s="55">
        <v>44</v>
      </c>
      <c r="J49" s="33">
        <f t="shared" si="18"/>
        <v>5</v>
      </c>
      <c r="K49" s="33">
        <f t="shared" si="19"/>
        <v>1.910565629709926</v>
      </c>
      <c r="L49" s="33">
        <f t="shared" si="20"/>
        <v>45</v>
      </c>
      <c r="M49" s="33">
        <f t="shared" si="21"/>
        <v>0</v>
      </c>
      <c r="N49" s="33">
        <f t="shared" si="0"/>
        <v>0</v>
      </c>
      <c r="O49" s="34">
        <f t="shared" si="1"/>
        <v>177.03590180507811</v>
      </c>
      <c r="P49" s="55">
        <v>44</v>
      </c>
      <c r="Q49" s="33">
        <f t="shared" si="15"/>
        <v>32.5</v>
      </c>
      <c r="R49" s="33">
        <f t="shared" si="22"/>
        <v>509.60000000000008</v>
      </c>
      <c r="S49" s="33">
        <f t="shared" si="23"/>
        <v>219.12800000000004</v>
      </c>
      <c r="T49" s="33">
        <f t="shared" si="2"/>
        <v>53.925317044064428</v>
      </c>
      <c r="U49" s="33">
        <f t="shared" si="16"/>
        <v>58.424673292219296</v>
      </c>
      <c r="V49" s="33">
        <f t="shared" si="3"/>
        <v>10</v>
      </c>
      <c r="W49" s="33">
        <v>0</v>
      </c>
      <c r="X49" s="33">
        <f t="shared" si="4"/>
        <v>726.45832925654952</v>
      </c>
      <c r="Y49" s="38">
        <f t="shared" si="5"/>
        <v>549.42242745147144</v>
      </c>
      <c r="AA49" s="71">
        <v>44</v>
      </c>
      <c r="AB49" s="33">
        <f t="shared" si="6"/>
        <v>0</v>
      </c>
      <c r="AC49" s="308">
        <f t="shared" si="39"/>
        <v>0</v>
      </c>
      <c r="AD49" s="101">
        <f t="shared" si="8"/>
        <v>0</v>
      </c>
      <c r="AE49" s="101">
        <f t="shared" si="9"/>
        <v>0</v>
      </c>
      <c r="AF49" s="197">
        <f t="shared" si="34"/>
        <v>22.037965987953545</v>
      </c>
      <c r="AG49" s="197">
        <f t="shared" si="35"/>
        <v>60.218723843654452</v>
      </c>
      <c r="AH49" s="197">
        <f t="shared" si="36"/>
        <v>2.9641008151846386</v>
      </c>
      <c r="AI49" s="202">
        <f t="shared" si="37"/>
        <v>85.220790646792636</v>
      </c>
      <c r="AK49" s="71">
        <v>44</v>
      </c>
      <c r="AL49" s="33"/>
      <c r="AM49" s="33"/>
      <c r="AN49" s="33"/>
      <c r="AO49" s="33"/>
      <c r="AP49" s="33"/>
      <c r="AQ49" s="197"/>
      <c r="AR49" s="197"/>
      <c r="AS49" s="197"/>
      <c r="AT49" s="197"/>
      <c r="AU49" s="33"/>
      <c r="AV49" s="33"/>
      <c r="AW49" s="33"/>
      <c r="AX49" s="33"/>
      <c r="AY49" s="76"/>
    </row>
    <row r="50" spans="2:51">
      <c r="B50" s="40">
        <f t="shared" si="31"/>
        <v>70</v>
      </c>
      <c r="C50" s="155">
        <f t="shared" si="38"/>
        <v>71</v>
      </c>
      <c r="D50" s="140">
        <v>547</v>
      </c>
      <c r="E50" s="144">
        <f t="shared" si="29"/>
        <v>1.3</v>
      </c>
      <c r="F50" s="42">
        <f t="shared" si="40"/>
        <v>711.1</v>
      </c>
      <c r="G50" s="51">
        <f t="shared" si="41"/>
        <v>-41.600000000000023</v>
      </c>
      <c r="I50" s="55">
        <v>45</v>
      </c>
      <c r="J50" s="33">
        <f t="shared" si="18"/>
        <v>5</v>
      </c>
      <c r="K50" s="33">
        <f t="shared" si="19"/>
        <v>1.910565629709926</v>
      </c>
      <c r="L50" s="33">
        <f t="shared" si="20"/>
        <v>45</v>
      </c>
      <c r="M50" s="33">
        <f t="shared" si="21"/>
        <v>0</v>
      </c>
      <c r="N50" s="33">
        <f t="shared" si="0"/>
        <v>0</v>
      </c>
      <c r="O50" s="34">
        <f t="shared" si="1"/>
        <v>177.03590180507811</v>
      </c>
      <c r="P50" s="55">
        <v>45</v>
      </c>
      <c r="Q50" s="33">
        <f t="shared" si="15"/>
        <v>32.5</v>
      </c>
      <c r="R50" s="33">
        <f t="shared" si="22"/>
        <v>542.10000000000014</v>
      </c>
      <c r="S50" s="33">
        <f t="shared" si="23"/>
        <v>233.10300000000007</v>
      </c>
      <c r="T50" s="33">
        <f t="shared" si="2"/>
        <v>56.953098486593071</v>
      </c>
      <c r="U50" s="33">
        <f t="shared" si="16"/>
        <v>58.625479332045664</v>
      </c>
      <c r="V50" s="33">
        <f t="shared" si="3"/>
        <v>10</v>
      </c>
      <c r="W50" s="33">
        <v>0</v>
      </c>
      <c r="X50" s="33">
        <f t="shared" si="4"/>
        <v>756.80779574831729</v>
      </c>
      <c r="Y50" s="38">
        <f t="shared" si="5"/>
        <v>579.77189394323921</v>
      </c>
      <c r="AA50" s="71">
        <v>45</v>
      </c>
      <c r="AB50" s="33">
        <f t="shared" si="6"/>
        <v>0</v>
      </c>
      <c r="AC50" s="308">
        <f t="shared" si="39"/>
        <v>0</v>
      </c>
      <c r="AD50" s="101">
        <f t="shared" si="8"/>
        <v>0</v>
      </c>
      <c r="AE50" s="101">
        <f t="shared" si="9"/>
        <v>0</v>
      </c>
      <c r="AF50" s="197">
        <f t="shared" si="34"/>
        <v>21.605814916761759</v>
      </c>
      <c r="AG50" s="197">
        <f t="shared" si="35"/>
        <v>58.572039673384666</v>
      </c>
      <c r="AH50" s="197">
        <f t="shared" si="36"/>
        <v>2.0959357865376314</v>
      </c>
      <c r="AI50" s="202">
        <f t="shared" si="37"/>
        <v>82.273790376684062</v>
      </c>
      <c r="AK50" s="71">
        <v>45</v>
      </c>
      <c r="AL50" s="33"/>
      <c r="AM50" s="33"/>
      <c r="AN50" s="33"/>
      <c r="AO50" s="33"/>
      <c r="AP50" s="33"/>
      <c r="AQ50" s="197"/>
      <c r="AR50" s="197"/>
      <c r="AS50" s="197"/>
      <c r="AT50" s="197"/>
      <c r="AU50" s="33"/>
      <c r="AV50" s="33"/>
      <c r="AW50" s="33"/>
      <c r="AX50" s="33"/>
      <c r="AY50" s="76"/>
    </row>
    <row r="51" spans="2:51">
      <c r="B51" s="40">
        <f t="shared" si="31"/>
        <v>71</v>
      </c>
      <c r="C51" s="155">
        <f t="shared" si="38"/>
        <v>75</v>
      </c>
      <c r="D51" s="140">
        <f>D52+30</f>
        <v>601</v>
      </c>
      <c r="E51" s="144">
        <f t="shared" si="29"/>
        <v>1.3</v>
      </c>
      <c r="F51" s="42">
        <f t="shared" si="40"/>
        <v>781.30000000000007</v>
      </c>
      <c r="G51" s="51">
        <f t="shared" si="41"/>
        <v>17.550000000000011</v>
      </c>
      <c r="I51" s="55">
        <v>46</v>
      </c>
      <c r="J51" s="33">
        <f t="shared" si="18"/>
        <v>5</v>
      </c>
      <c r="K51" s="33">
        <f t="shared" si="19"/>
        <v>1.910565629709926</v>
      </c>
      <c r="L51" s="33">
        <f t="shared" si="20"/>
        <v>45</v>
      </c>
      <c r="M51" s="33">
        <f t="shared" si="21"/>
        <v>0</v>
      </c>
      <c r="N51" s="33">
        <f t="shared" si="0"/>
        <v>0</v>
      </c>
      <c r="O51" s="34">
        <f t="shared" si="1"/>
        <v>177.03590180507811</v>
      </c>
      <c r="P51" s="55">
        <v>46</v>
      </c>
      <c r="Q51" s="33">
        <f t="shared" si="15"/>
        <v>-72.800000000000011</v>
      </c>
      <c r="R51" s="33">
        <f t="shared" si="22"/>
        <v>469.30000000000013</v>
      </c>
      <c r="S51" s="33">
        <f t="shared" si="23"/>
        <v>201.79900000000006</v>
      </c>
      <c r="T51" s="33">
        <f t="shared" si="2"/>
        <v>50.139327187086366</v>
      </c>
      <c r="U51" s="33">
        <f t="shared" si="16"/>
        <v>58.82280183601609</v>
      </c>
      <c r="V51" s="33">
        <f t="shared" si="3"/>
        <v>10</v>
      </c>
      <c r="W51" s="33">
        <v>0</v>
      </c>
      <c r="X51" s="33">
        <f t="shared" si="4"/>
        <v>691.14285991623444</v>
      </c>
      <c r="Y51" s="38">
        <f t="shared" si="5"/>
        <v>514.10695811115636</v>
      </c>
      <c r="AA51" s="71">
        <v>46</v>
      </c>
      <c r="AB51" s="33">
        <f t="shared" si="6"/>
        <v>56</v>
      </c>
      <c r="AC51" s="308">
        <f t="shared" si="39"/>
        <v>0.4</v>
      </c>
      <c r="AD51" s="101">
        <f t="shared" si="8"/>
        <v>0.11199999999999999</v>
      </c>
      <c r="AE51" s="101">
        <f t="shared" si="9"/>
        <v>8.7999999999999981E-2</v>
      </c>
      <c r="AF51" s="197">
        <f t="shared" si="34"/>
        <v>37.792847549721657</v>
      </c>
      <c r="AG51" s="197">
        <f t="shared" si="35"/>
        <v>61.603070070333587</v>
      </c>
      <c r="AH51" s="197">
        <f t="shared" si="36"/>
        <v>4.6010695936679458</v>
      </c>
      <c r="AI51" s="202">
        <f t="shared" si="37"/>
        <v>103.99698721372319</v>
      </c>
      <c r="AK51" s="71">
        <v>46</v>
      </c>
      <c r="AL51" s="33"/>
      <c r="AM51" s="33"/>
      <c r="AN51" s="33"/>
      <c r="AO51" s="33"/>
      <c r="AP51" s="33"/>
      <c r="AQ51" s="197"/>
      <c r="AR51" s="197"/>
      <c r="AS51" s="197"/>
      <c r="AT51" s="197"/>
      <c r="AU51" s="33"/>
      <c r="AV51" s="33"/>
      <c r="AW51" s="33"/>
      <c r="AX51" s="33"/>
      <c r="AY51" s="76"/>
    </row>
    <row r="52" spans="2:51">
      <c r="B52" s="40">
        <f t="shared" si="31"/>
        <v>75</v>
      </c>
      <c r="C52" s="155">
        <f t="shared" si="38"/>
        <v>76</v>
      </c>
      <c r="D52" s="140">
        <v>571</v>
      </c>
      <c r="E52" s="144">
        <f t="shared" si="29"/>
        <v>1.3</v>
      </c>
      <c r="F52" s="42">
        <f t="shared" si="40"/>
        <v>742.30000000000007</v>
      </c>
      <c r="G52" s="51">
        <f t="shared" si="41"/>
        <v>-39</v>
      </c>
      <c r="I52" s="55">
        <v>47</v>
      </c>
      <c r="J52" s="33">
        <f t="shared" si="18"/>
        <v>5</v>
      </c>
      <c r="K52" s="33">
        <f t="shared" si="19"/>
        <v>1.910565629709926</v>
      </c>
      <c r="L52" s="33">
        <f t="shared" si="20"/>
        <v>45</v>
      </c>
      <c r="M52" s="33">
        <f t="shared" si="21"/>
        <v>0</v>
      </c>
      <c r="N52" s="33">
        <f t="shared" si="0"/>
        <v>0</v>
      </c>
      <c r="O52" s="34">
        <f t="shared" si="1"/>
        <v>177.03590180507811</v>
      </c>
      <c r="P52" s="55">
        <v>47</v>
      </c>
      <c r="Q52" s="33">
        <f t="shared" si="15"/>
        <v>29.899999999999991</v>
      </c>
      <c r="R52" s="33">
        <f t="shared" si="22"/>
        <v>499.2000000000001</v>
      </c>
      <c r="S52" s="33">
        <f t="shared" si="23"/>
        <v>214.65600000000003</v>
      </c>
      <c r="T52" s="33">
        <f t="shared" si="2"/>
        <v>52.951736650296596</v>
      </c>
      <c r="U52" s="33">
        <f t="shared" si="16"/>
        <v>59.016701235689659</v>
      </c>
      <c r="V52" s="33">
        <f t="shared" si="3"/>
        <v>10</v>
      </c>
      <c r="W52" s="33">
        <v>0</v>
      </c>
      <c r="X52" s="33">
        <f t="shared" si="4"/>
        <v>719.14471253012869</v>
      </c>
      <c r="Y52" s="38">
        <f t="shared" si="5"/>
        <v>542.1088107250506</v>
      </c>
      <c r="AA52" s="71">
        <v>47</v>
      </c>
      <c r="AB52" s="33">
        <f t="shared" si="6"/>
        <v>0</v>
      </c>
      <c r="AC52" s="308">
        <f t="shared" si="39"/>
        <v>0</v>
      </c>
      <c r="AD52" s="101">
        <f t="shared" si="8"/>
        <v>0</v>
      </c>
      <c r="AE52" s="101">
        <f t="shared" si="9"/>
        <v>0</v>
      </c>
      <c r="AF52" s="197">
        <f t="shared" si="34"/>
        <v>37.05175286063249</v>
      </c>
      <c r="AG52" s="197">
        <f t="shared" si="35"/>
        <v>59.918530879695659</v>
      </c>
      <c r="AH52" s="197">
        <f t="shared" si="36"/>
        <v>3.2534475103938374</v>
      </c>
      <c r="AI52" s="202">
        <f t="shared" si="37"/>
        <v>100.22373125072198</v>
      </c>
      <c r="AK52" s="71">
        <v>47</v>
      </c>
      <c r="AL52" s="33"/>
      <c r="AM52" s="33"/>
      <c r="AN52" s="33"/>
      <c r="AO52" s="33"/>
      <c r="AP52" s="33"/>
      <c r="AQ52" s="197"/>
      <c r="AR52" s="197"/>
      <c r="AS52" s="197"/>
      <c r="AT52" s="197"/>
      <c r="AU52" s="33"/>
      <c r="AV52" s="33"/>
      <c r="AW52" s="33"/>
      <c r="AX52" s="33"/>
      <c r="AY52" s="76"/>
    </row>
    <row r="53" spans="2:51">
      <c r="B53" s="40">
        <f t="shared" si="31"/>
        <v>76</v>
      </c>
      <c r="C53" s="155">
        <f t="shared" si="38"/>
        <v>80</v>
      </c>
      <c r="D53" s="140">
        <f>D54+29</f>
        <v>621</v>
      </c>
      <c r="E53" s="144">
        <f t="shared" si="29"/>
        <v>1.3</v>
      </c>
      <c r="F53" s="42">
        <f>D53*E53</f>
        <v>807.30000000000007</v>
      </c>
      <c r="G53" s="51">
        <f>(F53-F52)/(C53-B53)</f>
        <v>16.25</v>
      </c>
      <c r="I53" s="55">
        <v>48</v>
      </c>
      <c r="J53" s="33">
        <f t="shared" si="18"/>
        <v>5</v>
      </c>
      <c r="K53" s="33">
        <f t="shared" si="19"/>
        <v>1.910565629709926</v>
      </c>
      <c r="L53" s="33">
        <f t="shared" si="20"/>
        <v>45</v>
      </c>
      <c r="M53" s="33">
        <f t="shared" si="21"/>
        <v>0</v>
      </c>
      <c r="N53" s="33">
        <f t="shared" si="0"/>
        <v>0</v>
      </c>
      <c r="O53" s="34">
        <f t="shared" si="1"/>
        <v>177.03590180507811</v>
      </c>
      <c r="P53" s="55">
        <v>48</v>
      </c>
      <c r="Q53" s="33">
        <f t="shared" si="15"/>
        <v>29.899999999999991</v>
      </c>
      <c r="R53" s="33">
        <f t="shared" si="22"/>
        <v>529.10000000000014</v>
      </c>
      <c r="S53" s="33">
        <f t="shared" si="23"/>
        <v>227.51300000000006</v>
      </c>
      <c r="T53" s="33">
        <f t="shared" si="2"/>
        <v>55.744594200664011</v>
      </c>
      <c r="U53" s="33">
        <f t="shared" si="16"/>
        <v>59.207236914273011</v>
      </c>
      <c r="V53" s="33">
        <f t="shared" si="3"/>
        <v>10</v>
      </c>
      <c r="W53" s="33">
        <v>0</v>
      </c>
      <c r="X53" s="33">
        <f t="shared" si="4"/>
        <v>747.10017858515766</v>
      </c>
      <c r="Y53" s="38">
        <f t="shared" si="5"/>
        <v>570.06427678007958</v>
      </c>
      <c r="AA53" s="71">
        <v>48</v>
      </c>
      <c r="AB53" s="33">
        <f t="shared" si="6"/>
        <v>0</v>
      </c>
      <c r="AC53" s="308">
        <f t="shared" si="39"/>
        <v>0</v>
      </c>
      <c r="AD53" s="101">
        <f t="shared" si="8"/>
        <v>0</v>
      </c>
      <c r="AE53" s="101">
        <f t="shared" si="9"/>
        <v>0</v>
      </c>
      <c r="AF53" s="197">
        <f t="shared" si="34"/>
        <v>36.325190586373232</v>
      </c>
      <c r="AG53" s="197">
        <f t="shared" si="35"/>
        <v>58.280055501811788</v>
      </c>
      <c r="AH53" s="197">
        <f t="shared" si="36"/>
        <v>2.3005347968339733</v>
      </c>
      <c r="AI53" s="202">
        <f t="shared" si="37"/>
        <v>96.905780885018999</v>
      </c>
      <c r="AK53" s="71">
        <v>48</v>
      </c>
      <c r="AL53" s="33"/>
      <c r="AM53" s="33"/>
      <c r="AN53" s="33"/>
      <c r="AO53" s="33"/>
      <c r="AP53" s="33"/>
      <c r="AQ53" s="197"/>
      <c r="AR53" s="197"/>
      <c r="AS53" s="197"/>
      <c r="AT53" s="197"/>
      <c r="AU53" s="33"/>
      <c r="AV53" s="33"/>
      <c r="AW53" s="33"/>
      <c r="AX53" s="33"/>
      <c r="AY53" s="76"/>
    </row>
    <row r="54" spans="2:51">
      <c r="B54" s="40">
        <f t="shared" si="31"/>
        <v>80</v>
      </c>
      <c r="C54" s="155">
        <f t="shared" si="38"/>
        <v>81</v>
      </c>
      <c r="D54" s="140">
        <v>592</v>
      </c>
      <c r="E54" s="144">
        <f t="shared" si="29"/>
        <v>1.3</v>
      </c>
      <c r="F54" s="42">
        <f>D54*E54</f>
        <v>769.6</v>
      </c>
      <c r="G54" s="51">
        <f>(F54-F53)/(C54-B54)</f>
        <v>-37.700000000000045</v>
      </c>
      <c r="I54" s="55">
        <v>49</v>
      </c>
      <c r="J54" s="33">
        <f t="shared" si="18"/>
        <v>5</v>
      </c>
      <c r="K54" s="33">
        <f t="shared" si="19"/>
        <v>1.910565629709926</v>
      </c>
      <c r="L54" s="33">
        <f t="shared" si="20"/>
        <v>45</v>
      </c>
      <c r="M54" s="33">
        <f t="shared" si="21"/>
        <v>0</v>
      </c>
      <c r="N54" s="33">
        <f t="shared" si="0"/>
        <v>0</v>
      </c>
      <c r="O54" s="34">
        <f t="shared" si="1"/>
        <v>177.03590180507811</v>
      </c>
      <c r="P54" s="55">
        <v>49</v>
      </c>
      <c r="Q54" s="33">
        <f t="shared" si="15"/>
        <v>29.899999999999991</v>
      </c>
      <c r="R54" s="33">
        <f t="shared" si="22"/>
        <v>559.00000000000011</v>
      </c>
      <c r="S54" s="33">
        <f t="shared" si="23"/>
        <v>240.37000000000003</v>
      </c>
      <c r="T54" s="33">
        <f t="shared" si="2"/>
        <v>58.51913064595886</v>
      </c>
      <c r="U54" s="33">
        <f t="shared" si="16"/>
        <v>59.394467224806895</v>
      </c>
      <c r="V54" s="33">
        <f t="shared" si="3"/>
        <v>10</v>
      </c>
      <c r="W54" s="33">
        <v>0</v>
      </c>
      <c r="X54" s="33">
        <f t="shared" si="4"/>
        <v>775.01161569933709</v>
      </c>
      <c r="Y54" s="38">
        <f t="shared" si="5"/>
        <v>597.975713894259</v>
      </c>
      <c r="AA54" s="71">
        <v>49</v>
      </c>
      <c r="AB54" s="33">
        <f t="shared" si="6"/>
        <v>0</v>
      </c>
      <c r="AC54" s="308">
        <f t="shared" si="39"/>
        <v>0</v>
      </c>
      <c r="AD54" s="101">
        <f t="shared" si="8"/>
        <v>0</v>
      </c>
      <c r="AE54" s="101">
        <f t="shared" si="9"/>
        <v>0</v>
      </c>
      <c r="AF54" s="197">
        <f t="shared" si="34"/>
        <v>35.61287575515297</v>
      </c>
      <c r="AG54" s="197">
        <f t="shared" si="35"/>
        <v>56.686384319299826</v>
      </c>
      <c r="AH54" s="197">
        <f t="shared" si="36"/>
        <v>1.6267237551969191</v>
      </c>
      <c r="AI54" s="202">
        <f t="shared" si="37"/>
        <v>93.925983829649724</v>
      </c>
      <c r="AK54" s="71">
        <v>49</v>
      </c>
      <c r="AL54" s="33"/>
      <c r="AM54" s="33"/>
      <c r="AN54" s="33"/>
      <c r="AO54" s="33"/>
      <c r="AP54" s="33"/>
      <c r="AQ54" s="197"/>
      <c r="AR54" s="197"/>
      <c r="AS54" s="197"/>
      <c r="AT54" s="197"/>
      <c r="AU54" s="33"/>
      <c r="AV54" s="33"/>
      <c r="AW54" s="33"/>
      <c r="AX54" s="33"/>
      <c r="AY54" s="76"/>
    </row>
    <row r="55" spans="2:51">
      <c r="B55" s="40"/>
      <c r="C55" s="155"/>
      <c r="D55" s="140"/>
      <c r="E55" s="144"/>
      <c r="F55" s="42"/>
      <c r="G55" s="51"/>
      <c r="I55" s="55">
        <v>50</v>
      </c>
      <c r="J55" s="33">
        <f t="shared" si="18"/>
        <v>5</v>
      </c>
      <c r="K55" s="33">
        <f t="shared" si="19"/>
        <v>1.910565629709926</v>
      </c>
      <c r="L55" s="33">
        <f t="shared" si="20"/>
        <v>45</v>
      </c>
      <c r="M55" s="33">
        <f t="shared" si="21"/>
        <v>0</v>
      </c>
      <c r="N55" s="33">
        <f t="shared" si="0"/>
        <v>0</v>
      </c>
      <c r="O55" s="34">
        <f t="shared" si="1"/>
        <v>177.03590180507811</v>
      </c>
      <c r="P55" s="55">
        <v>50</v>
      </c>
      <c r="Q55" s="33">
        <f t="shared" si="15"/>
        <v>29.899999999999991</v>
      </c>
      <c r="R55" s="33">
        <f t="shared" si="22"/>
        <v>588.90000000000009</v>
      </c>
      <c r="S55" s="33">
        <f t="shared" si="23"/>
        <v>253.22700000000003</v>
      </c>
      <c r="T55" s="33">
        <f t="shared" si="2"/>
        <v>61.276437689755859</v>
      </c>
      <c r="U55" s="33">
        <f t="shared" si="16"/>
        <v>59.578449508037295</v>
      </c>
      <c r="V55" s="33">
        <f t="shared" si="3"/>
        <v>10</v>
      </c>
      <c r="W55" s="33">
        <v>0</v>
      </c>
      <c r="X55" s="33">
        <f t="shared" si="4"/>
        <v>802.88113550579499</v>
      </c>
      <c r="Y55" s="38">
        <f t="shared" si="5"/>
        <v>625.8452337007169</v>
      </c>
      <c r="AA55" s="71">
        <v>50</v>
      </c>
      <c r="AB55" s="33">
        <f t="shared" si="6"/>
        <v>453</v>
      </c>
      <c r="AC55" s="308">
        <f t="shared" si="39"/>
        <v>0.47499999999999998</v>
      </c>
      <c r="AD55" s="101">
        <f t="shared" si="8"/>
        <v>2.8000000000000028E-2</v>
      </c>
      <c r="AE55" s="101">
        <f t="shared" si="9"/>
        <v>2.200000000000002E-2</v>
      </c>
      <c r="AF55" s="197">
        <f t="shared" si="34"/>
        <v>194.47744922815829</v>
      </c>
      <c r="AG55" s="197">
        <f t="shared" si="35"/>
        <v>64.505072130510911</v>
      </c>
      <c r="AH55" s="197">
        <f t="shared" si="36"/>
        <v>7.4579267345431477</v>
      </c>
      <c r="AI55" s="202">
        <f t="shared" si="37"/>
        <v>266.44044809321235</v>
      </c>
      <c r="AK55" s="71">
        <v>50</v>
      </c>
      <c r="AL55" s="33"/>
      <c r="AM55" s="33"/>
      <c r="AN55" s="33"/>
      <c r="AO55" s="33"/>
      <c r="AP55" s="33"/>
      <c r="AQ55" s="197"/>
      <c r="AR55" s="197"/>
      <c r="AS55" s="197"/>
      <c r="AT55" s="197"/>
      <c r="AU55" s="33"/>
      <c r="AV55" s="33"/>
      <c r="AW55" s="33"/>
      <c r="AX55" s="33"/>
      <c r="AY55" s="76"/>
    </row>
    <row r="56" spans="2:51">
      <c r="B56" s="40"/>
      <c r="C56" s="155"/>
      <c r="D56" s="140"/>
      <c r="E56" s="144"/>
      <c r="F56" s="42"/>
      <c r="G56" s="51"/>
      <c r="I56" s="55">
        <v>51</v>
      </c>
      <c r="J56" s="33">
        <f t="shared" si="18"/>
        <v>0</v>
      </c>
      <c r="K56" s="33">
        <f t="shared" si="19"/>
        <v>0</v>
      </c>
      <c r="L56" s="33">
        <f t="shared" si="20"/>
        <v>0</v>
      </c>
      <c r="M56" s="33">
        <f t="shared" si="21"/>
        <v>0</v>
      </c>
      <c r="N56" s="33">
        <f t="shared" si="0"/>
        <v>0</v>
      </c>
      <c r="O56" s="34">
        <f t="shared" si="1"/>
        <v>0</v>
      </c>
      <c r="P56" s="55">
        <v>51</v>
      </c>
      <c r="Q56" s="33">
        <f t="shared" si="15"/>
        <v>0</v>
      </c>
      <c r="R56" s="33">
        <f t="shared" si="22"/>
        <v>0</v>
      </c>
      <c r="S56" s="33">
        <f t="shared" si="23"/>
        <v>0</v>
      </c>
      <c r="T56" s="33">
        <f t="shared" si="2"/>
        <v>0</v>
      </c>
      <c r="U56" s="33">
        <f t="shared" si="16"/>
        <v>0</v>
      </c>
      <c r="V56" s="33">
        <f t="shared" si="3"/>
        <v>0</v>
      </c>
      <c r="W56" s="33">
        <v>0</v>
      </c>
      <c r="X56" s="33">
        <f t="shared" si="4"/>
        <v>0</v>
      </c>
      <c r="Y56" s="38">
        <f t="shared" si="5"/>
        <v>0</v>
      </c>
      <c r="AA56" s="71">
        <v>51</v>
      </c>
      <c r="AB56" s="33">
        <f t="shared" si="6"/>
        <v>0</v>
      </c>
      <c r="AC56" s="308">
        <f t="shared" si="39"/>
        <v>0</v>
      </c>
      <c r="AD56" s="101">
        <f t="shared" si="8"/>
        <v>0</v>
      </c>
      <c r="AE56" s="101">
        <f t="shared" si="9"/>
        <v>0</v>
      </c>
      <c r="AF56" s="197">
        <f t="shared" si="34"/>
        <v>0</v>
      </c>
      <c r="AG56" s="197">
        <f t="shared" si="35"/>
        <v>0</v>
      </c>
      <c r="AH56" s="197">
        <f t="shared" si="36"/>
        <v>0</v>
      </c>
      <c r="AI56" s="202">
        <f t="shared" si="37"/>
        <v>0</v>
      </c>
      <c r="AK56" s="71">
        <v>51</v>
      </c>
      <c r="AL56" s="33"/>
      <c r="AM56" s="33"/>
      <c r="AN56" s="33"/>
      <c r="AO56" s="33"/>
      <c r="AP56" s="33"/>
      <c r="AQ56" s="197"/>
      <c r="AR56" s="197"/>
      <c r="AS56" s="197"/>
      <c r="AT56" s="197"/>
      <c r="AU56" s="33"/>
      <c r="AV56" s="33"/>
      <c r="AW56" s="33"/>
      <c r="AX56" s="33"/>
      <c r="AY56" s="76"/>
    </row>
    <row r="57" spans="2:51">
      <c r="B57" s="40"/>
      <c r="C57" s="155"/>
      <c r="D57" s="140"/>
      <c r="E57" s="144"/>
      <c r="F57" s="42"/>
      <c r="G57" s="51"/>
      <c r="I57" s="55">
        <v>52</v>
      </c>
      <c r="J57" s="33">
        <f t="shared" si="18"/>
        <v>0</v>
      </c>
      <c r="K57" s="33">
        <f t="shared" si="19"/>
        <v>0</v>
      </c>
      <c r="L57" s="33">
        <f t="shared" si="20"/>
        <v>0</v>
      </c>
      <c r="M57" s="33">
        <f t="shared" si="21"/>
        <v>0</v>
      </c>
      <c r="N57" s="33">
        <f t="shared" si="0"/>
        <v>0</v>
      </c>
      <c r="O57" s="34">
        <f t="shared" si="1"/>
        <v>0</v>
      </c>
      <c r="P57" s="55">
        <v>52</v>
      </c>
      <c r="Q57" s="33">
        <f t="shared" si="15"/>
        <v>0</v>
      </c>
      <c r="R57" s="33">
        <f t="shared" si="22"/>
        <v>0</v>
      </c>
      <c r="S57" s="33">
        <f t="shared" si="23"/>
        <v>0</v>
      </c>
      <c r="T57" s="33">
        <f t="shared" si="2"/>
        <v>0</v>
      </c>
      <c r="U57" s="33">
        <f t="shared" si="16"/>
        <v>0</v>
      </c>
      <c r="V57" s="33">
        <f t="shared" si="3"/>
        <v>0</v>
      </c>
      <c r="W57" s="33">
        <v>0</v>
      </c>
      <c r="X57" s="33">
        <f t="shared" si="4"/>
        <v>0</v>
      </c>
      <c r="Y57" s="38">
        <f t="shared" si="5"/>
        <v>0</v>
      </c>
      <c r="AA57" s="71">
        <v>52</v>
      </c>
      <c r="AB57" s="33">
        <f t="shared" si="6"/>
        <v>0</v>
      </c>
      <c r="AC57" s="308">
        <f t="shared" si="39"/>
        <v>0</v>
      </c>
      <c r="AD57" s="101">
        <f t="shared" si="8"/>
        <v>0</v>
      </c>
      <c r="AE57" s="101">
        <f t="shared" si="9"/>
        <v>0</v>
      </c>
      <c r="AF57" s="197">
        <f t="shared" si="34"/>
        <v>0</v>
      </c>
      <c r="AG57" s="197">
        <f t="shared" si="35"/>
        <v>0</v>
      </c>
      <c r="AH57" s="197">
        <f t="shared" si="36"/>
        <v>0</v>
      </c>
      <c r="AI57" s="202">
        <f t="shared" si="37"/>
        <v>0</v>
      </c>
      <c r="AK57" s="71">
        <v>52</v>
      </c>
      <c r="AL57" s="33"/>
      <c r="AM57" s="33"/>
      <c r="AN57" s="33"/>
      <c r="AO57" s="33"/>
      <c r="AP57" s="33"/>
      <c r="AQ57" s="197"/>
      <c r="AR57" s="197"/>
      <c r="AS57" s="197"/>
      <c r="AT57" s="197"/>
      <c r="AU57" s="33"/>
      <c r="AV57" s="33"/>
      <c r="AW57" s="33"/>
      <c r="AX57" s="33"/>
      <c r="AY57" s="76"/>
    </row>
    <row r="58" spans="2:51">
      <c r="B58" s="40"/>
      <c r="C58" s="155"/>
      <c r="D58" s="140"/>
      <c r="E58" s="144"/>
      <c r="F58" s="42"/>
      <c r="G58" s="51"/>
      <c r="I58" s="55">
        <v>53</v>
      </c>
      <c r="J58" s="33">
        <f t="shared" si="18"/>
        <v>0</v>
      </c>
      <c r="K58" s="33">
        <f t="shared" si="19"/>
        <v>0</v>
      </c>
      <c r="L58" s="33">
        <f t="shared" si="20"/>
        <v>0</v>
      </c>
      <c r="M58" s="33">
        <f t="shared" si="21"/>
        <v>0</v>
      </c>
      <c r="N58" s="33">
        <f t="shared" si="0"/>
        <v>0</v>
      </c>
      <c r="O58" s="34">
        <f t="shared" si="1"/>
        <v>0</v>
      </c>
      <c r="P58" s="55">
        <v>53</v>
      </c>
      <c r="Q58" s="33">
        <f t="shared" si="15"/>
        <v>0</v>
      </c>
      <c r="R58" s="33">
        <f t="shared" si="22"/>
        <v>0</v>
      </c>
      <c r="S58" s="33">
        <f t="shared" si="23"/>
        <v>0</v>
      </c>
      <c r="T58" s="33">
        <f t="shared" si="2"/>
        <v>0</v>
      </c>
      <c r="U58" s="33">
        <f t="shared" si="16"/>
        <v>0</v>
      </c>
      <c r="V58" s="33">
        <f t="shared" si="3"/>
        <v>0</v>
      </c>
      <c r="W58" s="33">
        <v>0</v>
      </c>
      <c r="X58" s="33">
        <f t="shared" si="4"/>
        <v>0</v>
      </c>
      <c r="Y58" s="38">
        <f t="shared" si="5"/>
        <v>0</v>
      </c>
      <c r="AA58" s="71">
        <v>53</v>
      </c>
      <c r="AB58" s="33">
        <f t="shared" si="6"/>
        <v>0</v>
      </c>
      <c r="AC58" s="308">
        <f t="shared" si="39"/>
        <v>0</v>
      </c>
      <c r="AD58" s="101">
        <f t="shared" si="8"/>
        <v>0</v>
      </c>
      <c r="AE58" s="101">
        <f t="shared" si="9"/>
        <v>0</v>
      </c>
      <c r="AF58" s="197">
        <f t="shared" si="34"/>
        <v>0</v>
      </c>
      <c r="AG58" s="197">
        <f t="shared" si="35"/>
        <v>0</v>
      </c>
      <c r="AH58" s="197">
        <f t="shared" si="36"/>
        <v>0</v>
      </c>
      <c r="AI58" s="202">
        <f t="shared" si="37"/>
        <v>0</v>
      </c>
      <c r="AK58" s="71">
        <v>53</v>
      </c>
      <c r="AL58" s="33"/>
      <c r="AM58" s="33"/>
      <c r="AN58" s="33"/>
      <c r="AO58" s="33"/>
      <c r="AP58" s="33"/>
      <c r="AQ58" s="197"/>
      <c r="AR58" s="197"/>
      <c r="AS58" s="197"/>
      <c r="AT58" s="197"/>
      <c r="AU58" s="33"/>
      <c r="AV58" s="33"/>
      <c r="AW58" s="33"/>
      <c r="AX58" s="33"/>
      <c r="AY58" s="76"/>
    </row>
    <row r="59" spans="2:51">
      <c r="B59" s="40"/>
      <c r="C59" s="155"/>
      <c r="D59" s="140"/>
      <c r="E59" s="144"/>
      <c r="F59" s="42"/>
      <c r="G59" s="51"/>
      <c r="I59" s="55">
        <v>54</v>
      </c>
      <c r="J59" s="33">
        <f t="shared" si="18"/>
        <v>0</v>
      </c>
      <c r="K59" s="33">
        <f t="shared" si="19"/>
        <v>0</v>
      </c>
      <c r="L59" s="33">
        <f t="shared" si="20"/>
        <v>0</v>
      </c>
      <c r="M59" s="33">
        <f t="shared" si="21"/>
        <v>0</v>
      </c>
      <c r="N59" s="33">
        <f t="shared" si="0"/>
        <v>0</v>
      </c>
      <c r="O59" s="34">
        <f t="shared" si="1"/>
        <v>0</v>
      </c>
      <c r="P59" s="55">
        <v>54</v>
      </c>
      <c r="Q59" s="33">
        <f t="shared" si="15"/>
        <v>0</v>
      </c>
      <c r="R59" s="33">
        <f t="shared" si="22"/>
        <v>0</v>
      </c>
      <c r="S59" s="33">
        <f t="shared" si="23"/>
        <v>0</v>
      </c>
      <c r="T59" s="33">
        <f t="shared" si="2"/>
        <v>0</v>
      </c>
      <c r="U59" s="33">
        <f t="shared" si="16"/>
        <v>0</v>
      </c>
      <c r="V59" s="33">
        <f t="shared" si="3"/>
        <v>0</v>
      </c>
      <c r="W59" s="33">
        <v>0</v>
      </c>
      <c r="X59" s="33">
        <f t="shared" si="4"/>
        <v>0</v>
      </c>
      <c r="Y59" s="38">
        <f t="shared" si="5"/>
        <v>0</v>
      </c>
      <c r="AA59" s="71">
        <v>54</v>
      </c>
      <c r="AB59" s="33">
        <f t="shared" si="6"/>
        <v>0</v>
      </c>
      <c r="AC59" s="308">
        <f t="shared" si="39"/>
        <v>0</v>
      </c>
      <c r="AD59" s="101">
        <f t="shared" si="8"/>
        <v>0</v>
      </c>
      <c r="AE59" s="101">
        <f t="shared" si="9"/>
        <v>0</v>
      </c>
      <c r="AF59" s="197">
        <f t="shared" si="34"/>
        <v>0</v>
      </c>
      <c r="AG59" s="197">
        <f t="shared" si="35"/>
        <v>0</v>
      </c>
      <c r="AH59" s="197">
        <f t="shared" si="36"/>
        <v>0</v>
      </c>
      <c r="AI59" s="202">
        <f t="shared" si="37"/>
        <v>0</v>
      </c>
      <c r="AK59" s="71">
        <v>54</v>
      </c>
      <c r="AL59" s="33"/>
      <c r="AM59" s="33"/>
      <c r="AN59" s="33"/>
      <c r="AO59" s="33"/>
      <c r="AP59" s="33"/>
      <c r="AQ59" s="197"/>
      <c r="AR59" s="197"/>
      <c r="AS59" s="197"/>
      <c r="AT59" s="197"/>
      <c r="AU59" s="33"/>
      <c r="AV59" s="33"/>
      <c r="AW59" s="33"/>
      <c r="AX59" s="33"/>
      <c r="AY59" s="76"/>
    </row>
    <row r="60" spans="2:51">
      <c r="B60" s="40"/>
      <c r="C60" s="155"/>
      <c r="D60" s="140"/>
      <c r="E60" s="144"/>
      <c r="F60" s="42"/>
      <c r="G60" s="51"/>
      <c r="I60" s="55">
        <v>55</v>
      </c>
      <c r="J60" s="33">
        <f t="shared" si="18"/>
        <v>0</v>
      </c>
      <c r="K60" s="33">
        <f t="shared" si="19"/>
        <v>0</v>
      </c>
      <c r="L60" s="33">
        <f t="shared" si="20"/>
        <v>0</v>
      </c>
      <c r="M60" s="33">
        <f t="shared" si="21"/>
        <v>0</v>
      </c>
      <c r="N60" s="33">
        <f t="shared" si="0"/>
        <v>0</v>
      </c>
      <c r="O60" s="34">
        <f t="shared" si="1"/>
        <v>0</v>
      </c>
      <c r="P60" s="55">
        <v>55</v>
      </c>
      <c r="Q60" s="33">
        <f t="shared" si="15"/>
        <v>0</v>
      </c>
      <c r="R60" s="33">
        <f t="shared" si="22"/>
        <v>0</v>
      </c>
      <c r="S60" s="33">
        <f t="shared" si="23"/>
        <v>0</v>
      </c>
      <c r="T60" s="33">
        <f t="shared" si="2"/>
        <v>0</v>
      </c>
      <c r="U60" s="33">
        <f t="shared" si="16"/>
        <v>0</v>
      </c>
      <c r="V60" s="33">
        <f t="shared" si="3"/>
        <v>0</v>
      </c>
      <c r="W60" s="33">
        <v>0</v>
      </c>
      <c r="X60" s="33">
        <f t="shared" si="4"/>
        <v>0</v>
      </c>
      <c r="Y60" s="38">
        <f t="shared" si="5"/>
        <v>0</v>
      </c>
      <c r="AA60" s="71">
        <v>55</v>
      </c>
      <c r="AB60" s="33">
        <f t="shared" si="6"/>
        <v>0</v>
      </c>
      <c r="AC60" s="308">
        <f t="shared" si="39"/>
        <v>0</v>
      </c>
      <c r="AD60" s="101">
        <f t="shared" si="8"/>
        <v>0</v>
      </c>
      <c r="AE60" s="101">
        <f t="shared" si="9"/>
        <v>0</v>
      </c>
      <c r="AF60" s="197">
        <f t="shared" si="34"/>
        <v>0</v>
      </c>
      <c r="AG60" s="197">
        <f t="shared" si="35"/>
        <v>0</v>
      </c>
      <c r="AH60" s="197">
        <f t="shared" si="36"/>
        <v>0</v>
      </c>
      <c r="AI60" s="202">
        <f t="shared" si="37"/>
        <v>0</v>
      </c>
      <c r="AK60" s="71">
        <v>55</v>
      </c>
      <c r="AL60" s="33"/>
      <c r="AM60" s="33"/>
      <c r="AN60" s="33"/>
      <c r="AO60" s="33"/>
      <c r="AP60" s="33"/>
      <c r="AQ60" s="197"/>
      <c r="AR60" s="197"/>
      <c r="AS60" s="197"/>
      <c r="AT60" s="197"/>
      <c r="AU60" s="33"/>
      <c r="AV60" s="33"/>
      <c r="AW60" s="33"/>
      <c r="AX60" s="33"/>
      <c r="AY60" s="76"/>
    </row>
    <row r="61" spans="2:51">
      <c r="B61" s="40"/>
      <c r="C61" s="155"/>
      <c r="D61" s="140"/>
      <c r="E61" s="144"/>
      <c r="F61" s="42"/>
      <c r="G61" s="51"/>
      <c r="I61" s="55">
        <v>56</v>
      </c>
      <c r="J61" s="33">
        <f t="shared" si="18"/>
        <v>0</v>
      </c>
      <c r="K61" s="33">
        <f t="shared" si="19"/>
        <v>0</v>
      </c>
      <c r="L61" s="33">
        <f t="shared" si="20"/>
        <v>0</v>
      </c>
      <c r="M61" s="33">
        <f t="shared" si="21"/>
        <v>0</v>
      </c>
      <c r="N61" s="33">
        <f t="shared" si="0"/>
        <v>0</v>
      </c>
      <c r="O61" s="34">
        <f t="shared" si="1"/>
        <v>0</v>
      </c>
      <c r="P61" s="55">
        <v>56</v>
      </c>
      <c r="Q61" s="33">
        <f t="shared" si="15"/>
        <v>0</v>
      </c>
      <c r="R61" s="33">
        <f t="shared" si="22"/>
        <v>0</v>
      </c>
      <c r="S61" s="33">
        <f t="shared" si="23"/>
        <v>0</v>
      </c>
      <c r="T61" s="33">
        <f t="shared" si="2"/>
        <v>0</v>
      </c>
      <c r="U61" s="33">
        <f t="shared" si="16"/>
        <v>0</v>
      </c>
      <c r="V61" s="33">
        <f t="shared" si="3"/>
        <v>0</v>
      </c>
      <c r="W61" s="33">
        <v>0</v>
      </c>
      <c r="X61" s="33">
        <f t="shared" si="4"/>
        <v>0</v>
      </c>
      <c r="Y61" s="38">
        <f t="shared" si="5"/>
        <v>0</v>
      </c>
      <c r="AA61" s="71">
        <v>56</v>
      </c>
      <c r="AB61" s="33">
        <f t="shared" si="6"/>
        <v>0</v>
      </c>
      <c r="AC61" s="308">
        <f t="shared" si="39"/>
        <v>0</v>
      </c>
      <c r="AD61" s="101">
        <f t="shared" si="8"/>
        <v>0</v>
      </c>
      <c r="AE61" s="101">
        <f t="shared" si="9"/>
        <v>0</v>
      </c>
      <c r="AF61" s="197">
        <f t="shared" si="34"/>
        <v>0</v>
      </c>
      <c r="AG61" s="197">
        <f t="shared" si="35"/>
        <v>0</v>
      </c>
      <c r="AH61" s="197">
        <f t="shared" si="36"/>
        <v>0</v>
      </c>
      <c r="AI61" s="202">
        <f t="shared" si="37"/>
        <v>0</v>
      </c>
      <c r="AK61" s="71">
        <v>56</v>
      </c>
      <c r="AL61" s="33"/>
      <c r="AM61" s="33"/>
      <c r="AN61" s="33"/>
      <c r="AO61" s="33"/>
      <c r="AP61" s="33"/>
      <c r="AQ61" s="197"/>
      <c r="AR61" s="197"/>
      <c r="AS61" s="197"/>
      <c r="AT61" s="197"/>
      <c r="AU61" s="33"/>
      <c r="AV61" s="33"/>
      <c r="AW61" s="33"/>
      <c r="AX61" s="33"/>
      <c r="AY61" s="76"/>
    </row>
    <row r="62" spans="2:51">
      <c r="B62" s="40"/>
      <c r="C62" s="155"/>
      <c r="D62" s="140"/>
      <c r="E62" s="144"/>
      <c r="F62" s="42"/>
      <c r="G62" s="51"/>
      <c r="I62" s="55">
        <v>57</v>
      </c>
      <c r="J62" s="33">
        <f t="shared" si="18"/>
        <v>0</v>
      </c>
      <c r="K62" s="33">
        <f t="shared" si="19"/>
        <v>0</v>
      </c>
      <c r="L62" s="33">
        <f t="shared" si="20"/>
        <v>0</v>
      </c>
      <c r="M62" s="33">
        <f t="shared" si="21"/>
        <v>0</v>
      </c>
      <c r="N62" s="33">
        <f t="shared" si="0"/>
        <v>0</v>
      </c>
      <c r="O62" s="34">
        <f t="shared" si="1"/>
        <v>0</v>
      </c>
      <c r="P62" s="55">
        <v>57</v>
      </c>
      <c r="Q62" s="33">
        <f t="shared" si="15"/>
        <v>0</v>
      </c>
      <c r="R62" s="33">
        <f t="shared" si="22"/>
        <v>0</v>
      </c>
      <c r="S62" s="33">
        <f t="shared" si="23"/>
        <v>0</v>
      </c>
      <c r="T62" s="33">
        <f t="shared" si="2"/>
        <v>0</v>
      </c>
      <c r="U62" s="33">
        <f t="shared" si="16"/>
        <v>0</v>
      </c>
      <c r="V62" s="33">
        <f t="shared" si="3"/>
        <v>0</v>
      </c>
      <c r="W62" s="33">
        <v>0</v>
      </c>
      <c r="X62" s="33">
        <f t="shared" si="4"/>
        <v>0</v>
      </c>
      <c r="Y62" s="38">
        <f t="shared" si="5"/>
        <v>0</v>
      </c>
      <c r="AA62" s="71">
        <v>57</v>
      </c>
      <c r="AB62" s="33">
        <f t="shared" si="6"/>
        <v>0</v>
      </c>
      <c r="AC62" s="308">
        <f t="shared" si="39"/>
        <v>0</v>
      </c>
      <c r="AD62" s="101">
        <f t="shared" si="8"/>
        <v>0</v>
      </c>
      <c r="AE62" s="101">
        <f t="shared" si="9"/>
        <v>0</v>
      </c>
      <c r="AF62" s="197">
        <f t="shared" si="34"/>
        <v>0</v>
      </c>
      <c r="AG62" s="197">
        <f t="shared" si="35"/>
        <v>0</v>
      </c>
      <c r="AH62" s="197">
        <f t="shared" si="36"/>
        <v>0</v>
      </c>
      <c r="AI62" s="202">
        <f t="shared" si="37"/>
        <v>0</v>
      </c>
      <c r="AK62" s="71">
        <v>57</v>
      </c>
      <c r="AL62" s="33"/>
      <c r="AM62" s="33"/>
      <c r="AN62" s="33"/>
      <c r="AO62" s="33"/>
      <c r="AP62" s="33"/>
      <c r="AQ62" s="197"/>
      <c r="AR62" s="197"/>
      <c r="AS62" s="197"/>
      <c r="AT62" s="197"/>
      <c r="AU62" s="33"/>
      <c r="AV62" s="33"/>
      <c r="AW62" s="33"/>
      <c r="AX62" s="33"/>
      <c r="AY62" s="76"/>
    </row>
    <row r="63" spans="2:51">
      <c r="B63" s="40"/>
      <c r="C63" s="155"/>
      <c r="D63" s="140"/>
      <c r="E63" s="144"/>
      <c r="F63" s="42"/>
      <c r="G63" s="51"/>
      <c r="I63" s="55">
        <v>58</v>
      </c>
      <c r="J63" s="33">
        <f t="shared" si="18"/>
        <v>0</v>
      </c>
      <c r="K63" s="33">
        <f t="shared" si="19"/>
        <v>0</v>
      </c>
      <c r="L63" s="33">
        <f t="shared" si="20"/>
        <v>0</v>
      </c>
      <c r="M63" s="33">
        <f t="shared" si="21"/>
        <v>0</v>
      </c>
      <c r="N63" s="33">
        <f t="shared" si="0"/>
        <v>0</v>
      </c>
      <c r="O63" s="34">
        <f t="shared" si="1"/>
        <v>0</v>
      </c>
      <c r="P63" s="55">
        <v>58</v>
      </c>
      <c r="Q63" s="33">
        <f t="shared" si="15"/>
        <v>0</v>
      </c>
      <c r="R63" s="33">
        <f t="shared" si="22"/>
        <v>0</v>
      </c>
      <c r="S63" s="33">
        <f t="shared" si="23"/>
        <v>0</v>
      </c>
      <c r="T63" s="33">
        <f t="shared" si="2"/>
        <v>0</v>
      </c>
      <c r="U63" s="33">
        <f t="shared" si="16"/>
        <v>0</v>
      </c>
      <c r="V63" s="33">
        <f t="shared" si="3"/>
        <v>0</v>
      </c>
      <c r="W63" s="33">
        <v>0</v>
      </c>
      <c r="X63" s="33">
        <f t="shared" si="4"/>
        <v>0</v>
      </c>
      <c r="Y63" s="38">
        <f t="shared" si="5"/>
        <v>0</v>
      </c>
      <c r="AA63" s="71">
        <v>58</v>
      </c>
      <c r="AB63" s="33">
        <f t="shared" si="6"/>
        <v>0</v>
      </c>
      <c r="AC63" s="308">
        <f t="shared" si="39"/>
        <v>0</v>
      </c>
      <c r="AD63" s="101">
        <f t="shared" si="8"/>
        <v>0</v>
      </c>
      <c r="AE63" s="101">
        <f t="shared" si="9"/>
        <v>0</v>
      </c>
      <c r="AF63" s="197">
        <f t="shared" si="34"/>
        <v>0</v>
      </c>
      <c r="AG63" s="197">
        <f t="shared" si="35"/>
        <v>0</v>
      </c>
      <c r="AH63" s="197">
        <f t="shared" si="36"/>
        <v>0</v>
      </c>
      <c r="AI63" s="202">
        <f t="shared" si="37"/>
        <v>0</v>
      </c>
      <c r="AK63" s="71">
        <v>58</v>
      </c>
      <c r="AL63" s="33"/>
      <c r="AM63" s="33"/>
      <c r="AN63" s="33"/>
      <c r="AO63" s="33"/>
      <c r="AP63" s="33"/>
      <c r="AQ63" s="197"/>
      <c r="AR63" s="197"/>
      <c r="AS63" s="197"/>
      <c r="AT63" s="197"/>
      <c r="AU63" s="33"/>
      <c r="AV63" s="33"/>
      <c r="AW63" s="33"/>
      <c r="AX63" s="33"/>
      <c r="AY63" s="76"/>
    </row>
    <row r="64" spans="2:51">
      <c r="B64" s="40"/>
      <c r="C64" s="155"/>
      <c r="D64" s="140"/>
      <c r="E64" s="144"/>
      <c r="F64" s="42"/>
      <c r="G64" s="51"/>
      <c r="I64" s="55">
        <v>59</v>
      </c>
      <c r="J64" s="33">
        <f t="shared" si="18"/>
        <v>0</v>
      </c>
      <c r="K64" s="33">
        <f t="shared" si="19"/>
        <v>0</v>
      </c>
      <c r="L64" s="33">
        <f t="shared" si="20"/>
        <v>0</v>
      </c>
      <c r="M64" s="33">
        <f t="shared" si="21"/>
        <v>0</v>
      </c>
      <c r="N64" s="33">
        <f t="shared" si="0"/>
        <v>0</v>
      </c>
      <c r="O64" s="34">
        <f t="shared" si="1"/>
        <v>0</v>
      </c>
      <c r="P64" s="55">
        <v>59</v>
      </c>
      <c r="Q64" s="33">
        <f t="shared" si="15"/>
        <v>0</v>
      </c>
      <c r="R64" s="33">
        <f t="shared" si="22"/>
        <v>0</v>
      </c>
      <c r="S64" s="33">
        <f t="shared" si="23"/>
        <v>0</v>
      </c>
      <c r="T64" s="33">
        <f t="shared" si="2"/>
        <v>0</v>
      </c>
      <c r="U64" s="33">
        <f t="shared" si="16"/>
        <v>0</v>
      </c>
      <c r="V64" s="33">
        <f t="shared" si="3"/>
        <v>0</v>
      </c>
      <c r="W64" s="33">
        <v>0</v>
      </c>
      <c r="X64" s="33">
        <f t="shared" si="4"/>
        <v>0</v>
      </c>
      <c r="Y64" s="38">
        <f t="shared" si="5"/>
        <v>0</v>
      </c>
      <c r="AA64" s="71">
        <v>59</v>
      </c>
      <c r="AB64" s="33">
        <f t="shared" si="6"/>
        <v>0</v>
      </c>
      <c r="AC64" s="308">
        <f t="shared" si="39"/>
        <v>0</v>
      </c>
      <c r="AD64" s="101">
        <f t="shared" si="8"/>
        <v>0</v>
      </c>
      <c r="AE64" s="101">
        <f t="shared" si="9"/>
        <v>0</v>
      </c>
      <c r="AF64" s="197">
        <f t="shared" si="34"/>
        <v>0</v>
      </c>
      <c r="AG64" s="197">
        <f t="shared" si="35"/>
        <v>0</v>
      </c>
      <c r="AH64" s="197">
        <f t="shared" si="36"/>
        <v>0</v>
      </c>
      <c r="AI64" s="202">
        <f t="shared" si="37"/>
        <v>0</v>
      </c>
      <c r="AK64" s="71">
        <v>59</v>
      </c>
      <c r="AL64" s="33"/>
      <c r="AM64" s="33"/>
      <c r="AN64" s="33"/>
      <c r="AO64" s="33"/>
      <c r="AP64" s="33"/>
      <c r="AQ64" s="197"/>
      <c r="AR64" s="197"/>
      <c r="AS64" s="197"/>
      <c r="AT64" s="197"/>
      <c r="AU64" s="33"/>
      <c r="AV64" s="33"/>
      <c r="AW64" s="33"/>
      <c r="AX64" s="33"/>
      <c r="AY64" s="76"/>
    </row>
    <row r="65" spans="2:51">
      <c r="B65" s="40"/>
      <c r="C65" s="155"/>
      <c r="D65" s="140"/>
      <c r="E65" s="144"/>
      <c r="F65" s="42"/>
      <c r="G65" s="51"/>
      <c r="I65" s="55">
        <v>60</v>
      </c>
      <c r="J65" s="33">
        <f t="shared" si="18"/>
        <v>0</v>
      </c>
      <c r="K65" s="33">
        <f t="shared" si="19"/>
        <v>0</v>
      </c>
      <c r="L65" s="33">
        <f t="shared" si="20"/>
        <v>0</v>
      </c>
      <c r="M65" s="33">
        <f t="shared" si="21"/>
        <v>0</v>
      </c>
      <c r="N65" s="33">
        <f t="shared" si="0"/>
        <v>0</v>
      </c>
      <c r="O65" s="34">
        <f t="shared" si="1"/>
        <v>0</v>
      </c>
      <c r="P65" s="55">
        <v>60</v>
      </c>
      <c r="Q65" s="33">
        <f t="shared" si="15"/>
        <v>0</v>
      </c>
      <c r="R65" s="33">
        <f t="shared" si="22"/>
        <v>0</v>
      </c>
      <c r="S65" s="33">
        <f t="shared" si="23"/>
        <v>0</v>
      </c>
      <c r="T65" s="33">
        <f t="shared" si="2"/>
        <v>0</v>
      </c>
      <c r="U65" s="33">
        <f t="shared" si="16"/>
        <v>0</v>
      </c>
      <c r="V65" s="33">
        <f t="shared" si="3"/>
        <v>0</v>
      </c>
      <c r="W65" s="33">
        <v>0</v>
      </c>
      <c r="X65" s="33">
        <f t="shared" si="4"/>
        <v>0</v>
      </c>
      <c r="Y65" s="38">
        <f t="shared" si="5"/>
        <v>0</v>
      </c>
      <c r="AA65" s="71">
        <v>60</v>
      </c>
      <c r="AB65" s="33">
        <f t="shared" si="6"/>
        <v>0</v>
      </c>
      <c r="AC65" s="308">
        <f t="shared" si="39"/>
        <v>0</v>
      </c>
      <c r="AD65" s="101">
        <f t="shared" si="8"/>
        <v>0</v>
      </c>
      <c r="AE65" s="101">
        <f t="shared" si="9"/>
        <v>0</v>
      </c>
      <c r="AF65" s="197">
        <f t="shared" si="34"/>
        <v>0</v>
      </c>
      <c r="AG65" s="197">
        <f t="shared" si="35"/>
        <v>0</v>
      </c>
      <c r="AH65" s="197">
        <f t="shared" si="36"/>
        <v>0</v>
      </c>
      <c r="AI65" s="202">
        <f t="shared" si="37"/>
        <v>0</v>
      </c>
      <c r="AK65" s="71">
        <v>60</v>
      </c>
      <c r="AL65" s="33"/>
      <c r="AM65" s="33"/>
      <c r="AN65" s="33"/>
      <c r="AO65" s="33"/>
      <c r="AP65" s="33"/>
      <c r="AQ65" s="197"/>
      <c r="AR65" s="197"/>
      <c r="AS65" s="197"/>
      <c r="AT65" s="197"/>
      <c r="AU65" s="33"/>
      <c r="AV65" s="33"/>
      <c r="AW65" s="33"/>
      <c r="AX65" s="33"/>
      <c r="AY65" s="76"/>
    </row>
    <row r="66" spans="2:51">
      <c r="B66" s="40"/>
      <c r="C66" s="155"/>
      <c r="D66" s="140"/>
      <c r="E66" s="144"/>
      <c r="F66" s="42"/>
      <c r="G66" s="51"/>
      <c r="I66" s="55">
        <v>61</v>
      </c>
      <c r="J66" s="33">
        <f t="shared" si="18"/>
        <v>0</v>
      </c>
      <c r="K66" s="33">
        <f t="shared" si="19"/>
        <v>0</v>
      </c>
      <c r="L66" s="33">
        <f t="shared" si="20"/>
        <v>0</v>
      </c>
      <c r="M66" s="33">
        <f t="shared" si="21"/>
        <v>0</v>
      </c>
      <c r="N66" s="33">
        <f t="shared" si="0"/>
        <v>0</v>
      </c>
      <c r="O66" s="34">
        <f t="shared" si="1"/>
        <v>0</v>
      </c>
      <c r="P66" s="55">
        <v>61</v>
      </c>
      <c r="Q66" s="33">
        <f t="shared" si="15"/>
        <v>0</v>
      </c>
      <c r="R66" s="33">
        <f t="shared" si="22"/>
        <v>0</v>
      </c>
      <c r="S66" s="33">
        <f t="shared" si="23"/>
        <v>0</v>
      </c>
      <c r="T66" s="33">
        <f t="shared" si="2"/>
        <v>0</v>
      </c>
      <c r="U66" s="33">
        <f t="shared" si="16"/>
        <v>0</v>
      </c>
      <c r="V66" s="33">
        <f t="shared" si="3"/>
        <v>0</v>
      </c>
      <c r="W66" s="33">
        <v>0</v>
      </c>
      <c r="X66" s="33">
        <f t="shared" si="4"/>
        <v>0</v>
      </c>
      <c r="Y66" s="38">
        <f t="shared" si="5"/>
        <v>0</v>
      </c>
      <c r="AA66" s="71">
        <v>61</v>
      </c>
      <c r="AB66" s="33">
        <f t="shared" si="6"/>
        <v>0</v>
      </c>
      <c r="AC66" s="308">
        <f t="shared" si="39"/>
        <v>0</v>
      </c>
      <c r="AD66" s="101">
        <f t="shared" si="8"/>
        <v>0</v>
      </c>
      <c r="AE66" s="101">
        <f t="shared" si="9"/>
        <v>0</v>
      </c>
      <c r="AF66" s="197">
        <f t="shared" si="34"/>
        <v>0</v>
      </c>
      <c r="AG66" s="197">
        <f t="shared" si="35"/>
        <v>0</v>
      </c>
      <c r="AH66" s="197">
        <f t="shared" si="36"/>
        <v>0</v>
      </c>
      <c r="AI66" s="202">
        <f t="shared" si="37"/>
        <v>0</v>
      </c>
      <c r="AK66" s="71">
        <v>61</v>
      </c>
      <c r="AL66" s="33"/>
      <c r="AM66" s="33"/>
      <c r="AN66" s="33"/>
      <c r="AO66" s="33"/>
      <c r="AP66" s="33"/>
      <c r="AQ66" s="197"/>
      <c r="AR66" s="197"/>
      <c r="AS66" s="197"/>
      <c r="AT66" s="197"/>
      <c r="AU66" s="33"/>
      <c r="AV66" s="33"/>
      <c r="AW66" s="33"/>
      <c r="AX66" s="33"/>
      <c r="AY66" s="76"/>
    </row>
    <row r="67" spans="2:51">
      <c r="B67" s="40"/>
      <c r="C67" s="155"/>
      <c r="D67" s="140"/>
      <c r="E67" s="144"/>
      <c r="F67" s="42"/>
      <c r="G67" s="51"/>
      <c r="I67" s="55">
        <v>62</v>
      </c>
      <c r="J67" s="33">
        <f t="shared" si="18"/>
        <v>0</v>
      </c>
      <c r="K67" s="33">
        <f t="shared" si="19"/>
        <v>0</v>
      </c>
      <c r="L67" s="33">
        <f t="shared" si="20"/>
        <v>0</v>
      </c>
      <c r="M67" s="33">
        <f t="shared" si="21"/>
        <v>0</v>
      </c>
      <c r="N67" s="33">
        <f t="shared" si="0"/>
        <v>0</v>
      </c>
      <c r="O67" s="34">
        <f t="shared" si="1"/>
        <v>0</v>
      </c>
      <c r="P67" s="55">
        <v>62</v>
      </c>
      <c r="Q67" s="33">
        <f t="shared" si="15"/>
        <v>0</v>
      </c>
      <c r="R67" s="33">
        <f t="shared" si="22"/>
        <v>0</v>
      </c>
      <c r="S67" s="33">
        <f t="shared" si="23"/>
        <v>0</v>
      </c>
      <c r="T67" s="33">
        <f t="shared" si="2"/>
        <v>0</v>
      </c>
      <c r="U67" s="33">
        <f t="shared" si="16"/>
        <v>0</v>
      </c>
      <c r="V67" s="33">
        <f t="shared" si="3"/>
        <v>0</v>
      </c>
      <c r="W67" s="33">
        <v>0</v>
      </c>
      <c r="X67" s="33">
        <f t="shared" si="4"/>
        <v>0</v>
      </c>
      <c r="Y67" s="38">
        <f t="shared" si="5"/>
        <v>0</v>
      </c>
      <c r="AA67" s="71">
        <v>62</v>
      </c>
      <c r="AB67" s="33">
        <f t="shared" si="6"/>
        <v>0</v>
      </c>
      <c r="AC67" s="308">
        <f t="shared" si="39"/>
        <v>0</v>
      </c>
      <c r="AD67" s="101">
        <f t="shared" si="8"/>
        <v>0</v>
      </c>
      <c r="AE67" s="101">
        <f t="shared" si="9"/>
        <v>0</v>
      </c>
      <c r="AF67" s="197">
        <f t="shared" si="34"/>
        <v>0</v>
      </c>
      <c r="AG67" s="197">
        <f t="shared" si="35"/>
        <v>0</v>
      </c>
      <c r="AH67" s="197">
        <f t="shared" si="36"/>
        <v>0</v>
      </c>
      <c r="AI67" s="202">
        <f t="shared" si="37"/>
        <v>0</v>
      </c>
      <c r="AK67" s="71">
        <v>62</v>
      </c>
      <c r="AL67" s="33"/>
      <c r="AM67" s="33"/>
      <c r="AN67" s="33"/>
      <c r="AO67" s="33"/>
      <c r="AP67" s="33"/>
      <c r="AQ67" s="197"/>
      <c r="AR67" s="197"/>
      <c r="AS67" s="197"/>
      <c r="AT67" s="197"/>
      <c r="AU67" s="33"/>
      <c r="AV67" s="33"/>
      <c r="AW67" s="33"/>
      <c r="AX67" s="33"/>
      <c r="AY67" s="76"/>
    </row>
    <row r="68" spans="2:51">
      <c r="B68" s="40"/>
      <c r="C68" s="155"/>
      <c r="D68" s="140"/>
      <c r="E68" s="144"/>
      <c r="F68" s="42"/>
      <c r="G68" s="51"/>
      <c r="I68" s="55">
        <v>63</v>
      </c>
      <c r="J68" s="33">
        <f t="shared" si="18"/>
        <v>0</v>
      </c>
      <c r="K68" s="33">
        <f t="shared" si="19"/>
        <v>0</v>
      </c>
      <c r="L68" s="33">
        <f t="shared" si="20"/>
        <v>0</v>
      </c>
      <c r="M68" s="33">
        <f t="shared" si="21"/>
        <v>0</v>
      </c>
      <c r="N68" s="33">
        <f t="shared" si="0"/>
        <v>0</v>
      </c>
      <c r="O68" s="34">
        <f t="shared" si="1"/>
        <v>0</v>
      </c>
      <c r="P68" s="55">
        <v>63</v>
      </c>
      <c r="Q68" s="33">
        <f t="shared" si="15"/>
        <v>0</v>
      </c>
      <c r="R68" s="33">
        <f t="shared" si="22"/>
        <v>0</v>
      </c>
      <c r="S68" s="33">
        <f t="shared" si="23"/>
        <v>0</v>
      </c>
      <c r="T68" s="33">
        <f t="shared" si="2"/>
        <v>0</v>
      </c>
      <c r="U68" s="33">
        <f t="shared" si="16"/>
        <v>0</v>
      </c>
      <c r="V68" s="33">
        <f t="shared" si="3"/>
        <v>0</v>
      </c>
      <c r="W68" s="33">
        <v>0</v>
      </c>
      <c r="X68" s="33">
        <f t="shared" si="4"/>
        <v>0</v>
      </c>
      <c r="Y68" s="38">
        <f t="shared" si="5"/>
        <v>0</v>
      </c>
      <c r="AA68" s="71">
        <v>63</v>
      </c>
      <c r="AB68" s="33">
        <f t="shared" si="6"/>
        <v>0</v>
      </c>
      <c r="AC68" s="308">
        <f t="shared" si="39"/>
        <v>0</v>
      </c>
      <c r="AD68" s="101">
        <f t="shared" si="8"/>
        <v>0</v>
      </c>
      <c r="AE68" s="101">
        <f t="shared" si="9"/>
        <v>0</v>
      </c>
      <c r="AF68" s="197">
        <f t="shared" si="34"/>
        <v>0</v>
      </c>
      <c r="AG68" s="197">
        <f t="shared" si="35"/>
        <v>0</v>
      </c>
      <c r="AH68" s="197">
        <f t="shared" si="36"/>
        <v>0</v>
      </c>
      <c r="AI68" s="202">
        <f t="shared" si="37"/>
        <v>0</v>
      </c>
      <c r="AK68" s="71">
        <v>63</v>
      </c>
      <c r="AL68" s="33"/>
      <c r="AM68" s="33"/>
      <c r="AN68" s="33"/>
      <c r="AO68" s="33"/>
      <c r="AP68" s="33"/>
      <c r="AQ68" s="197"/>
      <c r="AR68" s="197"/>
      <c r="AS68" s="197"/>
      <c r="AT68" s="197"/>
      <c r="AU68" s="33"/>
      <c r="AV68" s="33"/>
      <c r="AW68" s="33"/>
      <c r="AX68" s="33"/>
      <c r="AY68" s="76"/>
    </row>
    <row r="69" spans="2:51">
      <c r="B69" s="40"/>
      <c r="C69" s="155"/>
      <c r="D69" s="140"/>
      <c r="E69" s="144"/>
      <c r="F69" s="42"/>
      <c r="G69" s="51"/>
      <c r="I69" s="55">
        <v>64</v>
      </c>
      <c r="J69" s="33">
        <f t="shared" si="18"/>
        <v>0</v>
      </c>
      <c r="K69" s="33">
        <f t="shared" si="19"/>
        <v>0</v>
      </c>
      <c r="L69" s="33">
        <f t="shared" si="20"/>
        <v>0</v>
      </c>
      <c r="M69" s="33">
        <f t="shared" si="21"/>
        <v>0</v>
      </c>
      <c r="N69" s="33">
        <f t="shared" ref="N69:N132" si="42">IF(P70&lt;=$F$18,0,)</f>
        <v>0</v>
      </c>
      <c r="O69" s="34">
        <f t="shared" ref="O69:O132" si="43">((J69+K69)*0.475+L69+M69+N69)*44/12</f>
        <v>0</v>
      </c>
      <c r="P69" s="55">
        <v>64</v>
      </c>
      <c r="Q69" s="33">
        <f t="shared" si="15"/>
        <v>0</v>
      </c>
      <c r="R69" s="33">
        <f t="shared" si="22"/>
        <v>0</v>
      </c>
      <c r="S69" s="33">
        <f t="shared" si="23"/>
        <v>0</v>
      </c>
      <c r="T69" s="33">
        <f t="shared" ref="T69:T132" si="44">IF(S69=0,0,EXP(-1.0587+0.8836*LN(S69)+0.284))</f>
        <v>0</v>
      </c>
      <c r="U69" s="33">
        <f t="shared" si="16"/>
        <v>0</v>
      </c>
      <c r="V69" s="33">
        <f t="shared" ref="V69:V132" si="45">IF(P69&lt;=$F$18,IF(P69&lt;=30,P69*($F$16-$F$6)/30,$F$16-$F$6),)</f>
        <v>0</v>
      </c>
      <c r="W69" s="33">
        <v>0</v>
      </c>
      <c r="X69" s="33">
        <f t="shared" ref="X69:X132" si="46">((S69+T69)*0.475+U69+V69+W69)*44/12</f>
        <v>0</v>
      </c>
      <c r="Y69" s="38">
        <f t="shared" ref="Y69:Y132" si="47">IF(P69&lt;=$F$18,X69-O69,)</f>
        <v>0</v>
      </c>
      <c r="AA69" s="71">
        <v>64</v>
      </c>
      <c r="AB69" s="33">
        <f t="shared" ref="AB69:AB132" si="48">IF(AA69&lt;=$F$18,IFERROR(VLOOKUP($AA69,$B$82:$G$94,2,FALSE),0),)</f>
        <v>0</v>
      </c>
      <c r="AC69" s="308">
        <f t="shared" si="39"/>
        <v>0</v>
      </c>
      <c r="AD69" s="101">
        <f t="shared" ref="AD69:AD132" si="49">IF(AA69&lt;=$F$18,IFERROR(VLOOKUP($AA69,$B$82:$G$94,4,FALSE),0),)</f>
        <v>0</v>
      </c>
      <c r="AE69" s="101">
        <f t="shared" ref="AE69:AE132" si="50">IF(AA69&lt;=$F$18,IFERROR(VLOOKUP($AA69,$B$82:$G$94,5,FALSE),0),)</f>
        <v>0</v>
      </c>
      <c r="AF69" s="197">
        <f t="shared" si="34"/>
        <v>0</v>
      </c>
      <c r="AG69" s="197">
        <f t="shared" si="35"/>
        <v>0</v>
      </c>
      <c r="AH69" s="197">
        <f t="shared" si="36"/>
        <v>0</v>
      </c>
      <c r="AI69" s="202">
        <f t="shared" si="37"/>
        <v>0</v>
      </c>
      <c r="AK69" s="71">
        <v>64</v>
      </c>
      <c r="AL69" s="33"/>
      <c r="AM69" s="33"/>
      <c r="AN69" s="33"/>
      <c r="AO69" s="33"/>
      <c r="AP69" s="33"/>
      <c r="AQ69" s="197"/>
      <c r="AR69" s="197"/>
      <c r="AS69" s="197"/>
      <c r="AT69" s="197"/>
      <c r="AU69" s="33"/>
      <c r="AV69" s="33"/>
      <c r="AW69" s="33"/>
      <c r="AX69" s="33"/>
      <c r="AY69" s="76"/>
    </row>
    <row r="70" spans="2:51">
      <c r="B70" s="40"/>
      <c r="C70" s="155"/>
      <c r="D70" s="140"/>
      <c r="E70" s="144"/>
      <c r="F70" s="42"/>
      <c r="G70" s="51"/>
      <c r="I70" s="55">
        <v>65</v>
      </c>
      <c r="J70" s="33">
        <f t="shared" si="18"/>
        <v>0</v>
      </c>
      <c r="K70" s="33">
        <f t="shared" si="19"/>
        <v>0</v>
      </c>
      <c r="L70" s="33">
        <f t="shared" si="20"/>
        <v>0</v>
      </c>
      <c r="M70" s="33">
        <f t="shared" si="21"/>
        <v>0</v>
      </c>
      <c r="N70" s="33">
        <f t="shared" si="42"/>
        <v>0</v>
      </c>
      <c r="O70" s="34">
        <f t="shared" si="43"/>
        <v>0</v>
      </c>
      <c r="P70" s="55">
        <v>65</v>
      </c>
      <c r="Q70" s="33">
        <f t="shared" ref="Q70:Q133" si="51">IF(P70&lt;=$F$18,LOOKUP(P70-1,$B$25:$B$78,$G$25:$G$78),)</f>
        <v>0</v>
      </c>
      <c r="R70" s="33">
        <f t="shared" si="22"/>
        <v>0</v>
      </c>
      <c r="S70" s="33">
        <f t="shared" si="23"/>
        <v>0</v>
      </c>
      <c r="T70" s="33">
        <f t="shared" si="44"/>
        <v>0</v>
      </c>
      <c r="U70" s="33">
        <f t="shared" ref="U70:U133" si="52">IF(P70&lt;=$F$18,$F$5+($F$15-$F$5)*(1-EXP(-0.0175*P70)),)</f>
        <v>0</v>
      </c>
      <c r="V70" s="33">
        <f t="shared" si="45"/>
        <v>0</v>
      </c>
      <c r="W70" s="33">
        <v>0</v>
      </c>
      <c r="X70" s="33">
        <f t="shared" si="46"/>
        <v>0</v>
      </c>
      <c r="Y70" s="38">
        <f t="shared" si="47"/>
        <v>0</v>
      </c>
      <c r="AA70" s="71">
        <v>65</v>
      </c>
      <c r="AB70" s="33">
        <f t="shared" si="48"/>
        <v>0</v>
      </c>
      <c r="AC70" s="308">
        <f t="shared" si="39"/>
        <v>0</v>
      </c>
      <c r="AD70" s="101">
        <f t="shared" si="49"/>
        <v>0</v>
      </c>
      <c r="AE70" s="101">
        <f t="shared" si="50"/>
        <v>0</v>
      </c>
      <c r="AF70" s="197">
        <f t="shared" si="34"/>
        <v>0</v>
      </c>
      <c r="AG70" s="197">
        <f t="shared" si="35"/>
        <v>0</v>
      </c>
      <c r="AH70" s="197">
        <f t="shared" si="36"/>
        <v>0</v>
      </c>
      <c r="AI70" s="202">
        <f t="shared" si="37"/>
        <v>0</v>
      </c>
      <c r="AK70" s="71">
        <v>65</v>
      </c>
      <c r="AL70" s="33"/>
      <c r="AM70" s="33"/>
      <c r="AN70" s="33"/>
      <c r="AO70" s="33"/>
      <c r="AP70" s="33"/>
      <c r="AQ70" s="197"/>
      <c r="AR70" s="197"/>
      <c r="AS70" s="197"/>
      <c r="AT70" s="197"/>
      <c r="AU70" s="33"/>
      <c r="AV70" s="33"/>
      <c r="AW70" s="33"/>
      <c r="AX70" s="33"/>
      <c r="AY70" s="76"/>
    </row>
    <row r="71" spans="2:51">
      <c r="B71" s="40"/>
      <c r="C71" s="155"/>
      <c r="D71" s="140"/>
      <c r="E71" s="144"/>
      <c r="F71" s="42"/>
      <c r="G71" s="51"/>
      <c r="I71" s="55">
        <v>66</v>
      </c>
      <c r="J71" s="33">
        <f t="shared" ref="J71:J134" si="53">IF($I71&lt;=$F$10,$F$11*$F$13+J70,)</f>
        <v>0</v>
      </c>
      <c r="K71" s="33">
        <f t="shared" ref="K71:K134" si="54">IF(J71=0,0,EXP(-1.0587+0.8836*LN(J71)+0.284))</f>
        <v>0</v>
      </c>
      <c r="L71" s="33">
        <f t="shared" ref="L71:L134" si="55">IF(I71&lt;=$F$10,$F$5+($F$8-$F$5)*(1-EXP(-0.0175*I71)),)</f>
        <v>0</v>
      </c>
      <c r="M71" s="33">
        <f t="shared" ref="M71:M134" si="56">IF(I71&lt;=$F$10,IF(I71&lt;=30,I71*($F$9-$F$6)/30,$F$9-$F$6),)</f>
        <v>0</v>
      </c>
      <c r="N71" s="33">
        <f t="shared" si="42"/>
        <v>0</v>
      </c>
      <c r="O71" s="34">
        <f t="shared" si="43"/>
        <v>0</v>
      </c>
      <c r="P71" s="55">
        <v>66</v>
      </c>
      <c r="Q71" s="33">
        <f t="shared" si="51"/>
        <v>0</v>
      </c>
      <c r="R71" s="33">
        <f t="shared" ref="R71:R134" si="57">IF(P71&lt;=$F$18,Q71+R70,)</f>
        <v>0</v>
      </c>
      <c r="S71" s="33">
        <f t="shared" ref="S71:S134" si="58">$F$19*R71</f>
        <v>0</v>
      </c>
      <c r="T71" s="33">
        <f t="shared" si="44"/>
        <v>0</v>
      </c>
      <c r="U71" s="33">
        <f t="shared" si="52"/>
        <v>0</v>
      </c>
      <c r="V71" s="33">
        <f t="shared" si="45"/>
        <v>0</v>
      </c>
      <c r="W71" s="33">
        <v>0</v>
      </c>
      <c r="X71" s="33">
        <f t="shared" si="46"/>
        <v>0</v>
      </c>
      <c r="Y71" s="38">
        <f t="shared" si="47"/>
        <v>0</v>
      </c>
      <c r="AA71" s="71">
        <v>66</v>
      </c>
      <c r="AB71" s="33">
        <f t="shared" si="48"/>
        <v>0</v>
      </c>
      <c r="AC71" s="308">
        <f t="shared" si="39"/>
        <v>0</v>
      </c>
      <c r="AD71" s="101">
        <f t="shared" si="49"/>
        <v>0</v>
      </c>
      <c r="AE71" s="101">
        <f t="shared" si="50"/>
        <v>0</v>
      </c>
      <c r="AF71" s="197">
        <f t="shared" si="34"/>
        <v>0</v>
      </c>
      <c r="AG71" s="197">
        <f t="shared" si="35"/>
        <v>0</v>
      </c>
      <c r="AH71" s="197">
        <f t="shared" si="36"/>
        <v>0</v>
      </c>
      <c r="AI71" s="202">
        <f t="shared" si="37"/>
        <v>0</v>
      </c>
      <c r="AK71" s="71">
        <v>66</v>
      </c>
      <c r="AL71" s="33"/>
      <c r="AM71" s="33"/>
      <c r="AN71" s="33"/>
      <c r="AO71" s="33"/>
      <c r="AP71" s="33"/>
      <c r="AQ71" s="197"/>
      <c r="AR71" s="197"/>
      <c r="AS71" s="197"/>
      <c r="AT71" s="197"/>
      <c r="AU71" s="33"/>
      <c r="AV71" s="33"/>
      <c r="AW71" s="33"/>
      <c r="AX71" s="33"/>
      <c r="AY71" s="76"/>
    </row>
    <row r="72" spans="2:51">
      <c r="B72" s="40"/>
      <c r="C72" s="155"/>
      <c r="D72" s="140"/>
      <c r="E72" s="144"/>
      <c r="F72" s="42"/>
      <c r="G72" s="51"/>
      <c r="I72" s="55">
        <v>67</v>
      </c>
      <c r="J72" s="33">
        <f t="shared" si="53"/>
        <v>0</v>
      </c>
      <c r="K72" s="33">
        <f t="shared" si="54"/>
        <v>0</v>
      </c>
      <c r="L72" s="33">
        <f t="shared" si="55"/>
        <v>0</v>
      </c>
      <c r="M72" s="33">
        <f t="shared" si="56"/>
        <v>0</v>
      </c>
      <c r="N72" s="33">
        <f t="shared" si="42"/>
        <v>0</v>
      </c>
      <c r="O72" s="34">
        <f t="shared" si="43"/>
        <v>0</v>
      </c>
      <c r="P72" s="55">
        <v>67</v>
      </c>
      <c r="Q72" s="33">
        <f t="shared" si="51"/>
        <v>0</v>
      </c>
      <c r="R72" s="33">
        <f t="shared" si="57"/>
        <v>0</v>
      </c>
      <c r="S72" s="33">
        <f t="shared" si="58"/>
        <v>0</v>
      </c>
      <c r="T72" s="33">
        <f t="shared" si="44"/>
        <v>0</v>
      </c>
      <c r="U72" s="33">
        <f t="shared" si="52"/>
        <v>0</v>
      </c>
      <c r="V72" s="33">
        <f t="shared" si="45"/>
        <v>0</v>
      </c>
      <c r="W72" s="33">
        <v>0</v>
      </c>
      <c r="X72" s="33">
        <f t="shared" si="46"/>
        <v>0</v>
      </c>
      <c r="Y72" s="38">
        <f t="shared" si="47"/>
        <v>0</v>
      </c>
      <c r="AA72" s="71">
        <v>67</v>
      </c>
      <c r="AB72" s="33">
        <f t="shared" si="48"/>
        <v>0</v>
      </c>
      <c r="AC72" s="308">
        <f t="shared" si="39"/>
        <v>0</v>
      </c>
      <c r="AD72" s="101">
        <f t="shared" si="49"/>
        <v>0</v>
      </c>
      <c r="AE72" s="101">
        <f t="shared" si="50"/>
        <v>0</v>
      </c>
      <c r="AF72" s="197">
        <f t="shared" si="34"/>
        <v>0</v>
      </c>
      <c r="AG72" s="197">
        <f t="shared" si="35"/>
        <v>0</v>
      </c>
      <c r="AH72" s="197">
        <f t="shared" si="36"/>
        <v>0</v>
      </c>
      <c r="AI72" s="202">
        <f t="shared" si="37"/>
        <v>0</v>
      </c>
      <c r="AK72" s="71">
        <v>67</v>
      </c>
      <c r="AL72" s="33"/>
      <c r="AM72" s="33"/>
      <c r="AN72" s="33"/>
      <c r="AO72" s="33"/>
      <c r="AP72" s="33"/>
      <c r="AQ72" s="197"/>
      <c r="AR72" s="197"/>
      <c r="AS72" s="197"/>
      <c r="AT72" s="197"/>
      <c r="AU72" s="33"/>
      <c r="AV72" s="33"/>
      <c r="AW72" s="33"/>
      <c r="AX72" s="33"/>
      <c r="AY72" s="76"/>
    </row>
    <row r="73" spans="2:51">
      <c r="B73" s="40"/>
      <c r="C73" s="155"/>
      <c r="D73" s="140"/>
      <c r="E73" s="144"/>
      <c r="F73" s="42"/>
      <c r="G73" s="51"/>
      <c r="I73" s="55">
        <v>68</v>
      </c>
      <c r="J73" s="33">
        <f t="shared" si="53"/>
        <v>0</v>
      </c>
      <c r="K73" s="33">
        <f t="shared" si="54"/>
        <v>0</v>
      </c>
      <c r="L73" s="33">
        <f t="shared" si="55"/>
        <v>0</v>
      </c>
      <c r="M73" s="33">
        <f t="shared" si="56"/>
        <v>0</v>
      </c>
      <c r="N73" s="33">
        <f t="shared" si="42"/>
        <v>0</v>
      </c>
      <c r="O73" s="34">
        <f t="shared" si="43"/>
        <v>0</v>
      </c>
      <c r="P73" s="55">
        <v>68</v>
      </c>
      <c r="Q73" s="33">
        <f t="shared" si="51"/>
        <v>0</v>
      </c>
      <c r="R73" s="33">
        <f t="shared" si="57"/>
        <v>0</v>
      </c>
      <c r="S73" s="33">
        <f t="shared" si="58"/>
        <v>0</v>
      </c>
      <c r="T73" s="33">
        <f t="shared" si="44"/>
        <v>0</v>
      </c>
      <c r="U73" s="33">
        <f t="shared" si="52"/>
        <v>0</v>
      </c>
      <c r="V73" s="33">
        <f t="shared" si="45"/>
        <v>0</v>
      </c>
      <c r="W73" s="33">
        <v>0</v>
      </c>
      <c r="X73" s="33">
        <f t="shared" si="46"/>
        <v>0</v>
      </c>
      <c r="Y73" s="38">
        <f t="shared" si="47"/>
        <v>0</v>
      </c>
      <c r="AA73" s="71">
        <v>68</v>
      </c>
      <c r="AB73" s="33">
        <f t="shared" si="48"/>
        <v>0</v>
      </c>
      <c r="AC73" s="308">
        <f t="shared" si="39"/>
        <v>0</v>
      </c>
      <c r="AD73" s="101">
        <f t="shared" si="49"/>
        <v>0</v>
      </c>
      <c r="AE73" s="101">
        <f t="shared" si="50"/>
        <v>0</v>
      </c>
      <c r="AF73" s="197">
        <f t="shared" si="34"/>
        <v>0</v>
      </c>
      <c r="AG73" s="197">
        <f t="shared" si="35"/>
        <v>0</v>
      </c>
      <c r="AH73" s="197">
        <f t="shared" si="36"/>
        <v>0</v>
      </c>
      <c r="AI73" s="202">
        <f t="shared" si="37"/>
        <v>0</v>
      </c>
      <c r="AK73" s="71">
        <v>68</v>
      </c>
      <c r="AL73" s="33"/>
      <c r="AM73" s="33"/>
      <c r="AN73" s="33"/>
      <c r="AO73" s="33"/>
      <c r="AP73" s="33"/>
      <c r="AQ73" s="197"/>
      <c r="AR73" s="197"/>
      <c r="AS73" s="197"/>
      <c r="AT73" s="197"/>
      <c r="AU73" s="33"/>
      <c r="AV73" s="33"/>
      <c r="AW73" s="33"/>
      <c r="AX73" s="33"/>
      <c r="AY73" s="76"/>
    </row>
    <row r="74" spans="2:51">
      <c r="B74" s="40"/>
      <c r="C74" s="155"/>
      <c r="D74" s="140"/>
      <c r="E74" s="144"/>
      <c r="F74" s="42"/>
      <c r="G74" s="51"/>
      <c r="I74" s="55">
        <v>69</v>
      </c>
      <c r="J74" s="33">
        <f t="shared" si="53"/>
        <v>0</v>
      </c>
      <c r="K74" s="33">
        <f t="shared" si="54"/>
        <v>0</v>
      </c>
      <c r="L74" s="33">
        <f t="shared" si="55"/>
        <v>0</v>
      </c>
      <c r="M74" s="33">
        <f t="shared" si="56"/>
        <v>0</v>
      </c>
      <c r="N74" s="33">
        <f t="shared" si="42"/>
        <v>0</v>
      </c>
      <c r="O74" s="34">
        <f t="shared" si="43"/>
        <v>0</v>
      </c>
      <c r="P74" s="55">
        <v>69</v>
      </c>
      <c r="Q74" s="33">
        <f t="shared" si="51"/>
        <v>0</v>
      </c>
      <c r="R74" s="33">
        <f t="shared" si="57"/>
        <v>0</v>
      </c>
      <c r="S74" s="33">
        <f t="shared" si="58"/>
        <v>0</v>
      </c>
      <c r="T74" s="33">
        <f t="shared" si="44"/>
        <v>0</v>
      </c>
      <c r="U74" s="33">
        <f t="shared" si="52"/>
        <v>0</v>
      </c>
      <c r="V74" s="33">
        <f t="shared" si="45"/>
        <v>0</v>
      </c>
      <c r="W74" s="33">
        <v>0</v>
      </c>
      <c r="X74" s="33">
        <f t="shared" si="46"/>
        <v>0</v>
      </c>
      <c r="Y74" s="38">
        <f t="shared" si="47"/>
        <v>0</v>
      </c>
      <c r="AA74" s="71">
        <v>69</v>
      </c>
      <c r="AB74" s="33">
        <f t="shared" si="48"/>
        <v>0</v>
      </c>
      <c r="AC74" s="308">
        <f t="shared" si="39"/>
        <v>0</v>
      </c>
      <c r="AD74" s="101">
        <f t="shared" si="49"/>
        <v>0</v>
      </c>
      <c r="AE74" s="101">
        <f t="shared" si="50"/>
        <v>0</v>
      </c>
      <c r="AF74" s="197">
        <f t="shared" si="34"/>
        <v>0</v>
      </c>
      <c r="AG74" s="197">
        <f t="shared" si="35"/>
        <v>0</v>
      </c>
      <c r="AH74" s="197">
        <f t="shared" si="36"/>
        <v>0</v>
      </c>
      <c r="AI74" s="202">
        <f t="shared" si="37"/>
        <v>0</v>
      </c>
      <c r="AK74" s="71">
        <v>69</v>
      </c>
      <c r="AL74" s="33"/>
      <c r="AM74" s="33"/>
      <c r="AN74" s="33"/>
      <c r="AO74" s="33"/>
      <c r="AP74" s="33"/>
      <c r="AQ74" s="197"/>
      <c r="AR74" s="197"/>
      <c r="AS74" s="197"/>
      <c r="AT74" s="197"/>
      <c r="AU74" s="33"/>
      <c r="AV74" s="33"/>
      <c r="AW74" s="33"/>
      <c r="AX74" s="33"/>
      <c r="AY74" s="76"/>
    </row>
    <row r="75" spans="2:51">
      <c r="B75" s="40"/>
      <c r="C75" s="155"/>
      <c r="D75" s="140"/>
      <c r="E75" s="144"/>
      <c r="F75" s="42"/>
      <c r="G75" s="51"/>
      <c r="I75" s="55">
        <v>70</v>
      </c>
      <c r="J75" s="33">
        <f t="shared" si="53"/>
        <v>0</v>
      </c>
      <c r="K75" s="33">
        <f t="shared" si="54"/>
        <v>0</v>
      </c>
      <c r="L75" s="33">
        <f t="shared" si="55"/>
        <v>0</v>
      </c>
      <c r="M75" s="33">
        <f t="shared" si="56"/>
        <v>0</v>
      </c>
      <c r="N75" s="33">
        <f t="shared" si="42"/>
        <v>0</v>
      </c>
      <c r="O75" s="34">
        <f t="shared" si="43"/>
        <v>0</v>
      </c>
      <c r="P75" s="55">
        <v>70</v>
      </c>
      <c r="Q75" s="33">
        <f t="shared" si="51"/>
        <v>0</v>
      </c>
      <c r="R75" s="33">
        <f t="shared" si="57"/>
        <v>0</v>
      </c>
      <c r="S75" s="33">
        <f t="shared" si="58"/>
        <v>0</v>
      </c>
      <c r="T75" s="33">
        <f t="shared" si="44"/>
        <v>0</v>
      </c>
      <c r="U75" s="33">
        <f t="shared" si="52"/>
        <v>0</v>
      </c>
      <c r="V75" s="33">
        <f t="shared" si="45"/>
        <v>0</v>
      </c>
      <c r="W75" s="33">
        <v>0</v>
      </c>
      <c r="X75" s="33">
        <f t="shared" si="46"/>
        <v>0</v>
      </c>
      <c r="Y75" s="38">
        <f t="shared" si="47"/>
        <v>0</v>
      </c>
      <c r="AA75" s="71">
        <v>70</v>
      </c>
      <c r="AB75" s="33">
        <f t="shared" si="48"/>
        <v>0</v>
      </c>
      <c r="AC75" s="308">
        <f t="shared" si="39"/>
        <v>0</v>
      </c>
      <c r="AD75" s="101">
        <f t="shared" si="49"/>
        <v>0</v>
      </c>
      <c r="AE75" s="101">
        <f t="shared" si="50"/>
        <v>0</v>
      </c>
      <c r="AF75" s="197">
        <f t="shared" si="34"/>
        <v>0</v>
      </c>
      <c r="AG75" s="197">
        <f t="shared" si="35"/>
        <v>0</v>
      </c>
      <c r="AH75" s="197">
        <f t="shared" si="36"/>
        <v>0</v>
      </c>
      <c r="AI75" s="202">
        <f t="shared" si="37"/>
        <v>0</v>
      </c>
      <c r="AK75" s="71">
        <v>70</v>
      </c>
      <c r="AL75" s="33"/>
      <c r="AM75" s="33"/>
      <c r="AN75" s="33"/>
      <c r="AO75" s="33"/>
      <c r="AP75" s="33"/>
      <c r="AQ75" s="197"/>
      <c r="AR75" s="197"/>
      <c r="AS75" s="197"/>
      <c r="AT75" s="197"/>
      <c r="AU75" s="33"/>
      <c r="AV75" s="33"/>
      <c r="AW75" s="33"/>
      <c r="AX75" s="33"/>
      <c r="AY75" s="76"/>
    </row>
    <row r="76" spans="2:51">
      <c r="B76" s="40"/>
      <c r="C76" s="155"/>
      <c r="D76" s="140"/>
      <c r="E76" s="144"/>
      <c r="F76" s="42"/>
      <c r="G76" s="51"/>
      <c r="I76" s="55">
        <v>71</v>
      </c>
      <c r="J76" s="33">
        <f t="shared" si="53"/>
        <v>0</v>
      </c>
      <c r="K76" s="33">
        <f t="shared" si="54"/>
        <v>0</v>
      </c>
      <c r="L76" s="33">
        <f t="shared" si="55"/>
        <v>0</v>
      </c>
      <c r="M76" s="33">
        <f t="shared" si="56"/>
        <v>0</v>
      </c>
      <c r="N76" s="33">
        <f t="shared" si="42"/>
        <v>0</v>
      </c>
      <c r="O76" s="34">
        <f t="shared" si="43"/>
        <v>0</v>
      </c>
      <c r="P76" s="55">
        <v>71</v>
      </c>
      <c r="Q76" s="33">
        <f t="shared" si="51"/>
        <v>0</v>
      </c>
      <c r="R76" s="33">
        <f t="shared" si="57"/>
        <v>0</v>
      </c>
      <c r="S76" s="33">
        <f t="shared" si="58"/>
        <v>0</v>
      </c>
      <c r="T76" s="33">
        <f t="shared" si="44"/>
        <v>0</v>
      </c>
      <c r="U76" s="33">
        <f t="shared" si="52"/>
        <v>0</v>
      </c>
      <c r="V76" s="33">
        <f t="shared" si="45"/>
        <v>0</v>
      </c>
      <c r="W76" s="33">
        <v>0</v>
      </c>
      <c r="X76" s="33">
        <f t="shared" si="46"/>
        <v>0</v>
      </c>
      <c r="Y76" s="38">
        <f t="shared" si="47"/>
        <v>0</v>
      </c>
      <c r="AA76" s="71">
        <v>71</v>
      </c>
      <c r="AB76" s="33">
        <f t="shared" si="48"/>
        <v>0</v>
      </c>
      <c r="AC76" s="308">
        <f t="shared" si="39"/>
        <v>0</v>
      </c>
      <c r="AD76" s="101">
        <f t="shared" si="49"/>
        <v>0</v>
      </c>
      <c r="AE76" s="101">
        <f t="shared" si="50"/>
        <v>0</v>
      </c>
      <c r="AF76" s="197">
        <f t="shared" si="34"/>
        <v>0</v>
      </c>
      <c r="AG76" s="197">
        <f t="shared" si="35"/>
        <v>0</v>
      </c>
      <c r="AH76" s="197">
        <f t="shared" si="36"/>
        <v>0</v>
      </c>
      <c r="AI76" s="202">
        <f t="shared" si="37"/>
        <v>0</v>
      </c>
      <c r="AK76" s="71">
        <v>71</v>
      </c>
      <c r="AL76" s="33"/>
      <c r="AM76" s="33"/>
      <c r="AN76" s="33"/>
      <c r="AO76" s="33"/>
      <c r="AP76" s="33"/>
      <c r="AQ76" s="197"/>
      <c r="AR76" s="197"/>
      <c r="AS76" s="197"/>
      <c r="AT76" s="197"/>
      <c r="AU76" s="33"/>
      <c r="AV76" s="33"/>
      <c r="AW76" s="33"/>
      <c r="AX76" s="33"/>
      <c r="AY76" s="76"/>
    </row>
    <row r="77" spans="2:51">
      <c r="B77" s="40"/>
      <c r="C77" s="155"/>
      <c r="D77" s="140"/>
      <c r="E77" s="144"/>
      <c r="F77" s="42"/>
      <c r="G77" s="51"/>
      <c r="I77" s="55">
        <v>72</v>
      </c>
      <c r="J77" s="33">
        <f t="shared" si="53"/>
        <v>0</v>
      </c>
      <c r="K77" s="33">
        <f t="shared" si="54"/>
        <v>0</v>
      </c>
      <c r="L77" s="33">
        <f t="shared" si="55"/>
        <v>0</v>
      </c>
      <c r="M77" s="33">
        <f t="shared" si="56"/>
        <v>0</v>
      </c>
      <c r="N77" s="33">
        <f t="shared" si="42"/>
        <v>0</v>
      </c>
      <c r="O77" s="34">
        <f t="shared" si="43"/>
        <v>0</v>
      </c>
      <c r="P77" s="55">
        <v>72</v>
      </c>
      <c r="Q77" s="33">
        <f t="shared" si="51"/>
        <v>0</v>
      </c>
      <c r="R77" s="33">
        <f t="shared" si="57"/>
        <v>0</v>
      </c>
      <c r="S77" s="33">
        <f t="shared" si="58"/>
        <v>0</v>
      </c>
      <c r="T77" s="33">
        <f t="shared" si="44"/>
        <v>0</v>
      </c>
      <c r="U77" s="33">
        <f t="shared" si="52"/>
        <v>0</v>
      </c>
      <c r="V77" s="33">
        <f t="shared" si="45"/>
        <v>0</v>
      </c>
      <c r="W77" s="33">
        <v>0</v>
      </c>
      <c r="X77" s="33">
        <f t="shared" si="46"/>
        <v>0</v>
      </c>
      <c r="Y77" s="38">
        <f t="shared" si="47"/>
        <v>0</v>
      </c>
      <c r="AA77" s="71">
        <v>72</v>
      </c>
      <c r="AB77" s="33">
        <f t="shared" si="48"/>
        <v>0</v>
      </c>
      <c r="AC77" s="308">
        <f t="shared" si="39"/>
        <v>0</v>
      </c>
      <c r="AD77" s="101">
        <f t="shared" si="49"/>
        <v>0</v>
      </c>
      <c r="AE77" s="101">
        <f t="shared" si="50"/>
        <v>0</v>
      </c>
      <c r="AF77" s="197">
        <f t="shared" si="34"/>
        <v>0</v>
      </c>
      <c r="AG77" s="197">
        <f t="shared" si="35"/>
        <v>0</v>
      </c>
      <c r="AH77" s="197">
        <f t="shared" si="36"/>
        <v>0</v>
      </c>
      <c r="AI77" s="202">
        <f t="shared" si="37"/>
        <v>0</v>
      </c>
      <c r="AK77" s="71">
        <v>72</v>
      </c>
      <c r="AL77" s="33"/>
      <c r="AM77" s="33"/>
      <c r="AN77" s="33"/>
      <c r="AO77" s="33"/>
      <c r="AP77" s="33"/>
      <c r="AQ77" s="197"/>
      <c r="AR77" s="197"/>
      <c r="AS77" s="197"/>
      <c r="AT77" s="197"/>
      <c r="AU77" s="33"/>
      <c r="AV77" s="33"/>
      <c r="AW77" s="33"/>
      <c r="AX77" s="33"/>
      <c r="AY77" s="76"/>
    </row>
    <row r="78" spans="2:51">
      <c r="B78" s="43"/>
      <c r="C78" s="156"/>
      <c r="D78" s="157"/>
      <c r="E78" s="147"/>
      <c r="F78" s="44"/>
      <c r="G78" s="52"/>
      <c r="I78" s="55">
        <v>73</v>
      </c>
      <c r="J78" s="33">
        <f t="shared" si="53"/>
        <v>0</v>
      </c>
      <c r="K78" s="33">
        <f t="shared" si="54"/>
        <v>0</v>
      </c>
      <c r="L78" s="33">
        <f t="shared" si="55"/>
        <v>0</v>
      </c>
      <c r="M78" s="33">
        <f t="shared" si="56"/>
        <v>0</v>
      </c>
      <c r="N78" s="33">
        <f t="shared" si="42"/>
        <v>0</v>
      </c>
      <c r="O78" s="34">
        <f t="shared" si="43"/>
        <v>0</v>
      </c>
      <c r="P78" s="55">
        <v>73</v>
      </c>
      <c r="Q78" s="33">
        <f t="shared" si="51"/>
        <v>0</v>
      </c>
      <c r="R78" s="33">
        <f t="shared" si="57"/>
        <v>0</v>
      </c>
      <c r="S78" s="33">
        <f t="shared" si="58"/>
        <v>0</v>
      </c>
      <c r="T78" s="33">
        <f t="shared" si="44"/>
        <v>0</v>
      </c>
      <c r="U78" s="33">
        <f t="shared" si="52"/>
        <v>0</v>
      </c>
      <c r="V78" s="33">
        <f t="shared" si="45"/>
        <v>0</v>
      </c>
      <c r="W78" s="33">
        <v>0</v>
      </c>
      <c r="X78" s="33">
        <f t="shared" si="46"/>
        <v>0</v>
      </c>
      <c r="Y78" s="38">
        <f t="shared" si="47"/>
        <v>0</v>
      </c>
      <c r="AA78" s="71">
        <v>73</v>
      </c>
      <c r="AB78" s="33">
        <f t="shared" si="48"/>
        <v>0</v>
      </c>
      <c r="AC78" s="308">
        <f t="shared" si="39"/>
        <v>0</v>
      </c>
      <c r="AD78" s="101">
        <f t="shared" si="49"/>
        <v>0</v>
      </c>
      <c r="AE78" s="101">
        <f t="shared" si="50"/>
        <v>0</v>
      </c>
      <c r="AF78" s="197">
        <f t="shared" si="34"/>
        <v>0</v>
      </c>
      <c r="AG78" s="197">
        <f t="shared" si="35"/>
        <v>0</v>
      </c>
      <c r="AH78" s="197">
        <f t="shared" si="36"/>
        <v>0</v>
      </c>
      <c r="AI78" s="202">
        <f t="shared" si="37"/>
        <v>0</v>
      </c>
      <c r="AK78" s="71">
        <v>73</v>
      </c>
      <c r="AL78" s="33"/>
      <c r="AM78" s="33"/>
      <c r="AN78" s="33"/>
      <c r="AO78" s="33"/>
      <c r="AP78" s="33"/>
      <c r="AQ78" s="197"/>
      <c r="AR78" s="197"/>
      <c r="AS78" s="197"/>
      <c r="AT78" s="197"/>
      <c r="AU78" s="33"/>
      <c r="AV78" s="33"/>
      <c r="AW78" s="33"/>
      <c r="AX78" s="33"/>
      <c r="AY78" s="76"/>
    </row>
    <row r="79" spans="2:51">
      <c r="I79" s="55">
        <v>74</v>
      </c>
      <c r="J79" s="33">
        <f t="shared" si="53"/>
        <v>0</v>
      </c>
      <c r="K79" s="33">
        <f t="shared" si="54"/>
        <v>0</v>
      </c>
      <c r="L79" s="33">
        <f t="shared" si="55"/>
        <v>0</v>
      </c>
      <c r="M79" s="33">
        <f t="shared" si="56"/>
        <v>0</v>
      </c>
      <c r="N79" s="33">
        <f t="shared" si="42"/>
        <v>0</v>
      </c>
      <c r="O79" s="34">
        <f t="shared" si="43"/>
        <v>0</v>
      </c>
      <c r="P79" s="55">
        <v>74</v>
      </c>
      <c r="Q79" s="33">
        <f t="shared" si="51"/>
        <v>0</v>
      </c>
      <c r="R79" s="33">
        <f t="shared" si="57"/>
        <v>0</v>
      </c>
      <c r="S79" s="33">
        <f t="shared" si="58"/>
        <v>0</v>
      </c>
      <c r="T79" s="33">
        <f t="shared" si="44"/>
        <v>0</v>
      </c>
      <c r="U79" s="33">
        <f t="shared" si="52"/>
        <v>0</v>
      </c>
      <c r="V79" s="33">
        <f t="shared" si="45"/>
        <v>0</v>
      </c>
      <c r="W79" s="33">
        <v>0</v>
      </c>
      <c r="X79" s="33">
        <f t="shared" si="46"/>
        <v>0</v>
      </c>
      <c r="Y79" s="38">
        <f t="shared" si="47"/>
        <v>0</v>
      </c>
      <c r="AA79" s="71">
        <v>74</v>
      </c>
      <c r="AB79" s="33">
        <f t="shared" si="48"/>
        <v>0</v>
      </c>
      <c r="AC79" s="308">
        <f t="shared" si="39"/>
        <v>0</v>
      </c>
      <c r="AD79" s="101">
        <f t="shared" si="49"/>
        <v>0</v>
      </c>
      <c r="AE79" s="101">
        <f t="shared" si="50"/>
        <v>0</v>
      </c>
      <c r="AF79" s="197">
        <f t="shared" si="34"/>
        <v>0</v>
      </c>
      <c r="AG79" s="197">
        <f t="shared" si="35"/>
        <v>0</v>
      </c>
      <c r="AH79" s="197">
        <f t="shared" si="36"/>
        <v>0</v>
      </c>
      <c r="AI79" s="202">
        <f t="shared" si="37"/>
        <v>0</v>
      </c>
      <c r="AK79" s="71">
        <v>74</v>
      </c>
      <c r="AL79" s="33"/>
      <c r="AM79" s="33"/>
      <c r="AN79" s="33"/>
      <c r="AO79" s="33"/>
      <c r="AP79" s="33"/>
      <c r="AQ79" s="197"/>
      <c r="AR79" s="197"/>
      <c r="AS79" s="197"/>
      <c r="AT79" s="197"/>
      <c r="AU79" s="33"/>
      <c r="AV79" s="33"/>
      <c r="AW79" s="33"/>
      <c r="AX79" s="33"/>
      <c r="AY79" s="76"/>
    </row>
    <row r="80" spans="2:51">
      <c r="B80" s="358" t="s">
        <v>259</v>
      </c>
      <c r="C80" s="359"/>
      <c r="D80" s="359"/>
      <c r="E80" s="359"/>
      <c r="F80" s="359"/>
      <c r="G80" s="360"/>
      <c r="H80" s="23"/>
      <c r="I80" s="55">
        <v>75</v>
      </c>
      <c r="J80" s="33">
        <f t="shared" si="53"/>
        <v>0</v>
      </c>
      <c r="K80" s="33">
        <f t="shared" si="54"/>
        <v>0</v>
      </c>
      <c r="L80" s="33">
        <f t="shared" si="55"/>
        <v>0</v>
      </c>
      <c r="M80" s="33">
        <f t="shared" si="56"/>
        <v>0</v>
      </c>
      <c r="N80" s="33">
        <f t="shared" si="42"/>
        <v>0</v>
      </c>
      <c r="O80" s="34">
        <f t="shared" si="43"/>
        <v>0</v>
      </c>
      <c r="P80" s="55">
        <v>75</v>
      </c>
      <c r="Q80" s="33">
        <f t="shared" si="51"/>
        <v>0</v>
      </c>
      <c r="R80" s="33">
        <f t="shared" si="57"/>
        <v>0</v>
      </c>
      <c r="S80" s="33">
        <f t="shared" si="58"/>
        <v>0</v>
      </c>
      <c r="T80" s="33">
        <f t="shared" si="44"/>
        <v>0</v>
      </c>
      <c r="U80" s="33">
        <f t="shared" si="52"/>
        <v>0</v>
      </c>
      <c r="V80" s="33">
        <f t="shared" si="45"/>
        <v>0</v>
      </c>
      <c r="W80" s="33">
        <v>0</v>
      </c>
      <c r="X80" s="33">
        <f t="shared" si="46"/>
        <v>0</v>
      </c>
      <c r="Y80" s="38">
        <f t="shared" si="47"/>
        <v>0</v>
      </c>
      <c r="AA80" s="71">
        <v>75</v>
      </c>
      <c r="AB80" s="33">
        <f t="shared" si="48"/>
        <v>0</v>
      </c>
      <c r="AC80" s="308">
        <f t="shared" si="39"/>
        <v>0</v>
      </c>
      <c r="AD80" s="101">
        <f t="shared" si="49"/>
        <v>0</v>
      </c>
      <c r="AE80" s="101">
        <f t="shared" si="50"/>
        <v>0</v>
      </c>
      <c r="AF80" s="197">
        <f t="shared" si="34"/>
        <v>0</v>
      </c>
      <c r="AG80" s="197">
        <f t="shared" si="35"/>
        <v>0</v>
      </c>
      <c r="AH80" s="197">
        <f t="shared" si="36"/>
        <v>0</v>
      </c>
      <c r="AI80" s="202">
        <f t="shared" si="37"/>
        <v>0</v>
      </c>
      <c r="AK80" s="71">
        <v>75</v>
      </c>
      <c r="AL80" s="33"/>
      <c r="AM80" s="33"/>
      <c r="AN80" s="33"/>
      <c r="AO80" s="33"/>
      <c r="AP80" s="33"/>
      <c r="AQ80" s="197"/>
      <c r="AR80" s="197"/>
      <c r="AS80" s="197"/>
      <c r="AT80" s="197"/>
      <c r="AU80" s="33"/>
      <c r="AV80" s="33"/>
      <c r="AW80" s="33"/>
      <c r="AX80" s="33"/>
      <c r="AY80" s="76"/>
    </row>
    <row r="81" spans="2:51">
      <c r="B81" s="159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7"/>
      <c r="I81" s="55">
        <v>76</v>
      </c>
      <c r="J81" s="33">
        <f t="shared" si="53"/>
        <v>0</v>
      </c>
      <c r="K81" s="33">
        <f t="shared" si="54"/>
        <v>0</v>
      </c>
      <c r="L81" s="33">
        <f t="shared" si="55"/>
        <v>0</v>
      </c>
      <c r="M81" s="33">
        <f t="shared" si="56"/>
        <v>0</v>
      </c>
      <c r="N81" s="33">
        <f t="shared" si="42"/>
        <v>0</v>
      </c>
      <c r="O81" s="34">
        <f t="shared" si="43"/>
        <v>0</v>
      </c>
      <c r="P81" s="55">
        <v>76</v>
      </c>
      <c r="Q81" s="33">
        <f t="shared" si="51"/>
        <v>0</v>
      </c>
      <c r="R81" s="33">
        <f t="shared" si="57"/>
        <v>0</v>
      </c>
      <c r="S81" s="33">
        <f t="shared" si="58"/>
        <v>0</v>
      </c>
      <c r="T81" s="33">
        <f t="shared" si="44"/>
        <v>0</v>
      </c>
      <c r="U81" s="33">
        <f t="shared" si="52"/>
        <v>0</v>
      </c>
      <c r="V81" s="33">
        <f t="shared" si="45"/>
        <v>0</v>
      </c>
      <c r="W81" s="33">
        <v>0</v>
      </c>
      <c r="X81" s="33">
        <f t="shared" si="46"/>
        <v>0</v>
      </c>
      <c r="Y81" s="38">
        <f t="shared" si="47"/>
        <v>0</v>
      </c>
      <c r="AA81" s="71">
        <v>76</v>
      </c>
      <c r="AB81" s="33">
        <f t="shared" si="48"/>
        <v>0</v>
      </c>
      <c r="AC81" s="308">
        <f t="shared" si="39"/>
        <v>0</v>
      </c>
      <c r="AD81" s="101">
        <f t="shared" si="49"/>
        <v>0</v>
      </c>
      <c r="AE81" s="101">
        <f t="shared" si="50"/>
        <v>0</v>
      </c>
      <c r="AF81" s="197">
        <f t="shared" si="34"/>
        <v>0</v>
      </c>
      <c r="AG81" s="197">
        <f t="shared" si="35"/>
        <v>0</v>
      </c>
      <c r="AH81" s="197">
        <f t="shared" si="36"/>
        <v>0</v>
      </c>
      <c r="AI81" s="202">
        <f t="shared" si="37"/>
        <v>0</v>
      </c>
      <c r="AK81" s="71">
        <v>76</v>
      </c>
      <c r="AL81" s="33"/>
      <c r="AM81" s="33"/>
      <c r="AN81" s="33"/>
      <c r="AO81" s="33"/>
      <c r="AP81" s="33"/>
      <c r="AQ81" s="197"/>
      <c r="AR81" s="197"/>
      <c r="AS81" s="197"/>
      <c r="AT81" s="197"/>
      <c r="AU81" s="33"/>
      <c r="AV81" s="33"/>
      <c r="AW81" s="33"/>
      <c r="AX81" s="33"/>
      <c r="AY81" s="76"/>
    </row>
    <row r="82" spans="2:51">
      <c r="B82" s="173">
        <f>IF(C25&lt;=$F$18,C25+1,"-")</f>
        <v>11</v>
      </c>
      <c r="C82" s="148">
        <f>D25-D26</f>
        <v>0</v>
      </c>
      <c r="D82" s="149"/>
      <c r="E82" s="174">
        <f>IF(G82+D82&lt;&gt;1,(1-(G82+D82))*56%,0)</f>
        <v>0.56000000000000005</v>
      </c>
      <c r="F82" s="174">
        <f>IF(G82+D82&lt;&gt;1,(1-(G82+D82))*44%,0)</f>
        <v>0.44</v>
      </c>
      <c r="G82" s="150"/>
      <c r="H82" s="58">
        <f t="shared" ref="H82:H94" si="59">IF(C82=0,0,IF(SUM(D82:G82)&lt;&gt;1,"erreur",))</f>
        <v>0</v>
      </c>
      <c r="I82" s="55">
        <v>77</v>
      </c>
      <c r="J82" s="33">
        <f t="shared" si="53"/>
        <v>0</v>
      </c>
      <c r="K82" s="33">
        <f t="shared" si="54"/>
        <v>0</v>
      </c>
      <c r="L82" s="33">
        <f t="shared" si="55"/>
        <v>0</v>
      </c>
      <c r="M82" s="33">
        <f t="shared" si="56"/>
        <v>0</v>
      </c>
      <c r="N82" s="33">
        <f t="shared" si="42"/>
        <v>0</v>
      </c>
      <c r="O82" s="34">
        <f t="shared" si="43"/>
        <v>0</v>
      </c>
      <c r="P82" s="55">
        <v>77</v>
      </c>
      <c r="Q82" s="33">
        <f t="shared" si="51"/>
        <v>0</v>
      </c>
      <c r="R82" s="33">
        <f t="shared" si="57"/>
        <v>0</v>
      </c>
      <c r="S82" s="33">
        <f t="shared" si="58"/>
        <v>0</v>
      </c>
      <c r="T82" s="33">
        <f t="shared" si="44"/>
        <v>0</v>
      </c>
      <c r="U82" s="33">
        <f t="shared" si="52"/>
        <v>0</v>
      </c>
      <c r="V82" s="33">
        <f t="shared" si="45"/>
        <v>0</v>
      </c>
      <c r="W82" s="33">
        <v>0</v>
      </c>
      <c r="X82" s="33">
        <f t="shared" si="46"/>
        <v>0</v>
      </c>
      <c r="Y82" s="38">
        <f t="shared" si="47"/>
        <v>0</v>
      </c>
      <c r="AA82" s="71">
        <v>77</v>
      </c>
      <c r="AB82" s="33">
        <f t="shared" si="48"/>
        <v>0</v>
      </c>
      <c r="AC82" s="308">
        <f t="shared" si="39"/>
        <v>0</v>
      </c>
      <c r="AD82" s="101">
        <f t="shared" si="49"/>
        <v>0</v>
      </c>
      <c r="AE82" s="101">
        <f t="shared" si="50"/>
        <v>0</v>
      </c>
      <c r="AF82" s="197">
        <f t="shared" si="34"/>
        <v>0</v>
      </c>
      <c r="AG82" s="197">
        <f t="shared" si="35"/>
        <v>0</v>
      </c>
      <c r="AH82" s="197">
        <f t="shared" si="36"/>
        <v>0</v>
      </c>
      <c r="AI82" s="202">
        <f t="shared" si="37"/>
        <v>0</v>
      </c>
      <c r="AK82" s="71">
        <v>77</v>
      </c>
      <c r="AL82" s="33"/>
      <c r="AM82" s="33"/>
      <c r="AN82" s="33"/>
      <c r="AO82" s="33"/>
      <c r="AP82" s="33"/>
      <c r="AQ82" s="197"/>
      <c r="AR82" s="197"/>
      <c r="AS82" s="197"/>
      <c r="AT82" s="197"/>
      <c r="AU82" s="33"/>
      <c r="AV82" s="33"/>
      <c r="AW82" s="33"/>
      <c r="AX82" s="33"/>
      <c r="AY82" s="76"/>
    </row>
    <row r="83" spans="2:51">
      <c r="B83" s="175">
        <f>IF(C27&lt;=$F$18,C27+1,"-")</f>
        <v>16</v>
      </c>
      <c r="C83" s="151">
        <f>D27-D28</f>
        <v>7</v>
      </c>
      <c r="D83" s="152"/>
      <c r="E83" s="130">
        <f t="shared" ref="E83:E94" si="60">IF(G83+D83&lt;&gt;1,(1-(G83+D83))*56%,0)</f>
        <v>0.56000000000000005</v>
      </c>
      <c r="F83" s="130">
        <f t="shared" ref="F83:F94" si="61">IF(G83+D83&lt;&gt;1,(1-(G83+D83))*44%,0)</f>
        <v>0.44</v>
      </c>
      <c r="G83" s="153"/>
      <c r="H83" s="58">
        <f t="shared" si="59"/>
        <v>0</v>
      </c>
      <c r="I83" s="55">
        <v>78</v>
      </c>
      <c r="J83" s="33">
        <f t="shared" si="53"/>
        <v>0</v>
      </c>
      <c r="K83" s="33">
        <f t="shared" si="54"/>
        <v>0</v>
      </c>
      <c r="L83" s="33">
        <f t="shared" si="55"/>
        <v>0</v>
      </c>
      <c r="M83" s="33">
        <f t="shared" si="56"/>
        <v>0</v>
      </c>
      <c r="N83" s="33">
        <f t="shared" si="42"/>
        <v>0</v>
      </c>
      <c r="O83" s="34">
        <f t="shared" si="43"/>
        <v>0</v>
      </c>
      <c r="P83" s="55">
        <v>78</v>
      </c>
      <c r="Q83" s="33">
        <f t="shared" si="51"/>
        <v>0</v>
      </c>
      <c r="R83" s="33">
        <f t="shared" si="57"/>
        <v>0</v>
      </c>
      <c r="S83" s="33">
        <f t="shared" si="58"/>
        <v>0</v>
      </c>
      <c r="T83" s="33">
        <f t="shared" si="44"/>
        <v>0</v>
      </c>
      <c r="U83" s="33">
        <f t="shared" si="52"/>
        <v>0</v>
      </c>
      <c r="V83" s="33">
        <f t="shared" si="45"/>
        <v>0</v>
      </c>
      <c r="W83" s="33">
        <v>0</v>
      </c>
      <c r="X83" s="33">
        <f t="shared" si="46"/>
        <v>0</v>
      </c>
      <c r="Y83" s="38">
        <f t="shared" si="47"/>
        <v>0</v>
      </c>
      <c r="AA83" s="71">
        <v>78</v>
      </c>
      <c r="AB83" s="33">
        <f t="shared" si="48"/>
        <v>0</v>
      </c>
      <c r="AC83" s="308">
        <f t="shared" si="39"/>
        <v>0</v>
      </c>
      <c r="AD83" s="101">
        <f t="shared" si="49"/>
        <v>0</v>
      </c>
      <c r="AE83" s="101">
        <f t="shared" si="50"/>
        <v>0</v>
      </c>
      <c r="AF83" s="197">
        <f t="shared" si="34"/>
        <v>0</v>
      </c>
      <c r="AG83" s="197">
        <f t="shared" si="35"/>
        <v>0</v>
      </c>
      <c r="AH83" s="197">
        <f t="shared" si="36"/>
        <v>0</v>
      </c>
      <c r="AI83" s="202">
        <f t="shared" si="37"/>
        <v>0</v>
      </c>
      <c r="AK83" s="71">
        <v>78</v>
      </c>
      <c r="AL83" s="33"/>
      <c r="AM83" s="33"/>
      <c r="AN83" s="33"/>
      <c r="AO83" s="33"/>
      <c r="AP83" s="33"/>
      <c r="AQ83" s="197"/>
      <c r="AR83" s="197"/>
      <c r="AS83" s="197"/>
      <c r="AT83" s="197"/>
      <c r="AU83" s="33"/>
      <c r="AV83" s="33"/>
      <c r="AW83" s="33"/>
      <c r="AX83" s="33"/>
      <c r="AY83" s="76"/>
    </row>
    <row r="84" spans="2:51">
      <c r="B84" s="190">
        <f>IF(C29&lt;=$F$18,C29+1,"-")</f>
        <v>21</v>
      </c>
      <c r="C84" s="151">
        <f>D29-D30</f>
        <v>56</v>
      </c>
      <c r="D84" s="152"/>
      <c r="E84" s="130">
        <f t="shared" si="60"/>
        <v>0.56000000000000005</v>
      </c>
      <c r="F84" s="130">
        <f t="shared" si="61"/>
        <v>0.44</v>
      </c>
      <c r="G84" s="153"/>
      <c r="H84" s="58">
        <f t="shared" si="59"/>
        <v>0</v>
      </c>
      <c r="I84" s="55">
        <v>79</v>
      </c>
      <c r="J84" s="33">
        <f t="shared" si="53"/>
        <v>0</v>
      </c>
      <c r="K84" s="33">
        <f t="shared" si="54"/>
        <v>0</v>
      </c>
      <c r="L84" s="33">
        <f t="shared" si="55"/>
        <v>0</v>
      </c>
      <c r="M84" s="33">
        <f t="shared" si="56"/>
        <v>0</v>
      </c>
      <c r="N84" s="33">
        <f t="shared" si="42"/>
        <v>0</v>
      </c>
      <c r="O84" s="34">
        <f t="shared" si="43"/>
        <v>0</v>
      </c>
      <c r="P84" s="55">
        <v>79</v>
      </c>
      <c r="Q84" s="33">
        <f t="shared" si="51"/>
        <v>0</v>
      </c>
      <c r="R84" s="33">
        <f t="shared" si="57"/>
        <v>0</v>
      </c>
      <c r="S84" s="33">
        <f t="shared" si="58"/>
        <v>0</v>
      </c>
      <c r="T84" s="33">
        <f t="shared" si="44"/>
        <v>0</v>
      </c>
      <c r="U84" s="33">
        <f t="shared" si="52"/>
        <v>0</v>
      </c>
      <c r="V84" s="33">
        <f t="shared" si="45"/>
        <v>0</v>
      </c>
      <c r="W84" s="33">
        <v>0</v>
      </c>
      <c r="X84" s="33">
        <f t="shared" si="46"/>
        <v>0</v>
      </c>
      <c r="Y84" s="38">
        <f t="shared" si="47"/>
        <v>0</v>
      </c>
      <c r="AA84" s="71">
        <v>79</v>
      </c>
      <c r="AB84" s="33">
        <f t="shared" si="48"/>
        <v>0</v>
      </c>
      <c r="AC84" s="308">
        <f t="shared" si="39"/>
        <v>0</v>
      </c>
      <c r="AD84" s="101">
        <f t="shared" si="49"/>
        <v>0</v>
      </c>
      <c r="AE84" s="101">
        <f t="shared" si="50"/>
        <v>0</v>
      </c>
      <c r="AF84" s="197">
        <f t="shared" si="34"/>
        <v>0</v>
      </c>
      <c r="AG84" s="197">
        <f t="shared" si="35"/>
        <v>0</v>
      </c>
      <c r="AH84" s="197">
        <f t="shared" si="36"/>
        <v>0</v>
      </c>
      <c r="AI84" s="202">
        <f t="shared" si="37"/>
        <v>0</v>
      </c>
      <c r="AK84" s="71">
        <v>79</v>
      </c>
      <c r="AL84" s="33"/>
      <c r="AM84" s="33"/>
      <c r="AN84" s="33"/>
      <c r="AO84" s="33"/>
      <c r="AP84" s="33"/>
      <c r="AQ84" s="197"/>
      <c r="AR84" s="197"/>
      <c r="AS84" s="197"/>
      <c r="AT84" s="197"/>
      <c r="AU84" s="33"/>
      <c r="AV84" s="33"/>
      <c r="AW84" s="33"/>
      <c r="AX84" s="33"/>
      <c r="AY84" s="76"/>
    </row>
    <row r="85" spans="2:51">
      <c r="B85" s="175">
        <f>IF(C31&lt;=$F$18,C31+1,"-")</f>
        <v>26</v>
      </c>
      <c r="C85" s="151">
        <f>D31-D32</f>
        <v>56</v>
      </c>
      <c r="D85" s="152"/>
      <c r="E85" s="130">
        <f t="shared" si="60"/>
        <v>0.56000000000000005</v>
      </c>
      <c r="F85" s="130">
        <f t="shared" si="61"/>
        <v>0.44</v>
      </c>
      <c r="G85" s="153"/>
      <c r="H85" s="58">
        <f t="shared" si="59"/>
        <v>0</v>
      </c>
      <c r="I85" s="55">
        <v>80</v>
      </c>
      <c r="J85" s="33">
        <f t="shared" si="53"/>
        <v>0</v>
      </c>
      <c r="K85" s="33">
        <f t="shared" si="54"/>
        <v>0</v>
      </c>
      <c r="L85" s="33">
        <f t="shared" si="55"/>
        <v>0</v>
      </c>
      <c r="M85" s="33">
        <f t="shared" si="56"/>
        <v>0</v>
      </c>
      <c r="N85" s="33">
        <f t="shared" si="42"/>
        <v>0</v>
      </c>
      <c r="O85" s="34">
        <f t="shared" si="43"/>
        <v>0</v>
      </c>
      <c r="P85" s="55">
        <v>80</v>
      </c>
      <c r="Q85" s="33">
        <f t="shared" si="51"/>
        <v>0</v>
      </c>
      <c r="R85" s="33">
        <f t="shared" si="57"/>
        <v>0</v>
      </c>
      <c r="S85" s="33">
        <f t="shared" si="58"/>
        <v>0</v>
      </c>
      <c r="T85" s="33">
        <f t="shared" si="44"/>
        <v>0</v>
      </c>
      <c r="U85" s="33">
        <f t="shared" si="52"/>
        <v>0</v>
      </c>
      <c r="V85" s="33">
        <f t="shared" si="45"/>
        <v>0</v>
      </c>
      <c r="W85" s="33">
        <v>0</v>
      </c>
      <c r="X85" s="33">
        <f t="shared" si="46"/>
        <v>0</v>
      </c>
      <c r="Y85" s="38">
        <f t="shared" si="47"/>
        <v>0</v>
      </c>
      <c r="AA85" s="71">
        <v>80</v>
      </c>
      <c r="AB85" s="33">
        <f t="shared" si="48"/>
        <v>0</v>
      </c>
      <c r="AC85" s="308">
        <f t="shared" si="39"/>
        <v>0</v>
      </c>
      <c r="AD85" s="101">
        <f t="shared" si="49"/>
        <v>0</v>
      </c>
      <c r="AE85" s="101">
        <f t="shared" si="50"/>
        <v>0</v>
      </c>
      <c r="AF85" s="197">
        <f t="shared" si="34"/>
        <v>0</v>
      </c>
      <c r="AG85" s="197">
        <f t="shared" si="35"/>
        <v>0</v>
      </c>
      <c r="AH85" s="197">
        <f t="shared" si="36"/>
        <v>0</v>
      </c>
      <c r="AI85" s="202">
        <f t="shared" si="37"/>
        <v>0</v>
      </c>
      <c r="AK85" s="71">
        <v>80</v>
      </c>
      <c r="AL85" s="33"/>
      <c r="AM85" s="33"/>
      <c r="AN85" s="33"/>
      <c r="AO85" s="33"/>
      <c r="AP85" s="33"/>
      <c r="AQ85" s="197"/>
      <c r="AR85" s="197"/>
      <c r="AS85" s="197"/>
      <c r="AT85" s="197"/>
      <c r="AU85" s="33"/>
      <c r="AV85" s="33"/>
      <c r="AW85" s="33"/>
      <c r="AX85" s="33"/>
      <c r="AY85" s="76"/>
    </row>
    <row r="86" spans="2:51">
      <c r="B86" s="175">
        <f>IF(C33&lt;=$F$18,C33+1,"-")</f>
        <v>31</v>
      </c>
      <c r="C86" s="151">
        <f>D33-D34</f>
        <v>56</v>
      </c>
      <c r="D86" s="152">
        <v>0.2</v>
      </c>
      <c r="E86" s="130">
        <f t="shared" si="60"/>
        <v>0.44800000000000006</v>
      </c>
      <c r="F86" s="130">
        <f t="shared" si="61"/>
        <v>0.35200000000000004</v>
      </c>
      <c r="G86" s="153"/>
      <c r="H86" s="58">
        <f t="shared" si="59"/>
        <v>0</v>
      </c>
      <c r="I86" s="55">
        <v>81</v>
      </c>
      <c r="J86" s="33">
        <f t="shared" si="53"/>
        <v>0</v>
      </c>
      <c r="K86" s="33">
        <f t="shared" si="54"/>
        <v>0</v>
      </c>
      <c r="L86" s="33">
        <f t="shared" si="55"/>
        <v>0</v>
      </c>
      <c r="M86" s="33">
        <f t="shared" si="56"/>
        <v>0</v>
      </c>
      <c r="N86" s="33">
        <f t="shared" si="42"/>
        <v>0</v>
      </c>
      <c r="O86" s="34">
        <f t="shared" si="43"/>
        <v>0</v>
      </c>
      <c r="P86" s="55">
        <v>81</v>
      </c>
      <c r="Q86" s="33">
        <f t="shared" si="51"/>
        <v>0</v>
      </c>
      <c r="R86" s="33">
        <f t="shared" si="57"/>
        <v>0</v>
      </c>
      <c r="S86" s="33">
        <f t="shared" si="58"/>
        <v>0</v>
      </c>
      <c r="T86" s="33">
        <f t="shared" si="44"/>
        <v>0</v>
      </c>
      <c r="U86" s="33">
        <f t="shared" si="52"/>
        <v>0</v>
      </c>
      <c r="V86" s="33">
        <f t="shared" si="45"/>
        <v>0</v>
      </c>
      <c r="W86" s="33">
        <v>0</v>
      </c>
      <c r="X86" s="33">
        <f t="shared" si="46"/>
        <v>0</v>
      </c>
      <c r="Y86" s="38">
        <f t="shared" si="47"/>
        <v>0</v>
      </c>
      <c r="AA86" s="71">
        <v>81</v>
      </c>
      <c r="AB86" s="33">
        <f t="shared" si="48"/>
        <v>0</v>
      </c>
      <c r="AC86" s="308">
        <f t="shared" si="39"/>
        <v>0</v>
      </c>
      <c r="AD86" s="101">
        <f t="shared" si="49"/>
        <v>0</v>
      </c>
      <c r="AE86" s="101">
        <f t="shared" si="50"/>
        <v>0</v>
      </c>
      <c r="AF86" s="197">
        <f t="shared" si="34"/>
        <v>0</v>
      </c>
      <c r="AG86" s="197">
        <f t="shared" si="35"/>
        <v>0</v>
      </c>
      <c r="AH86" s="197">
        <f t="shared" si="36"/>
        <v>0</v>
      </c>
      <c r="AI86" s="202">
        <f t="shared" si="37"/>
        <v>0</v>
      </c>
      <c r="AK86" s="71">
        <v>81</v>
      </c>
      <c r="AL86" s="33"/>
      <c r="AM86" s="33"/>
      <c r="AN86" s="33"/>
      <c r="AO86" s="33"/>
      <c r="AP86" s="33"/>
      <c r="AQ86" s="197"/>
      <c r="AR86" s="197"/>
      <c r="AS86" s="197"/>
      <c r="AT86" s="197"/>
      <c r="AU86" s="33"/>
      <c r="AV86" s="33"/>
      <c r="AW86" s="33"/>
      <c r="AX86" s="33"/>
      <c r="AY86" s="76"/>
    </row>
    <row r="87" spans="2:51">
      <c r="B87" s="175">
        <f>IF(C35&lt;=$F$18,C35+1,"-")</f>
        <v>36</v>
      </c>
      <c r="C87" s="151">
        <f>D35-D36</f>
        <v>56</v>
      </c>
      <c r="D87" s="152">
        <v>0.4</v>
      </c>
      <c r="E87" s="130">
        <f t="shared" si="60"/>
        <v>0.33600000000000002</v>
      </c>
      <c r="F87" s="130">
        <f t="shared" si="61"/>
        <v>0.26400000000000001</v>
      </c>
      <c r="G87" s="153"/>
      <c r="H87" s="58">
        <f t="shared" si="59"/>
        <v>0</v>
      </c>
      <c r="I87" s="55">
        <v>82</v>
      </c>
      <c r="J87" s="33">
        <f t="shared" si="53"/>
        <v>0</v>
      </c>
      <c r="K87" s="33">
        <f t="shared" si="54"/>
        <v>0</v>
      </c>
      <c r="L87" s="33">
        <f t="shared" si="55"/>
        <v>0</v>
      </c>
      <c r="M87" s="33">
        <f t="shared" si="56"/>
        <v>0</v>
      </c>
      <c r="N87" s="33">
        <f t="shared" si="42"/>
        <v>0</v>
      </c>
      <c r="O87" s="34">
        <f t="shared" si="43"/>
        <v>0</v>
      </c>
      <c r="P87" s="55">
        <v>82</v>
      </c>
      <c r="Q87" s="33">
        <f t="shared" si="51"/>
        <v>0</v>
      </c>
      <c r="R87" s="33">
        <f t="shared" si="57"/>
        <v>0</v>
      </c>
      <c r="S87" s="33">
        <f t="shared" si="58"/>
        <v>0</v>
      </c>
      <c r="T87" s="33">
        <f t="shared" si="44"/>
        <v>0</v>
      </c>
      <c r="U87" s="33">
        <f t="shared" si="52"/>
        <v>0</v>
      </c>
      <c r="V87" s="33">
        <f t="shared" si="45"/>
        <v>0</v>
      </c>
      <c r="W87" s="33">
        <v>0</v>
      </c>
      <c r="X87" s="33">
        <f t="shared" si="46"/>
        <v>0</v>
      </c>
      <c r="Y87" s="38">
        <f t="shared" si="47"/>
        <v>0</v>
      </c>
      <c r="AA87" s="71">
        <v>82</v>
      </c>
      <c r="AB87" s="33">
        <f t="shared" si="48"/>
        <v>0</v>
      </c>
      <c r="AC87" s="308">
        <f t="shared" si="39"/>
        <v>0</v>
      </c>
      <c r="AD87" s="101">
        <f t="shared" si="49"/>
        <v>0</v>
      </c>
      <c r="AE87" s="101">
        <f t="shared" si="50"/>
        <v>0</v>
      </c>
      <c r="AF87" s="197">
        <f t="shared" si="34"/>
        <v>0</v>
      </c>
      <c r="AG87" s="197">
        <f t="shared" si="35"/>
        <v>0</v>
      </c>
      <c r="AH87" s="197">
        <f t="shared" si="36"/>
        <v>0</v>
      </c>
      <c r="AI87" s="202">
        <f t="shared" si="37"/>
        <v>0</v>
      </c>
      <c r="AK87" s="71">
        <v>82</v>
      </c>
      <c r="AL87" s="33"/>
      <c r="AM87" s="33"/>
      <c r="AN87" s="33"/>
      <c r="AO87" s="33"/>
      <c r="AP87" s="33"/>
      <c r="AQ87" s="197"/>
      <c r="AR87" s="197"/>
      <c r="AS87" s="197"/>
      <c r="AT87" s="197"/>
      <c r="AU87" s="33"/>
      <c r="AV87" s="33"/>
      <c r="AW87" s="33"/>
      <c r="AX87" s="33"/>
      <c r="AY87" s="76"/>
    </row>
    <row r="88" spans="2:51">
      <c r="B88" s="175">
        <f>IF(C37&lt;=$F$18,C37+1,"-")</f>
        <v>41</v>
      </c>
      <c r="C88" s="151">
        <f>D37-D38</f>
        <v>56</v>
      </c>
      <c r="D88" s="152">
        <v>0.6</v>
      </c>
      <c r="E88" s="130">
        <f t="shared" si="60"/>
        <v>0.22400000000000003</v>
      </c>
      <c r="F88" s="130">
        <f t="shared" si="61"/>
        <v>0.17600000000000002</v>
      </c>
      <c r="G88" s="153"/>
      <c r="H88" s="58">
        <f t="shared" si="59"/>
        <v>0</v>
      </c>
      <c r="I88" s="55">
        <v>83</v>
      </c>
      <c r="J88" s="33">
        <f t="shared" si="53"/>
        <v>0</v>
      </c>
      <c r="K88" s="33">
        <f t="shared" si="54"/>
        <v>0</v>
      </c>
      <c r="L88" s="33">
        <f t="shared" si="55"/>
        <v>0</v>
      </c>
      <c r="M88" s="33">
        <f t="shared" si="56"/>
        <v>0</v>
      </c>
      <c r="N88" s="33">
        <f t="shared" si="42"/>
        <v>0</v>
      </c>
      <c r="O88" s="34">
        <f t="shared" si="43"/>
        <v>0</v>
      </c>
      <c r="P88" s="55">
        <v>83</v>
      </c>
      <c r="Q88" s="33">
        <f t="shared" si="51"/>
        <v>0</v>
      </c>
      <c r="R88" s="33">
        <f t="shared" si="57"/>
        <v>0</v>
      </c>
      <c r="S88" s="33">
        <f t="shared" si="58"/>
        <v>0</v>
      </c>
      <c r="T88" s="33">
        <f t="shared" si="44"/>
        <v>0</v>
      </c>
      <c r="U88" s="33">
        <f t="shared" si="52"/>
        <v>0</v>
      </c>
      <c r="V88" s="33">
        <f t="shared" si="45"/>
        <v>0</v>
      </c>
      <c r="W88" s="33">
        <v>0</v>
      </c>
      <c r="X88" s="33">
        <f t="shared" si="46"/>
        <v>0</v>
      </c>
      <c r="Y88" s="38">
        <f t="shared" si="47"/>
        <v>0</v>
      </c>
      <c r="AA88" s="71">
        <v>83</v>
      </c>
      <c r="AB88" s="33">
        <f t="shared" si="48"/>
        <v>0</v>
      </c>
      <c r="AC88" s="308">
        <f t="shared" si="39"/>
        <v>0</v>
      </c>
      <c r="AD88" s="101">
        <f t="shared" si="49"/>
        <v>0</v>
      </c>
      <c r="AE88" s="101">
        <f t="shared" si="50"/>
        <v>0</v>
      </c>
      <c r="AF88" s="197">
        <f t="shared" si="34"/>
        <v>0</v>
      </c>
      <c r="AG88" s="197">
        <f t="shared" si="35"/>
        <v>0</v>
      </c>
      <c r="AH88" s="197">
        <f t="shared" si="36"/>
        <v>0</v>
      </c>
      <c r="AI88" s="202">
        <f t="shared" si="37"/>
        <v>0</v>
      </c>
      <c r="AK88" s="71">
        <v>83</v>
      </c>
      <c r="AL88" s="33"/>
      <c r="AM88" s="33"/>
      <c r="AN88" s="33"/>
      <c r="AO88" s="33"/>
      <c r="AP88" s="33"/>
      <c r="AQ88" s="197"/>
      <c r="AR88" s="197"/>
      <c r="AS88" s="197"/>
      <c r="AT88" s="197"/>
      <c r="AU88" s="33"/>
      <c r="AV88" s="33"/>
      <c r="AW88" s="33"/>
      <c r="AX88" s="33"/>
      <c r="AY88" s="76"/>
    </row>
    <row r="89" spans="2:51">
      <c r="B89" s="175">
        <f>IF(C39&lt;=$F$18,C39+1,"-")</f>
        <v>46</v>
      </c>
      <c r="C89" s="151">
        <f>D39-D40</f>
        <v>56</v>
      </c>
      <c r="D89" s="152">
        <v>0.8</v>
      </c>
      <c r="E89" s="130">
        <f t="shared" si="60"/>
        <v>0.11199999999999999</v>
      </c>
      <c r="F89" s="130">
        <f t="shared" si="61"/>
        <v>8.7999999999999981E-2</v>
      </c>
      <c r="G89" s="153"/>
      <c r="H89" s="58">
        <f t="shared" si="59"/>
        <v>0</v>
      </c>
      <c r="I89" s="55">
        <v>84</v>
      </c>
      <c r="J89" s="33">
        <f t="shared" si="53"/>
        <v>0</v>
      </c>
      <c r="K89" s="33">
        <f t="shared" si="54"/>
        <v>0</v>
      </c>
      <c r="L89" s="33">
        <f t="shared" si="55"/>
        <v>0</v>
      </c>
      <c r="M89" s="33">
        <f t="shared" si="56"/>
        <v>0</v>
      </c>
      <c r="N89" s="33">
        <f t="shared" si="42"/>
        <v>0</v>
      </c>
      <c r="O89" s="34">
        <f t="shared" si="43"/>
        <v>0</v>
      </c>
      <c r="P89" s="55">
        <v>84</v>
      </c>
      <c r="Q89" s="33">
        <f t="shared" si="51"/>
        <v>0</v>
      </c>
      <c r="R89" s="33">
        <f t="shared" si="57"/>
        <v>0</v>
      </c>
      <c r="S89" s="33">
        <f t="shared" si="58"/>
        <v>0</v>
      </c>
      <c r="T89" s="33">
        <f t="shared" si="44"/>
        <v>0</v>
      </c>
      <c r="U89" s="33">
        <f t="shared" si="52"/>
        <v>0</v>
      </c>
      <c r="V89" s="33">
        <f t="shared" si="45"/>
        <v>0</v>
      </c>
      <c r="W89" s="33">
        <v>0</v>
      </c>
      <c r="X89" s="33">
        <f t="shared" si="46"/>
        <v>0</v>
      </c>
      <c r="Y89" s="38">
        <f t="shared" si="47"/>
        <v>0</v>
      </c>
      <c r="AA89" s="71">
        <v>84</v>
      </c>
      <c r="AB89" s="33">
        <f t="shared" si="48"/>
        <v>0</v>
      </c>
      <c r="AC89" s="308">
        <f t="shared" si="39"/>
        <v>0</v>
      </c>
      <c r="AD89" s="101">
        <f t="shared" si="49"/>
        <v>0</v>
      </c>
      <c r="AE89" s="101">
        <f t="shared" si="50"/>
        <v>0</v>
      </c>
      <c r="AF89" s="197">
        <f t="shared" si="34"/>
        <v>0</v>
      </c>
      <c r="AG89" s="197">
        <f t="shared" si="35"/>
        <v>0</v>
      </c>
      <c r="AH89" s="197">
        <f t="shared" si="36"/>
        <v>0</v>
      </c>
      <c r="AI89" s="202">
        <f t="shared" si="37"/>
        <v>0</v>
      </c>
      <c r="AK89" s="71">
        <v>84</v>
      </c>
      <c r="AL89" s="33"/>
      <c r="AM89" s="33"/>
      <c r="AN89" s="33"/>
      <c r="AO89" s="33"/>
      <c r="AP89" s="33"/>
      <c r="AQ89" s="197"/>
      <c r="AR89" s="197"/>
      <c r="AS89" s="197"/>
      <c r="AT89" s="197"/>
      <c r="AU89" s="33"/>
      <c r="AV89" s="33"/>
      <c r="AW89" s="33"/>
      <c r="AX89" s="33"/>
      <c r="AY89" s="76"/>
    </row>
    <row r="90" spans="2:51">
      <c r="B90" s="175">
        <f>IF(C41&lt;=$F$18,C41+1,"-")</f>
        <v>51</v>
      </c>
      <c r="C90" s="151">
        <f>D41-D42</f>
        <v>52</v>
      </c>
      <c r="D90" s="152">
        <v>0.9</v>
      </c>
      <c r="E90" s="130">
        <f t="shared" si="60"/>
        <v>5.5999999999999994E-2</v>
      </c>
      <c r="F90" s="130">
        <f t="shared" si="61"/>
        <v>4.3999999999999991E-2</v>
      </c>
      <c r="G90" s="153"/>
      <c r="H90" s="58">
        <f t="shared" si="59"/>
        <v>0</v>
      </c>
      <c r="I90" s="55">
        <v>85</v>
      </c>
      <c r="J90" s="33">
        <f t="shared" si="53"/>
        <v>0</v>
      </c>
      <c r="K90" s="33">
        <f t="shared" si="54"/>
        <v>0</v>
      </c>
      <c r="L90" s="33">
        <f t="shared" si="55"/>
        <v>0</v>
      </c>
      <c r="M90" s="33">
        <f t="shared" si="56"/>
        <v>0</v>
      </c>
      <c r="N90" s="33">
        <f t="shared" si="42"/>
        <v>0</v>
      </c>
      <c r="O90" s="34">
        <f t="shared" si="43"/>
        <v>0</v>
      </c>
      <c r="P90" s="55">
        <v>85</v>
      </c>
      <c r="Q90" s="33">
        <f t="shared" si="51"/>
        <v>0</v>
      </c>
      <c r="R90" s="33">
        <f t="shared" si="57"/>
        <v>0</v>
      </c>
      <c r="S90" s="33">
        <f t="shared" si="58"/>
        <v>0</v>
      </c>
      <c r="T90" s="33">
        <f t="shared" si="44"/>
        <v>0</v>
      </c>
      <c r="U90" s="33">
        <f t="shared" si="52"/>
        <v>0</v>
      </c>
      <c r="V90" s="33">
        <f t="shared" si="45"/>
        <v>0</v>
      </c>
      <c r="W90" s="33">
        <v>0</v>
      </c>
      <c r="X90" s="33">
        <f t="shared" si="46"/>
        <v>0</v>
      </c>
      <c r="Y90" s="38">
        <f t="shared" si="47"/>
        <v>0</v>
      </c>
      <c r="AA90" s="71">
        <v>85</v>
      </c>
      <c r="AB90" s="33">
        <f t="shared" si="48"/>
        <v>0</v>
      </c>
      <c r="AC90" s="308">
        <f t="shared" si="39"/>
        <v>0</v>
      </c>
      <c r="AD90" s="101">
        <f t="shared" si="49"/>
        <v>0</v>
      </c>
      <c r="AE90" s="101">
        <f t="shared" si="50"/>
        <v>0</v>
      </c>
      <c r="AF90" s="197">
        <f t="shared" si="34"/>
        <v>0</v>
      </c>
      <c r="AG90" s="197">
        <f t="shared" si="35"/>
        <v>0</v>
      </c>
      <c r="AH90" s="197">
        <f t="shared" si="36"/>
        <v>0</v>
      </c>
      <c r="AI90" s="202">
        <f t="shared" si="37"/>
        <v>0</v>
      </c>
      <c r="AK90" s="71">
        <v>85</v>
      </c>
      <c r="AL90" s="33"/>
      <c r="AM90" s="33"/>
      <c r="AN90" s="33"/>
      <c r="AO90" s="33"/>
      <c r="AP90" s="33"/>
      <c r="AQ90" s="197"/>
      <c r="AR90" s="197"/>
      <c r="AS90" s="197"/>
      <c r="AT90" s="197"/>
      <c r="AU90" s="33"/>
      <c r="AV90" s="33"/>
      <c r="AW90" s="33"/>
      <c r="AX90" s="33"/>
      <c r="AY90" s="76"/>
    </row>
    <row r="91" spans="2:51">
      <c r="B91" s="175" t="str">
        <f>IF(C43&lt;=$F$18,C43+1,"-")</f>
        <v>-</v>
      </c>
      <c r="C91" s="151">
        <f>D43-D44</f>
        <v>44</v>
      </c>
      <c r="D91" s="152">
        <v>0.6</v>
      </c>
      <c r="E91" s="130">
        <f t="shared" si="60"/>
        <v>0.22400000000000003</v>
      </c>
      <c r="F91" s="130">
        <f t="shared" si="61"/>
        <v>0.17600000000000002</v>
      </c>
      <c r="G91" s="153"/>
      <c r="H91" s="58">
        <f t="shared" si="59"/>
        <v>0</v>
      </c>
      <c r="I91" s="55">
        <v>86</v>
      </c>
      <c r="J91" s="33">
        <f t="shared" si="53"/>
        <v>0</v>
      </c>
      <c r="K91" s="33">
        <f t="shared" si="54"/>
        <v>0</v>
      </c>
      <c r="L91" s="33">
        <f t="shared" si="55"/>
        <v>0</v>
      </c>
      <c r="M91" s="33">
        <f t="shared" si="56"/>
        <v>0</v>
      </c>
      <c r="N91" s="33">
        <f t="shared" si="42"/>
        <v>0</v>
      </c>
      <c r="O91" s="34">
        <f t="shared" si="43"/>
        <v>0</v>
      </c>
      <c r="P91" s="55">
        <v>86</v>
      </c>
      <c r="Q91" s="33">
        <f t="shared" si="51"/>
        <v>0</v>
      </c>
      <c r="R91" s="33">
        <f t="shared" si="57"/>
        <v>0</v>
      </c>
      <c r="S91" s="33">
        <f t="shared" si="58"/>
        <v>0</v>
      </c>
      <c r="T91" s="33">
        <f t="shared" si="44"/>
        <v>0</v>
      </c>
      <c r="U91" s="33">
        <f t="shared" si="52"/>
        <v>0</v>
      </c>
      <c r="V91" s="33">
        <f t="shared" si="45"/>
        <v>0</v>
      </c>
      <c r="W91" s="33">
        <v>0</v>
      </c>
      <c r="X91" s="33">
        <f t="shared" si="46"/>
        <v>0</v>
      </c>
      <c r="Y91" s="38">
        <f t="shared" si="47"/>
        <v>0</v>
      </c>
      <c r="AA91" s="71">
        <v>86</v>
      </c>
      <c r="AB91" s="33">
        <f t="shared" si="48"/>
        <v>0</v>
      </c>
      <c r="AC91" s="308">
        <f t="shared" si="39"/>
        <v>0</v>
      </c>
      <c r="AD91" s="101">
        <f t="shared" si="49"/>
        <v>0</v>
      </c>
      <c r="AE91" s="101">
        <f t="shared" si="50"/>
        <v>0</v>
      </c>
      <c r="AF91" s="197">
        <f t="shared" ref="AF91:AF154" si="62">IF(OR(AA91&lt;=$F$18,AA91&lt;=30),EXP(-LN(2)/$D$104)*AF90+((1-EXP(-LN(2)/$D$104))/(LN(2)/$D$104))*$AB91*AC91*0.475*$F$19*44/12,)</f>
        <v>0</v>
      </c>
      <c r="AG91" s="197">
        <f t="shared" ref="AG91:AG154" si="63">IF(OR(AA91&lt;=$F$18,AA91&lt;=30),EXP(-LN(2)/$D$106)*AG90+((1-EXP(-LN(2)/$D$106))/(LN(2)/$D$106))*$AB91*AD91*0.475*$F$19*44/12,)</f>
        <v>0</v>
      </c>
      <c r="AH91" s="197">
        <f t="shared" ref="AH91:AH154" si="64">IF(OR(AA91&lt;=$F$18,AA91&lt;=30),EXP(-LN(2)/$D$105)*AH90+((1-EXP(-LN(2)/$D$105))/(LN(2)/$D$105))*$AB91*AE91*0.475*$F$19*44/12,)</f>
        <v>0</v>
      </c>
      <c r="AI91" s="202">
        <f t="shared" ref="AI91:AI154" si="65">IF(OR(AA91&lt;=$F$18,AA91&lt;=30),SUM(AF91:AH91),)</f>
        <v>0</v>
      </c>
      <c r="AK91" s="71">
        <v>86</v>
      </c>
      <c r="AL91" s="33"/>
      <c r="AM91" s="33"/>
      <c r="AN91" s="33"/>
      <c r="AO91" s="33"/>
      <c r="AP91" s="33"/>
      <c r="AQ91" s="197"/>
      <c r="AR91" s="197"/>
      <c r="AS91" s="197"/>
      <c r="AT91" s="197"/>
      <c r="AU91" s="33"/>
      <c r="AV91" s="33"/>
      <c r="AW91" s="33"/>
      <c r="AX91" s="33"/>
      <c r="AY91" s="76"/>
    </row>
    <row r="92" spans="2:51">
      <c r="B92" s="175" t="str">
        <f>IF(C45&lt;=$F$18,C45+1,"-")</f>
        <v>-</v>
      </c>
      <c r="C92" s="151">
        <f>D45-D46</f>
        <v>39</v>
      </c>
      <c r="D92" s="152">
        <v>0.7</v>
      </c>
      <c r="E92" s="130">
        <f t="shared" si="60"/>
        <v>0.16800000000000004</v>
      </c>
      <c r="F92" s="130">
        <f t="shared" si="61"/>
        <v>0.13200000000000003</v>
      </c>
      <c r="G92" s="153"/>
      <c r="H92" s="58">
        <f t="shared" si="59"/>
        <v>0</v>
      </c>
      <c r="I92" s="55">
        <v>87</v>
      </c>
      <c r="J92" s="33">
        <f t="shared" si="53"/>
        <v>0</v>
      </c>
      <c r="K92" s="33">
        <f t="shared" si="54"/>
        <v>0</v>
      </c>
      <c r="L92" s="33">
        <f t="shared" si="55"/>
        <v>0</v>
      </c>
      <c r="M92" s="33">
        <f t="shared" si="56"/>
        <v>0</v>
      </c>
      <c r="N92" s="33">
        <f t="shared" si="42"/>
        <v>0</v>
      </c>
      <c r="O92" s="34">
        <f t="shared" si="43"/>
        <v>0</v>
      </c>
      <c r="P92" s="55">
        <v>87</v>
      </c>
      <c r="Q92" s="33">
        <f t="shared" si="51"/>
        <v>0</v>
      </c>
      <c r="R92" s="33">
        <f t="shared" si="57"/>
        <v>0</v>
      </c>
      <c r="S92" s="33">
        <f t="shared" si="58"/>
        <v>0</v>
      </c>
      <c r="T92" s="33">
        <f t="shared" si="44"/>
        <v>0</v>
      </c>
      <c r="U92" s="33">
        <f t="shared" si="52"/>
        <v>0</v>
      </c>
      <c r="V92" s="33">
        <f t="shared" si="45"/>
        <v>0</v>
      </c>
      <c r="W92" s="33">
        <v>0</v>
      </c>
      <c r="X92" s="33">
        <f t="shared" si="46"/>
        <v>0</v>
      </c>
      <c r="Y92" s="38">
        <f t="shared" si="47"/>
        <v>0</v>
      </c>
      <c r="AA92" s="71">
        <v>87</v>
      </c>
      <c r="AB92" s="33">
        <f t="shared" si="48"/>
        <v>0</v>
      </c>
      <c r="AC92" s="308">
        <f t="shared" si="39"/>
        <v>0</v>
      </c>
      <c r="AD92" s="101">
        <f t="shared" si="49"/>
        <v>0</v>
      </c>
      <c r="AE92" s="101">
        <f t="shared" si="50"/>
        <v>0</v>
      </c>
      <c r="AF92" s="197">
        <f t="shared" si="62"/>
        <v>0</v>
      </c>
      <c r="AG92" s="197">
        <f t="shared" si="63"/>
        <v>0</v>
      </c>
      <c r="AH92" s="197">
        <f t="shared" si="64"/>
        <v>0</v>
      </c>
      <c r="AI92" s="202">
        <f t="shared" si="65"/>
        <v>0</v>
      </c>
      <c r="AK92" s="71">
        <v>87</v>
      </c>
      <c r="AL92" s="33"/>
      <c r="AM92" s="33"/>
      <c r="AN92" s="33"/>
      <c r="AO92" s="33"/>
      <c r="AP92" s="33"/>
      <c r="AQ92" s="197"/>
      <c r="AR92" s="197"/>
      <c r="AS92" s="197"/>
      <c r="AT92" s="197"/>
      <c r="AU92" s="33"/>
      <c r="AV92" s="33"/>
      <c r="AW92" s="33"/>
      <c r="AX92" s="33"/>
      <c r="AY92" s="76"/>
    </row>
    <row r="93" spans="2:51">
      <c r="B93" s="175" t="str">
        <f>IF(C47&lt;=$F$18,C47+1,"-")</f>
        <v>-</v>
      </c>
      <c r="C93" s="151">
        <f>D47-D48</f>
        <v>35</v>
      </c>
      <c r="D93" s="152">
        <v>0.8</v>
      </c>
      <c r="E93" s="130">
        <f t="shared" si="60"/>
        <v>0.11199999999999999</v>
      </c>
      <c r="F93" s="130">
        <f t="shared" si="61"/>
        <v>8.7999999999999981E-2</v>
      </c>
      <c r="G93" s="153"/>
      <c r="H93" s="58">
        <f t="shared" si="59"/>
        <v>0</v>
      </c>
      <c r="I93" s="55">
        <v>88</v>
      </c>
      <c r="J93" s="33">
        <f t="shared" si="53"/>
        <v>0</v>
      </c>
      <c r="K93" s="33">
        <f t="shared" si="54"/>
        <v>0</v>
      </c>
      <c r="L93" s="33">
        <f t="shared" si="55"/>
        <v>0</v>
      </c>
      <c r="M93" s="33">
        <f t="shared" si="56"/>
        <v>0</v>
      </c>
      <c r="N93" s="33">
        <f t="shared" si="42"/>
        <v>0</v>
      </c>
      <c r="O93" s="34">
        <f t="shared" si="43"/>
        <v>0</v>
      </c>
      <c r="P93" s="55">
        <v>88</v>
      </c>
      <c r="Q93" s="33">
        <f t="shared" si="51"/>
        <v>0</v>
      </c>
      <c r="R93" s="33">
        <f t="shared" si="57"/>
        <v>0</v>
      </c>
      <c r="S93" s="33">
        <f t="shared" si="58"/>
        <v>0</v>
      </c>
      <c r="T93" s="33">
        <f t="shared" si="44"/>
        <v>0</v>
      </c>
      <c r="U93" s="33">
        <f t="shared" si="52"/>
        <v>0</v>
      </c>
      <c r="V93" s="33">
        <f t="shared" si="45"/>
        <v>0</v>
      </c>
      <c r="W93" s="33">
        <v>0</v>
      </c>
      <c r="X93" s="33">
        <f t="shared" si="46"/>
        <v>0</v>
      </c>
      <c r="Y93" s="38">
        <f t="shared" si="47"/>
        <v>0</v>
      </c>
      <c r="AA93" s="71">
        <v>88</v>
      </c>
      <c r="AB93" s="33">
        <f t="shared" si="48"/>
        <v>0</v>
      </c>
      <c r="AC93" s="308">
        <f t="shared" si="39"/>
        <v>0</v>
      </c>
      <c r="AD93" s="101">
        <f t="shared" si="49"/>
        <v>0</v>
      </c>
      <c r="AE93" s="101">
        <f t="shared" si="50"/>
        <v>0</v>
      </c>
      <c r="AF93" s="197">
        <f t="shared" si="62"/>
        <v>0</v>
      </c>
      <c r="AG93" s="197">
        <f t="shared" si="63"/>
        <v>0</v>
      </c>
      <c r="AH93" s="197">
        <f t="shared" si="64"/>
        <v>0</v>
      </c>
      <c r="AI93" s="202">
        <f t="shared" si="65"/>
        <v>0</v>
      </c>
      <c r="AK93" s="71">
        <v>88</v>
      </c>
      <c r="AL93" s="33"/>
      <c r="AM93" s="33"/>
      <c r="AN93" s="33"/>
      <c r="AO93" s="33"/>
      <c r="AP93" s="33"/>
      <c r="AQ93" s="197"/>
      <c r="AR93" s="197"/>
      <c r="AS93" s="197"/>
      <c r="AT93" s="197"/>
      <c r="AU93" s="33"/>
      <c r="AV93" s="33"/>
      <c r="AW93" s="33"/>
      <c r="AX93" s="33"/>
      <c r="AY93" s="76"/>
    </row>
    <row r="94" spans="2:51">
      <c r="B94" s="187">
        <f>F18</f>
        <v>50</v>
      </c>
      <c r="C94" s="184">
        <f>IFERROR(VLOOKUP(B94,C25:D78,2),)</f>
        <v>453</v>
      </c>
      <c r="D94" s="185">
        <v>0.95</v>
      </c>
      <c r="E94" s="186">
        <f t="shared" si="60"/>
        <v>2.8000000000000028E-2</v>
      </c>
      <c r="F94" s="186">
        <f t="shared" si="61"/>
        <v>2.200000000000002E-2</v>
      </c>
      <c r="G94" s="154"/>
      <c r="H94" s="58">
        <f t="shared" si="59"/>
        <v>0</v>
      </c>
      <c r="I94" s="55">
        <v>89</v>
      </c>
      <c r="J94" s="33">
        <f t="shared" si="53"/>
        <v>0</v>
      </c>
      <c r="K94" s="33">
        <f t="shared" si="54"/>
        <v>0</v>
      </c>
      <c r="L94" s="33">
        <f t="shared" si="55"/>
        <v>0</v>
      </c>
      <c r="M94" s="33">
        <f t="shared" si="56"/>
        <v>0</v>
      </c>
      <c r="N94" s="33">
        <f t="shared" si="42"/>
        <v>0</v>
      </c>
      <c r="O94" s="34">
        <f t="shared" si="43"/>
        <v>0</v>
      </c>
      <c r="P94" s="55">
        <v>89</v>
      </c>
      <c r="Q94" s="33">
        <f t="shared" si="51"/>
        <v>0</v>
      </c>
      <c r="R94" s="33">
        <f t="shared" si="57"/>
        <v>0</v>
      </c>
      <c r="S94" s="33">
        <f t="shared" si="58"/>
        <v>0</v>
      </c>
      <c r="T94" s="33">
        <f t="shared" si="44"/>
        <v>0</v>
      </c>
      <c r="U94" s="33">
        <f t="shared" si="52"/>
        <v>0</v>
      </c>
      <c r="V94" s="33">
        <f t="shared" si="45"/>
        <v>0</v>
      </c>
      <c r="W94" s="33">
        <v>0</v>
      </c>
      <c r="X94" s="33">
        <f t="shared" si="46"/>
        <v>0</v>
      </c>
      <c r="Y94" s="38">
        <f t="shared" si="47"/>
        <v>0</v>
      </c>
      <c r="AA94" s="71">
        <v>89</v>
      </c>
      <c r="AB94" s="33">
        <f t="shared" si="48"/>
        <v>0</v>
      </c>
      <c r="AC94" s="308">
        <f t="shared" si="39"/>
        <v>0</v>
      </c>
      <c r="AD94" s="101">
        <f t="shared" si="49"/>
        <v>0</v>
      </c>
      <c r="AE94" s="101">
        <f t="shared" si="50"/>
        <v>0</v>
      </c>
      <c r="AF94" s="197">
        <f t="shared" si="62"/>
        <v>0</v>
      </c>
      <c r="AG94" s="197">
        <f t="shared" si="63"/>
        <v>0</v>
      </c>
      <c r="AH94" s="197">
        <f t="shared" si="64"/>
        <v>0</v>
      </c>
      <c r="AI94" s="202">
        <f t="shared" si="65"/>
        <v>0</v>
      </c>
      <c r="AK94" s="71">
        <v>89</v>
      </c>
      <c r="AL94" s="33"/>
      <c r="AM94" s="33"/>
      <c r="AN94" s="33"/>
      <c r="AO94" s="33"/>
      <c r="AP94" s="33"/>
      <c r="AQ94" s="197"/>
      <c r="AR94" s="197"/>
      <c r="AS94" s="197"/>
      <c r="AT94" s="197"/>
      <c r="AU94" s="33"/>
      <c r="AV94" s="33"/>
      <c r="AW94" s="33"/>
      <c r="AX94" s="33"/>
      <c r="AY94" s="76"/>
    </row>
    <row r="95" spans="2:51">
      <c r="I95" s="55">
        <v>90</v>
      </c>
      <c r="J95" s="33">
        <f t="shared" si="53"/>
        <v>0</v>
      </c>
      <c r="K95" s="33">
        <f t="shared" si="54"/>
        <v>0</v>
      </c>
      <c r="L95" s="33">
        <f t="shared" si="55"/>
        <v>0</v>
      </c>
      <c r="M95" s="33">
        <f t="shared" si="56"/>
        <v>0</v>
      </c>
      <c r="N95" s="33">
        <f t="shared" si="42"/>
        <v>0</v>
      </c>
      <c r="O95" s="34">
        <f t="shared" si="43"/>
        <v>0</v>
      </c>
      <c r="P95" s="55">
        <v>90</v>
      </c>
      <c r="Q95" s="33">
        <f t="shared" si="51"/>
        <v>0</v>
      </c>
      <c r="R95" s="33">
        <f t="shared" si="57"/>
        <v>0</v>
      </c>
      <c r="S95" s="33">
        <f t="shared" si="58"/>
        <v>0</v>
      </c>
      <c r="T95" s="33">
        <f t="shared" si="44"/>
        <v>0</v>
      </c>
      <c r="U95" s="33">
        <f t="shared" si="52"/>
        <v>0</v>
      </c>
      <c r="V95" s="33">
        <f t="shared" si="45"/>
        <v>0</v>
      </c>
      <c r="W95" s="33">
        <v>0</v>
      </c>
      <c r="X95" s="33">
        <f t="shared" si="46"/>
        <v>0</v>
      </c>
      <c r="Y95" s="38">
        <f t="shared" si="47"/>
        <v>0</v>
      </c>
      <c r="AA95" s="71">
        <v>90</v>
      </c>
      <c r="AB95" s="33">
        <f t="shared" si="48"/>
        <v>0</v>
      </c>
      <c r="AC95" s="308">
        <f t="shared" ref="AC95:AC158" si="66">IF(AA95&lt;=$F$18,IFERROR(VLOOKUP($AA95,$B$82:$G$94,3,FALSE),0),)*50%</f>
        <v>0</v>
      </c>
      <c r="AD95" s="101">
        <f t="shared" si="49"/>
        <v>0</v>
      </c>
      <c r="AE95" s="101">
        <f t="shared" si="50"/>
        <v>0</v>
      </c>
      <c r="AF95" s="197">
        <f t="shared" si="62"/>
        <v>0</v>
      </c>
      <c r="AG95" s="197">
        <f t="shared" si="63"/>
        <v>0</v>
      </c>
      <c r="AH95" s="197">
        <f t="shared" si="64"/>
        <v>0</v>
      </c>
      <c r="AI95" s="202">
        <f t="shared" si="65"/>
        <v>0</v>
      </c>
      <c r="AK95" s="71">
        <v>90</v>
      </c>
      <c r="AL95" s="33"/>
      <c r="AM95" s="33"/>
      <c r="AN95" s="33"/>
      <c r="AO95" s="33"/>
      <c r="AP95" s="33"/>
      <c r="AQ95" s="197"/>
      <c r="AR95" s="197"/>
      <c r="AS95" s="197"/>
      <c r="AT95" s="197"/>
      <c r="AU95" s="33"/>
      <c r="AV95" s="33"/>
      <c r="AW95" s="33"/>
      <c r="AX95" s="33"/>
      <c r="AY95" s="76"/>
    </row>
    <row r="96" spans="2:51">
      <c r="C96" s="67" t="s">
        <v>154</v>
      </c>
      <c r="D96" t="s">
        <v>137</v>
      </c>
      <c r="E96" s="6"/>
      <c r="I96" s="55">
        <v>91</v>
      </c>
      <c r="J96" s="33">
        <f t="shared" si="53"/>
        <v>0</v>
      </c>
      <c r="K96" s="33">
        <f t="shared" si="54"/>
        <v>0</v>
      </c>
      <c r="L96" s="33">
        <f t="shared" si="55"/>
        <v>0</v>
      </c>
      <c r="M96" s="33">
        <f t="shared" si="56"/>
        <v>0</v>
      </c>
      <c r="N96" s="33">
        <f t="shared" si="42"/>
        <v>0</v>
      </c>
      <c r="O96" s="34">
        <f t="shared" si="43"/>
        <v>0</v>
      </c>
      <c r="P96" s="55">
        <v>91</v>
      </c>
      <c r="Q96" s="33">
        <f t="shared" si="51"/>
        <v>0</v>
      </c>
      <c r="R96" s="33">
        <f t="shared" si="57"/>
        <v>0</v>
      </c>
      <c r="S96" s="33">
        <f t="shared" si="58"/>
        <v>0</v>
      </c>
      <c r="T96" s="33">
        <f t="shared" si="44"/>
        <v>0</v>
      </c>
      <c r="U96" s="33">
        <f t="shared" si="52"/>
        <v>0</v>
      </c>
      <c r="V96" s="33">
        <f t="shared" si="45"/>
        <v>0</v>
      </c>
      <c r="W96" s="33">
        <v>0</v>
      </c>
      <c r="X96" s="33">
        <f t="shared" si="46"/>
        <v>0</v>
      </c>
      <c r="Y96" s="38">
        <f t="shared" si="47"/>
        <v>0</v>
      </c>
      <c r="AA96" s="71">
        <v>91</v>
      </c>
      <c r="AB96" s="33">
        <f t="shared" si="48"/>
        <v>0</v>
      </c>
      <c r="AC96" s="308">
        <f t="shared" si="66"/>
        <v>0</v>
      </c>
      <c r="AD96" s="101">
        <f t="shared" si="49"/>
        <v>0</v>
      </c>
      <c r="AE96" s="101">
        <f t="shared" si="50"/>
        <v>0</v>
      </c>
      <c r="AF96" s="197">
        <f t="shared" si="62"/>
        <v>0</v>
      </c>
      <c r="AG96" s="197">
        <f t="shared" si="63"/>
        <v>0</v>
      </c>
      <c r="AH96" s="197">
        <f t="shared" si="64"/>
        <v>0</v>
      </c>
      <c r="AI96" s="202">
        <f t="shared" si="65"/>
        <v>0</v>
      </c>
      <c r="AK96" s="71">
        <v>91</v>
      </c>
      <c r="AL96" s="33"/>
      <c r="AM96" s="33"/>
      <c r="AN96" s="33"/>
      <c r="AO96" s="33"/>
      <c r="AP96" s="33"/>
      <c r="AQ96" s="197"/>
      <c r="AR96" s="197"/>
      <c r="AS96" s="197"/>
      <c r="AT96" s="197"/>
      <c r="AU96" s="33"/>
      <c r="AV96" s="33"/>
      <c r="AW96" s="33"/>
      <c r="AX96" s="33"/>
      <c r="AY96" s="76"/>
    </row>
    <row r="97" spans="2:51">
      <c r="B97" s="2" t="s">
        <v>0</v>
      </c>
      <c r="C97">
        <v>32</v>
      </c>
      <c r="D97">
        <v>0</v>
      </c>
      <c r="E97" s="6"/>
      <c r="I97" s="55">
        <v>92</v>
      </c>
      <c r="J97" s="33">
        <f t="shared" si="53"/>
        <v>0</v>
      </c>
      <c r="K97" s="33">
        <f t="shared" si="54"/>
        <v>0</v>
      </c>
      <c r="L97" s="33">
        <f t="shared" si="55"/>
        <v>0</v>
      </c>
      <c r="M97" s="33">
        <f t="shared" si="56"/>
        <v>0</v>
      </c>
      <c r="N97" s="33">
        <f t="shared" si="42"/>
        <v>0</v>
      </c>
      <c r="O97" s="34">
        <f t="shared" si="43"/>
        <v>0</v>
      </c>
      <c r="P97" s="55">
        <v>92</v>
      </c>
      <c r="Q97" s="33">
        <f t="shared" si="51"/>
        <v>0</v>
      </c>
      <c r="R97" s="33">
        <f t="shared" si="57"/>
        <v>0</v>
      </c>
      <c r="S97" s="33">
        <f t="shared" si="58"/>
        <v>0</v>
      </c>
      <c r="T97" s="33">
        <f t="shared" si="44"/>
        <v>0</v>
      </c>
      <c r="U97" s="33">
        <f t="shared" si="52"/>
        <v>0</v>
      </c>
      <c r="V97" s="33">
        <f t="shared" si="45"/>
        <v>0</v>
      </c>
      <c r="W97" s="33">
        <v>0</v>
      </c>
      <c r="X97" s="33">
        <f t="shared" si="46"/>
        <v>0</v>
      </c>
      <c r="Y97" s="38">
        <f t="shared" si="47"/>
        <v>0</v>
      </c>
      <c r="AA97" s="71">
        <v>92</v>
      </c>
      <c r="AB97" s="33">
        <f t="shared" si="48"/>
        <v>0</v>
      </c>
      <c r="AC97" s="308">
        <f t="shared" si="66"/>
        <v>0</v>
      </c>
      <c r="AD97" s="101">
        <f t="shared" si="49"/>
        <v>0</v>
      </c>
      <c r="AE97" s="101">
        <f t="shared" si="50"/>
        <v>0</v>
      </c>
      <c r="AF97" s="197">
        <f t="shared" si="62"/>
        <v>0</v>
      </c>
      <c r="AG97" s="197">
        <f t="shared" si="63"/>
        <v>0</v>
      </c>
      <c r="AH97" s="197">
        <f t="shared" si="64"/>
        <v>0</v>
      </c>
      <c r="AI97" s="202">
        <f t="shared" si="65"/>
        <v>0</v>
      </c>
      <c r="AK97" s="71">
        <v>92</v>
      </c>
      <c r="AL97" s="33"/>
      <c r="AM97" s="33"/>
      <c r="AN97" s="33"/>
      <c r="AO97" s="33"/>
      <c r="AP97" s="33"/>
      <c r="AQ97" s="197"/>
      <c r="AR97" s="197"/>
      <c r="AS97" s="197"/>
      <c r="AT97" s="197"/>
      <c r="AU97" s="33"/>
      <c r="AV97" s="33"/>
      <c r="AW97" s="33"/>
      <c r="AX97" s="33"/>
      <c r="AY97" s="76"/>
    </row>
    <row r="98" spans="2:51">
      <c r="B98" s="2" t="s">
        <v>1</v>
      </c>
      <c r="C98">
        <v>45</v>
      </c>
      <c r="D98">
        <v>0</v>
      </c>
      <c r="E98" s="6"/>
      <c r="I98" s="55">
        <v>93</v>
      </c>
      <c r="J98" s="33">
        <f t="shared" si="53"/>
        <v>0</v>
      </c>
      <c r="K98" s="33">
        <f t="shared" si="54"/>
        <v>0</v>
      </c>
      <c r="L98" s="33">
        <f t="shared" si="55"/>
        <v>0</v>
      </c>
      <c r="M98" s="33">
        <f t="shared" si="56"/>
        <v>0</v>
      </c>
      <c r="N98" s="33">
        <f t="shared" si="42"/>
        <v>0</v>
      </c>
      <c r="O98" s="34">
        <f t="shared" si="43"/>
        <v>0</v>
      </c>
      <c r="P98" s="55">
        <v>93</v>
      </c>
      <c r="Q98" s="33">
        <f t="shared" si="51"/>
        <v>0</v>
      </c>
      <c r="R98" s="33">
        <f t="shared" si="57"/>
        <v>0</v>
      </c>
      <c r="S98" s="33">
        <f t="shared" si="58"/>
        <v>0</v>
      </c>
      <c r="T98" s="33">
        <f t="shared" si="44"/>
        <v>0</v>
      </c>
      <c r="U98" s="33">
        <f t="shared" si="52"/>
        <v>0</v>
      </c>
      <c r="V98" s="33">
        <f t="shared" si="45"/>
        <v>0</v>
      </c>
      <c r="W98" s="33">
        <v>0</v>
      </c>
      <c r="X98" s="33">
        <f t="shared" si="46"/>
        <v>0</v>
      </c>
      <c r="Y98" s="38">
        <f t="shared" si="47"/>
        <v>0</v>
      </c>
      <c r="AA98" s="71">
        <v>93</v>
      </c>
      <c r="AB98" s="33">
        <f t="shared" si="48"/>
        <v>0</v>
      </c>
      <c r="AC98" s="308">
        <f t="shared" si="66"/>
        <v>0</v>
      </c>
      <c r="AD98" s="101">
        <f t="shared" si="49"/>
        <v>0</v>
      </c>
      <c r="AE98" s="101">
        <f t="shared" si="50"/>
        <v>0</v>
      </c>
      <c r="AF98" s="197">
        <f t="shared" si="62"/>
        <v>0</v>
      </c>
      <c r="AG98" s="197">
        <f t="shared" si="63"/>
        <v>0</v>
      </c>
      <c r="AH98" s="197">
        <f t="shared" si="64"/>
        <v>0</v>
      </c>
      <c r="AI98" s="202">
        <f t="shared" si="65"/>
        <v>0</v>
      </c>
      <c r="AK98" s="71">
        <v>93</v>
      </c>
      <c r="AL98" s="33"/>
      <c r="AM98" s="33"/>
      <c r="AN98" s="33"/>
      <c r="AO98" s="33"/>
      <c r="AP98" s="33"/>
      <c r="AQ98" s="197"/>
      <c r="AR98" s="197"/>
      <c r="AS98" s="197"/>
      <c r="AT98" s="197"/>
      <c r="AU98" s="33"/>
      <c r="AV98" s="33"/>
      <c r="AW98" s="33"/>
      <c r="AX98" s="33"/>
      <c r="AY98" s="76"/>
    </row>
    <row r="99" spans="2:51">
      <c r="B99" s="2" t="s">
        <v>2</v>
      </c>
      <c r="C99">
        <v>70</v>
      </c>
      <c r="D99">
        <v>0</v>
      </c>
      <c r="E99" s="6"/>
      <c r="I99" s="55">
        <v>94</v>
      </c>
      <c r="J99" s="33">
        <f t="shared" si="53"/>
        <v>0</v>
      </c>
      <c r="K99" s="33">
        <f t="shared" si="54"/>
        <v>0</v>
      </c>
      <c r="L99" s="33">
        <f t="shared" si="55"/>
        <v>0</v>
      </c>
      <c r="M99" s="33">
        <f t="shared" si="56"/>
        <v>0</v>
      </c>
      <c r="N99" s="33">
        <f t="shared" si="42"/>
        <v>0</v>
      </c>
      <c r="O99" s="34">
        <f t="shared" si="43"/>
        <v>0</v>
      </c>
      <c r="P99" s="55">
        <v>94</v>
      </c>
      <c r="Q99" s="33">
        <f t="shared" si="51"/>
        <v>0</v>
      </c>
      <c r="R99" s="33">
        <f t="shared" si="57"/>
        <v>0</v>
      </c>
      <c r="S99" s="33">
        <f t="shared" si="58"/>
        <v>0</v>
      </c>
      <c r="T99" s="33">
        <f t="shared" si="44"/>
        <v>0</v>
      </c>
      <c r="U99" s="33">
        <f t="shared" si="52"/>
        <v>0</v>
      </c>
      <c r="V99" s="33">
        <f t="shared" si="45"/>
        <v>0</v>
      </c>
      <c r="W99" s="33">
        <v>0</v>
      </c>
      <c r="X99" s="33">
        <f t="shared" si="46"/>
        <v>0</v>
      </c>
      <c r="Y99" s="38">
        <f t="shared" si="47"/>
        <v>0</v>
      </c>
      <c r="AA99" s="71">
        <v>94</v>
      </c>
      <c r="AB99" s="33">
        <f t="shared" si="48"/>
        <v>0</v>
      </c>
      <c r="AC99" s="308">
        <f t="shared" si="66"/>
        <v>0</v>
      </c>
      <c r="AD99" s="101">
        <f t="shared" si="49"/>
        <v>0</v>
      </c>
      <c r="AE99" s="101">
        <f t="shared" si="50"/>
        <v>0</v>
      </c>
      <c r="AF99" s="197">
        <f t="shared" si="62"/>
        <v>0</v>
      </c>
      <c r="AG99" s="197">
        <f t="shared" si="63"/>
        <v>0</v>
      </c>
      <c r="AH99" s="197">
        <f t="shared" si="64"/>
        <v>0</v>
      </c>
      <c r="AI99" s="202">
        <f t="shared" si="65"/>
        <v>0</v>
      </c>
      <c r="AK99" s="71">
        <v>94</v>
      </c>
      <c r="AL99" s="33"/>
      <c r="AM99" s="33"/>
      <c r="AN99" s="33"/>
      <c r="AO99" s="33"/>
      <c r="AP99" s="33"/>
      <c r="AQ99" s="197"/>
      <c r="AR99" s="197"/>
      <c r="AS99" s="197"/>
      <c r="AT99" s="197"/>
      <c r="AU99" s="33"/>
      <c r="AV99" s="33"/>
      <c r="AW99" s="33"/>
      <c r="AX99" s="33"/>
      <c r="AY99" s="76"/>
    </row>
    <row r="100" spans="2:51">
      <c r="B100" s="2" t="s">
        <v>135</v>
      </c>
      <c r="C100">
        <v>70</v>
      </c>
      <c r="D100">
        <v>0</v>
      </c>
      <c r="E100" s="6"/>
      <c r="I100" s="55">
        <v>95</v>
      </c>
      <c r="J100" s="33">
        <f t="shared" si="53"/>
        <v>0</v>
      </c>
      <c r="K100" s="33">
        <f t="shared" si="54"/>
        <v>0</v>
      </c>
      <c r="L100" s="33">
        <f t="shared" si="55"/>
        <v>0</v>
      </c>
      <c r="M100" s="33">
        <f t="shared" si="56"/>
        <v>0</v>
      </c>
      <c r="N100" s="33">
        <f t="shared" si="42"/>
        <v>0</v>
      </c>
      <c r="O100" s="34">
        <f t="shared" si="43"/>
        <v>0</v>
      </c>
      <c r="P100" s="55">
        <v>95</v>
      </c>
      <c r="Q100" s="33">
        <f t="shared" si="51"/>
        <v>0</v>
      </c>
      <c r="R100" s="33">
        <f t="shared" si="57"/>
        <v>0</v>
      </c>
      <c r="S100" s="33">
        <f t="shared" si="58"/>
        <v>0</v>
      </c>
      <c r="T100" s="33">
        <f t="shared" si="44"/>
        <v>0</v>
      </c>
      <c r="U100" s="33">
        <f t="shared" si="52"/>
        <v>0</v>
      </c>
      <c r="V100" s="33">
        <f t="shared" si="45"/>
        <v>0</v>
      </c>
      <c r="W100" s="33">
        <v>0</v>
      </c>
      <c r="X100" s="33">
        <f t="shared" si="46"/>
        <v>0</v>
      </c>
      <c r="Y100" s="38">
        <f t="shared" si="47"/>
        <v>0</v>
      </c>
      <c r="AA100" s="71">
        <v>95</v>
      </c>
      <c r="AB100" s="33">
        <f t="shared" si="48"/>
        <v>0</v>
      </c>
      <c r="AC100" s="308">
        <f t="shared" si="66"/>
        <v>0</v>
      </c>
      <c r="AD100" s="101">
        <f t="shared" si="49"/>
        <v>0</v>
      </c>
      <c r="AE100" s="101">
        <f t="shared" si="50"/>
        <v>0</v>
      </c>
      <c r="AF100" s="197">
        <f t="shared" si="62"/>
        <v>0</v>
      </c>
      <c r="AG100" s="197">
        <f t="shared" si="63"/>
        <v>0</v>
      </c>
      <c r="AH100" s="197">
        <f t="shared" si="64"/>
        <v>0</v>
      </c>
      <c r="AI100" s="202">
        <f t="shared" si="65"/>
        <v>0</v>
      </c>
      <c r="AK100" s="71">
        <v>95</v>
      </c>
      <c r="AL100" s="33"/>
      <c r="AM100" s="33"/>
      <c r="AN100" s="33"/>
      <c r="AO100" s="33"/>
      <c r="AP100" s="33"/>
      <c r="AQ100" s="197"/>
      <c r="AR100" s="197"/>
      <c r="AS100" s="197"/>
      <c r="AT100" s="197"/>
      <c r="AU100" s="33"/>
      <c r="AV100" s="33"/>
      <c r="AW100" s="33"/>
      <c r="AX100" s="33"/>
      <c r="AY100" s="76"/>
    </row>
    <row r="101" spans="2:51">
      <c r="C101" s="27"/>
      <c r="E101" s="6"/>
      <c r="I101" s="55">
        <v>96</v>
      </c>
      <c r="J101" s="33">
        <f t="shared" si="53"/>
        <v>0</v>
      </c>
      <c r="K101" s="33">
        <f t="shared" si="54"/>
        <v>0</v>
      </c>
      <c r="L101" s="33">
        <f t="shared" si="55"/>
        <v>0</v>
      </c>
      <c r="M101" s="33">
        <f t="shared" si="56"/>
        <v>0</v>
      </c>
      <c r="N101" s="33">
        <f t="shared" si="42"/>
        <v>0</v>
      </c>
      <c r="O101" s="34">
        <f t="shared" si="43"/>
        <v>0</v>
      </c>
      <c r="P101" s="55">
        <v>96</v>
      </c>
      <c r="Q101" s="33">
        <f t="shared" si="51"/>
        <v>0</v>
      </c>
      <c r="R101" s="33">
        <f t="shared" si="57"/>
        <v>0</v>
      </c>
      <c r="S101" s="33">
        <f t="shared" si="58"/>
        <v>0</v>
      </c>
      <c r="T101" s="33">
        <f t="shared" si="44"/>
        <v>0</v>
      </c>
      <c r="U101" s="33">
        <f t="shared" si="52"/>
        <v>0</v>
      </c>
      <c r="V101" s="33">
        <f t="shared" si="45"/>
        <v>0</v>
      </c>
      <c r="W101" s="33">
        <v>0</v>
      </c>
      <c r="X101" s="33">
        <f t="shared" si="46"/>
        <v>0</v>
      </c>
      <c r="Y101" s="38">
        <f t="shared" si="47"/>
        <v>0</v>
      </c>
      <c r="AA101" s="71">
        <v>96</v>
      </c>
      <c r="AB101" s="33">
        <f t="shared" si="48"/>
        <v>0</v>
      </c>
      <c r="AC101" s="308">
        <f t="shared" si="66"/>
        <v>0</v>
      </c>
      <c r="AD101" s="101">
        <f t="shared" si="49"/>
        <v>0</v>
      </c>
      <c r="AE101" s="101">
        <f t="shared" si="50"/>
        <v>0</v>
      </c>
      <c r="AF101" s="197">
        <f t="shared" si="62"/>
        <v>0</v>
      </c>
      <c r="AG101" s="197">
        <f t="shared" si="63"/>
        <v>0</v>
      </c>
      <c r="AH101" s="197">
        <f t="shared" si="64"/>
        <v>0</v>
      </c>
      <c r="AI101" s="202">
        <f t="shared" si="65"/>
        <v>0</v>
      </c>
      <c r="AK101" s="71">
        <v>96</v>
      </c>
      <c r="AL101" s="33"/>
      <c r="AM101" s="33"/>
      <c r="AN101" s="33"/>
      <c r="AO101" s="33"/>
      <c r="AP101" s="33"/>
      <c r="AQ101" s="197"/>
      <c r="AR101" s="197"/>
      <c r="AS101" s="197"/>
      <c r="AT101" s="197"/>
      <c r="AU101" s="33"/>
      <c r="AV101" s="33"/>
      <c r="AW101" s="33"/>
      <c r="AX101" s="33"/>
      <c r="AY101" s="76"/>
    </row>
    <row r="102" spans="2:51">
      <c r="C102" s="27"/>
      <c r="E102" s="6"/>
      <c r="I102" s="55">
        <v>97</v>
      </c>
      <c r="J102" s="33">
        <f t="shared" si="53"/>
        <v>0</v>
      </c>
      <c r="K102" s="33">
        <f t="shared" si="54"/>
        <v>0</v>
      </c>
      <c r="L102" s="33">
        <f t="shared" si="55"/>
        <v>0</v>
      </c>
      <c r="M102" s="33">
        <f t="shared" si="56"/>
        <v>0</v>
      </c>
      <c r="N102" s="33">
        <f t="shared" si="42"/>
        <v>0</v>
      </c>
      <c r="O102" s="34">
        <f t="shared" si="43"/>
        <v>0</v>
      </c>
      <c r="P102" s="55">
        <v>97</v>
      </c>
      <c r="Q102" s="33">
        <f t="shared" si="51"/>
        <v>0</v>
      </c>
      <c r="R102" s="33">
        <f t="shared" si="57"/>
        <v>0</v>
      </c>
      <c r="S102" s="33">
        <f t="shared" si="58"/>
        <v>0</v>
      </c>
      <c r="T102" s="33">
        <f t="shared" si="44"/>
        <v>0</v>
      </c>
      <c r="U102" s="33">
        <f t="shared" si="52"/>
        <v>0</v>
      </c>
      <c r="V102" s="33">
        <f t="shared" si="45"/>
        <v>0</v>
      </c>
      <c r="W102" s="33">
        <v>0</v>
      </c>
      <c r="X102" s="33">
        <f t="shared" si="46"/>
        <v>0</v>
      </c>
      <c r="Y102" s="38">
        <f t="shared" si="47"/>
        <v>0</v>
      </c>
      <c r="AA102" s="71">
        <v>97</v>
      </c>
      <c r="AB102" s="33">
        <f t="shared" si="48"/>
        <v>0</v>
      </c>
      <c r="AC102" s="308">
        <f t="shared" si="66"/>
        <v>0</v>
      </c>
      <c r="AD102" s="101">
        <f t="shared" si="49"/>
        <v>0</v>
      </c>
      <c r="AE102" s="101">
        <f t="shared" si="50"/>
        <v>0</v>
      </c>
      <c r="AF102" s="197">
        <f t="shared" si="62"/>
        <v>0</v>
      </c>
      <c r="AG102" s="197">
        <f t="shared" si="63"/>
        <v>0</v>
      </c>
      <c r="AH102" s="197">
        <f t="shared" si="64"/>
        <v>0</v>
      </c>
      <c r="AI102" s="202">
        <f t="shared" si="65"/>
        <v>0</v>
      </c>
      <c r="AK102" s="71">
        <v>97</v>
      </c>
      <c r="AL102" s="33"/>
      <c r="AM102" s="33"/>
      <c r="AN102" s="33"/>
      <c r="AO102" s="33"/>
      <c r="AP102" s="33"/>
      <c r="AQ102" s="197"/>
      <c r="AR102" s="197"/>
      <c r="AS102" s="197"/>
      <c r="AT102" s="197"/>
      <c r="AU102" s="33"/>
      <c r="AV102" s="33"/>
      <c r="AW102" s="33"/>
      <c r="AX102" s="33"/>
      <c r="AY102" s="76"/>
    </row>
    <row r="103" spans="2:51" ht="16">
      <c r="C103" s="25" t="s">
        <v>157</v>
      </c>
      <c r="D103" s="160" t="s">
        <v>158</v>
      </c>
      <c r="F103" s="193" t="s">
        <v>232</v>
      </c>
      <c r="I103" s="55">
        <v>98</v>
      </c>
      <c r="J103" s="33">
        <f t="shared" si="53"/>
        <v>0</v>
      </c>
      <c r="K103" s="33">
        <f t="shared" si="54"/>
        <v>0</v>
      </c>
      <c r="L103" s="33">
        <f t="shared" si="55"/>
        <v>0</v>
      </c>
      <c r="M103" s="33">
        <f t="shared" si="56"/>
        <v>0</v>
      </c>
      <c r="N103" s="33">
        <f t="shared" si="42"/>
        <v>0</v>
      </c>
      <c r="O103" s="34">
        <f t="shared" si="43"/>
        <v>0</v>
      </c>
      <c r="P103" s="55">
        <v>98</v>
      </c>
      <c r="Q103" s="33">
        <f t="shared" si="51"/>
        <v>0</v>
      </c>
      <c r="R103" s="33">
        <f t="shared" si="57"/>
        <v>0</v>
      </c>
      <c r="S103" s="33">
        <f t="shared" si="58"/>
        <v>0</v>
      </c>
      <c r="T103" s="33">
        <f t="shared" si="44"/>
        <v>0</v>
      </c>
      <c r="U103" s="33">
        <f t="shared" si="52"/>
        <v>0</v>
      </c>
      <c r="V103" s="33">
        <f t="shared" si="45"/>
        <v>0</v>
      </c>
      <c r="W103" s="33">
        <v>0</v>
      </c>
      <c r="X103" s="33">
        <f t="shared" si="46"/>
        <v>0</v>
      </c>
      <c r="Y103" s="38">
        <f t="shared" si="47"/>
        <v>0</v>
      </c>
      <c r="AA103" s="71">
        <v>98</v>
      </c>
      <c r="AB103" s="33">
        <f t="shared" si="48"/>
        <v>0</v>
      </c>
      <c r="AC103" s="308">
        <f t="shared" si="66"/>
        <v>0</v>
      </c>
      <c r="AD103" s="101">
        <f t="shared" si="49"/>
        <v>0</v>
      </c>
      <c r="AE103" s="101">
        <f t="shared" si="50"/>
        <v>0</v>
      </c>
      <c r="AF103" s="197">
        <f t="shared" si="62"/>
        <v>0</v>
      </c>
      <c r="AG103" s="197">
        <f t="shared" si="63"/>
        <v>0</v>
      </c>
      <c r="AH103" s="197">
        <f t="shared" si="64"/>
        <v>0</v>
      </c>
      <c r="AI103" s="202">
        <f t="shared" si="65"/>
        <v>0</v>
      </c>
      <c r="AK103" s="71">
        <v>98</v>
      </c>
      <c r="AL103" s="33"/>
      <c r="AM103" s="33"/>
      <c r="AN103" s="33"/>
      <c r="AO103" s="33"/>
      <c r="AP103" s="33"/>
      <c r="AQ103" s="197"/>
      <c r="AR103" s="197"/>
      <c r="AS103" s="197"/>
      <c r="AT103" s="197"/>
      <c r="AU103" s="33"/>
      <c r="AV103" s="33"/>
      <c r="AW103" s="33"/>
      <c r="AX103" s="33"/>
      <c r="AY103" s="76"/>
    </row>
    <row r="104" spans="2:51">
      <c r="B104" t="s">
        <v>78</v>
      </c>
      <c r="C104">
        <v>1.52</v>
      </c>
      <c r="D104">
        <v>35</v>
      </c>
      <c r="F104" s="192" t="s">
        <v>228</v>
      </c>
      <c r="G104" s="24">
        <v>0.25</v>
      </c>
      <c r="I104" s="55">
        <v>99</v>
      </c>
      <c r="J104" s="33">
        <f t="shared" si="53"/>
        <v>0</v>
      </c>
      <c r="K104" s="33">
        <f t="shared" si="54"/>
        <v>0</v>
      </c>
      <c r="L104" s="33">
        <f t="shared" si="55"/>
        <v>0</v>
      </c>
      <c r="M104" s="33">
        <f t="shared" si="56"/>
        <v>0</v>
      </c>
      <c r="N104" s="33">
        <f t="shared" si="42"/>
        <v>0</v>
      </c>
      <c r="O104" s="34">
        <f t="shared" si="43"/>
        <v>0</v>
      </c>
      <c r="P104" s="55">
        <v>99</v>
      </c>
      <c r="Q104" s="33">
        <f t="shared" si="51"/>
        <v>0</v>
      </c>
      <c r="R104" s="33">
        <f t="shared" si="57"/>
        <v>0</v>
      </c>
      <c r="S104" s="33">
        <f t="shared" si="58"/>
        <v>0</v>
      </c>
      <c r="T104" s="33">
        <f t="shared" si="44"/>
        <v>0</v>
      </c>
      <c r="U104" s="33">
        <f t="shared" si="52"/>
        <v>0</v>
      </c>
      <c r="V104" s="33">
        <f t="shared" si="45"/>
        <v>0</v>
      </c>
      <c r="W104" s="33">
        <v>0</v>
      </c>
      <c r="X104" s="33">
        <f t="shared" si="46"/>
        <v>0</v>
      </c>
      <c r="Y104" s="38">
        <f t="shared" si="47"/>
        <v>0</v>
      </c>
      <c r="AA104" s="71">
        <v>99</v>
      </c>
      <c r="AB104" s="33">
        <f t="shared" si="48"/>
        <v>0</v>
      </c>
      <c r="AC104" s="308">
        <f t="shared" si="66"/>
        <v>0</v>
      </c>
      <c r="AD104" s="101">
        <f t="shared" si="49"/>
        <v>0</v>
      </c>
      <c r="AE104" s="101">
        <f t="shared" si="50"/>
        <v>0</v>
      </c>
      <c r="AF104" s="197">
        <f t="shared" si="62"/>
        <v>0</v>
      </c>
      <c r="AG104" s="197">
        <f t="shared" si="63"/>
        <v>0</v>
      </c>
      <c r="AH104" s="197">
        <f t="shared" si="64"/>
        <v>0</v>
      </c>
      <c r="AI104" s="202">
        <f t="shared" si="65"/>
        <v>0</v>
      </c>
      <c r="AK104" s="71">
        <v>99</v>
      </c>
      <c r="AL104" s="33"/>
      <c r="AM104" s="33"/>
      <c r="AN104" s="33"/>
      <c r="AO104" s="33"/>
      <c r="AP104" s="33"/>
      <c r="AQ104" s="197"/>
      <c r="AR104" s="197"/>
      <c r="AS104" s="197"/>
      <c r="AT104" s="197"/>
      <c r="AU104" s="33"/>
      <c r="AV104" s="33"/>
      <c r="AW104" s="33"/>
      <c r="AX104" s="33"/>
      <c r="AY104" s="76"/>
    </row>
    <row r="105" spans="2:51">
      <c r="B105" t="s">
        <v>80</v>
      </c>
      <c r="C105">
        <v>0</v>
      </c>
      <c r="D105">
        <v>2</v>
      </c>
      <c r="F105" s="192" t="s">
        <v>230</v>
      </c>
      <c r="G105" s="24">
        <v>1.03</v>
      </c>
      <c r="I105" s="55">
        <v>100</v>
      </c>
      <c r="J105" s="33">
        <f t="shared" si="53"/>
        <v>0</v>
      </c>
      <c r="K105" s="33">
        <f t="shared" si="54"/>
        <v>0</v>
      </c>
      <c r="L105" s="33">
        <f t="shared" si="55"/>
        <v>0</v>
      </c>
      <c r="M105" s="33">
        <f t="shared" si="56"/>
        <v>0</v>
      </c>
      <c r="N105" s="33">
        <f t="shared" si="42"/>
        <v>0</v>
      </c>
      <c r="O105" s="34">
        <f t="shared" si="43"/>
        <v>0</v>
      </c>
      <c r="P105" s="55">
        <v>100</v>
      </c>
      <c r="Q105" s="33">
        <f t="shared" si="51"/>
        <v>0</v>
      </c>
      <c r="R105" s="33">
        <f t="shared" si="57"/>
        <v>0</v>
      </c>
      <c r="S105" s="33">
        <f t="shared" si="58"/>
        <v>0</v>
      </c>
      <c r="T105" s="33">
        <f t="shared" si="44"/>
        <v>0</v>
      </c>
      <c r="U105" s="33">
        <f t="shared" si="52"/>
        <v>0</v>
      </c>
      <c r="V105" s="33">
        <f t="shared" si="45"/>
        <v>0</v>
      </c>
      <c r="W105" s="33">
        <v>0</v>
      </c>
      <c r="X105" s="33">
        <f t="shared" si="46"/>
        <v>0</v>
      </c>
      <c r="Y105" s="38">
        <f t="shared" si="47"/>
        <v>0</v>
      </c>
      <c r="AA105" s="71">
        <v>100</v>
      </c>
      <c r="AB105" s="33">
        <f t="shared" si="48"/>
        <v>0</v>
      </c>
      <c r="AC105" s="308">
        <f t="shared" si="66"/>
        <v>0</v>
      </c>
      <c r="AD105" s="101">
        <f t="shared" si="49"/>
        <v>0</v>
      </c>
      <c r="AE105" s="101">
        <f t="shared" si="50"/>
        <v>0</v>
      </c>
      <c r="AF105" s="197">
        <f t="shared" si="62"/>
        <v>0</v>
      </c>
      <c r="AG105" s="197">
        <f t="shared" si="63"/>
        <v>0</v>
      </c>
      <c r="AH105" s="197">
        <f t="shared" si="64"/>
        <v>0</v>
      </c>
      <c r="AI105" s="202">
        <f t="shared" si="65"/>
        <v>0</v>
      </c>
      <c r="AK105" s="71">
        <v>100</v>
      </c>
      <c r="AL105" s="33"/>
      <c r="AM105" s="33"/>
      <c r="AN105" s="33"/>
      <c r="AO105" s="33"/>
      <c r="AP105" s="33"/>
      <c r="AQ105" s="197"/>
      <c r="AR105" s="197"/>
      <c r="AS105" s="197"/>
      <c r="AT105" s="197"/>
      <c r="AU105" s="33"/>
      <c r="AV105" s="33"/>
      <c r="AW105" s="33"/>
      <c r="AX105" s="33"/>
      <c r="AY105" s="76"/>
    </row>
    <row r="106" spans="2:51" ht="30">
      <c r="B106" t="s">
        <v>81</v>
      </c>
      <c r="C106">
        <v>0.77</v>
      </c>
      <c r="D106">
        <v>25</v>
      </c>
      <c r="F106" s="192" t="s">
        <v>231</v>
      </c>
      <c r="G106" s="24">
        <v>0.59</v>
      </c>
      <c r="I106" s="55">
        <v>101</v>
      </c>
      <c r="J106" s="33">
        <f t="shared" si="53"/>
        <v>0</v>
      </c>
      <c r="K106" s="33">
        <f t="shared" si="54"/>
        <v>0</v>
      </c>
      <c r="L106" s="33">
        <f t="shared" si="55"/>
        <v>0</v>
      </c>
      <c r="M106" s="33">
        <f t="shared" si="56"/>
        <v>0</v>
      </c>
      <c r="N106" s="33">
        <f t="shared" si="42"/>
        <v>0</v>
      </c>
      <c r="O106" s="34">
        <f t="shared" si="43"/>
        <v>0</v>
      </c>
      <c r="P106" s="55">
        <v>101</v>
      </c>
      <c r="Q106" s="33">
        <f t="shared" si="51"/>
        <v>0</v>
      </c>
      <c r="R106" s="33">
        <f t="shared" si="57"/>
        <v>0</v>
      </c>
      <c r="S106" s="33">
        <f t="shared" si="58"/>
        <v>0</v>
      </c>
      <c r="T106" s="33">
        <f t="shared" si="44"/>
        <v>0</v>
      </c>
      <c r="U106" s="33">
        <f t="shared" si="52"/>
        <v>0</v>
      </c>
      <c r="V106" s="33">
        <f t="shared" si="45"/>
        <v>0</v>
      </c>
      <c r="W106" s="33">
        <v>0</v>
      </c>
      <c r="X106" s="33">
        <f t="shared" si="46"/>
        <v>0</v>
      </c>
      <c r="Y106" s="38">
        <f t="shared" si="47"/>
        <v>0</v>
      </c>
      <c r="AA106" s="71">
        <v>101</v>
      </c>
      <c r="AB106" s="33">
        <f t="shared" si="48"/>
        <v>0</v>
      </c>
      <c r="AC106" s="308">
        <f t="shared" si="66"/>
        <v>0</v>
      </c>
      <c r="AD106" s="101">
        <f t="shared" si="49"/>
        <v>0</v>
      </c>
      <c r="AE106" s="101">
        <f t="shared" si="50"/>
        <v>0</v>
      </c>
      <c r="AF106" s="197">
        <f t="shared" si="62"/>
        <v>0</v>
      </c>
      <c r="AG106" s="197">
        <f t="shared" si="63"/>
        <v>0</v>
      </c>
      <c r="AH106" s="197">
        <f t="shared" si="64"/>
        <v>0</v>
      </c>
      <c r="AI106" s="202">
        <f t="shared" si="65"/>
        <v>0</v>
      </c>
      <c r="AK106" s="71">
        <v>101</v>
      </c>
      <c r="AL106" s="33"/>
      <c r="AM106" s="33"/>
      <c r="AN106" s="33"/>
      <c r="AO106" s="33"/>
      <c r="AP106" s="33"/>
      <c r="AQ106" s="197"/>
      <c r="AR106" s="197"/>
      <c r="AS106" s="197"/>
      <c r="AT106" s="197"/>
      <c r="AU106" s="33"/>
      <c r="AV106" s="33"/>
      <c r="AW106" s="33"/>
      <c r="AX106" s="33"/>
      <c r="AY106" s="76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192" t="s">
        <v>229</v>
      </c>
      <c r="G107" s="24">
        <v>0.43</v>
      </c>
      <c r="I107" s="55">
        <v>102</v>
      </c>
      <c r="J107" s="33">
        <f t="shared" si="53"/>
        <v>0</v>
      </c>
      <c r="K107" s="33">
        <f t="shared" si="54"/>
        <v>0</v>
      </c>
      <c r="L107" s="33">
        <f t="shared" si="55"/>
        <v>0</v>
      </c>
      <c r="M107" s="33">
        <f t="shared" si="56"/>
        <v>0</v>
      </c>
      <c r="N107" s="33">
        <f t="shared" si="42"/>
        <v>0</v>
      </c>
      <c r="O107" s="34">
        <f t="shared" si="43"/>
        <v>0</v>
      </c>
      <c r="P107" s="55">
        <v>102</v>
      </c>
      <c r="Q107" s="33">
        <f t="shared" si="51"/>
        <v>0</v>
      </c>
      <c r="R107" s="33">
        <f t="shared" si="57"/>
        <v>0</v>
      </c>
      <c r="S107" s="33">
        <f t="shared" si="58"/>
        <v>0</v>
      </c>
      <c r="T107" s="33">
        <f t="shared" si="44"/>
        <v>0</v>
      </c>
      <c r="U107" s="33">
        <f t="shared" si="52"/>
        <v>0</v>
      </c>
      <c r="V107" s="33">
        <f t="shared" si="45"/>
        <v>0</v>
      </c>
      <c r="W107" s="33">
        <v>0</v>
      </c>
      <c r="X107" s="33">
        <f t="shared" si="46"/>
        <v>0</v>
      </c>
      <c r="Y107" s="38">
        <f t="shared" si="47"/>
        <v>0</v>
      </c>
      <c r="AA107" s="71">
        <v>102</v>
      </c>
      <c r="AB107" s="33">
        <f t="shared" si="48"/>
        <v>0</v>
      </c>
      <c r="AC107" s="308">
        <f t="shared" si="66"/>
        <v>0</v>
      </c>
      <c r="AD107" s="101">
        <f t="shared" si="49"/>
        <v>0</v>
      </c>
      <c r="AE107" s="101">
        <f t="shared" si="50"/>
        <v>0</v>
      </c>
      <c r="AF107" s="197">
        <f t="shared" si="62"/>
        <v>0</v>
      </c>
      <c r="AG107" s="197">
        <f t="shared" si="63"/>
        <v>0</v>
      </c>
      <c r="AH107" s="197">
        <f t="shared" si="64"/>
        <v>0</v>
      </c>
      <c r="AI107" s="202">
        <f t="shared" si="65"/>
        <v>0</v>
      </c>
      <c r="AK107" s="71">
        <v>102</v>
      </c>
      <c r="AL107" s="33"/>
      <c r="AM107" s="33"/>
      <c r="AN107" s="33"/>
      <c r="AO107" s="33"/>
      <c r="AP107" s="33"/>
      <c r="AQ107" s="197"/>
      <c r="AR107" s="197"/>
      <c r="AS107" s="197"/>
      <c r="AT107" s="197"/>
      <c r="AU107" s="33"/>
      <c r="AV107" s="33"/>
      <c r="AW107" s="33"/>
      <c r="AX107" s="33"/>
      <c r="AY107" s="76"/>
    </row>
    <row r="108" spans="2:51">
      <c r="B108" t="s">
        <v>79</v>
      </c>
      <c r="C108">
        <v>0.25</v>
      </c>
      <c r="D108">
        <v>0</v>
      </c>
      <c r="F108" s="194" t="s">
        <v>233</v>
      </c>
      <c r="G108" s="195">
        <f>VLOOKUP(VLOOKUP(F17,C131:E195,3,FALSE),F104:G107,2,FALSE)</f>
        <v>0.43</v>
      </c>
      <c r="I108" s="55">
        <v>103</v>
      </c>
      <c r="J108" s="33">
        <f t="shared" si="53"/>
        <v>0</v>
      </c>
      <c r="K108" s="33">
        <f t="shared" si="54"/>
        <v>0</v>
      </c>
      <c r="L108" s="33">
        <f t="shared" si="55"/>
        <v>0</v>
      </c>
      <c r="M108" s="33">
        <f t="shared" si="56"/>
        <v>0</v>
      </c>
      <c r="N108" s="33">
        <f t="shared" si="42"/>
        <v>0</v>
      </c>
      <c r="O108" s="34">
        <f t="shared" si="43"/>
        <v>0</v>
      </c>
      <c r="P108" s="55">
        <v>103</v>
      </c>
      <c r="Q108" s="33">
        <f t="shared" si="51"/>
        <v>0</v>
      </c>
      <c r="R108" s="33">
        <f t="shared" si="57"/>
        <v>0</v>
      </c>
      <c r="S108" s="33">
        <f t="shared" si="58"/>
        <v>0</v>
      </c>
      <c r="T108" s="33">
        <f t="shared" si="44"/>
        <v>0</v>
      </c>
      <c r="U108" s="33">
        <f t="shared" si="52"/>
        <v>0</v>
      </c>
      <c r="V108" s="33">
        <f t="shared" si="45"/>
        <v>0</v>
      </c>
      <c r="W108" s="33">
        <v>0</v>
      </c>
      <c r="X108" s="33">
        <f t="shared" si="46"/>
        <v>0</v>
      </c>
      <c r="Y108" s="38">
        <f t="shared" si="47"/>
        <v>0</v>
      </c>
      <c r="AA108" s="71">
        <v>103</v>
      </c>
      <c r="AB108" s="33">
        <f t="shared" si="48"/>
        <v>0</v>
      </c>
      <c r="AC108" s="308">
        <f t="shared" si="66"/>
        <v>0</v>
      </c>
      <c r="AD108" s="101">
        <f t="shared" si="49"/>
        <v>0</v>
      </c>
      <c r="AE108" s="101">
        <f t="shared" si="50"/>
        <v>0</v>
      </c>
      <c r="AF108" s="197">
        <f t="shared" si="62"/>
        <v>0</v>
      </c>
      <c r="AG108" s="197">
        <f t="shared" si="63"/>
        <v>0</v>
      </c>
      <c r="AH108" s="197">
        <f t="shared" si="64"/>
        <v>0</v>
      </c>
      <c r="AI108" s="202">
        <f t="shared" si="65"/>
        <v>0</v>
      </c>
      <c r="AK108" s="71">
        <v>103</v>
      </c>
      <c r="AL108" s="33"/>
      <c r="AM108" s="33"/>
      <c r="AN108" s="33"/>
      <c r="AO108" s="33"/>
      <c r="AP108" s="33"/>
      <c r="AQ108" s="197"/>
      <c r="AR108" s="197"/>
      <c r="AS108" s="197"/>
      <c r="AT108" s="197"/>
      <c r="AU108" s="33"/>
      <c r="AV108" s="33"/>
      <c r="AW108" s="33"/>
      <c r="AX108" s="33"/>
      <c r="AY108" s="76"/>
    </row>
    <row r="109" spans="2:51">
      <c r="I109" s="55">
        <v>104</v>
      </c>
      <c r="J109" s="33">
        <f t="shared" si="53"/>
        <v>0</v>
      </c>
      <c r="K109" s="33">
        <f t="shared" si="54"/>
        <v>0</v>
      </c>
      <c r="L109" s="33">
        <f t="shared" si="55"/>
        <v>0</v>
      </c>
      <c r="M109" s="33">
        <f t="shared" si="56"/>
        <v>0</v>
      </c>
      <c r="N109" s="33">
        <f t="shared" si="42"/>
        <v>0</v>
      </c>
      <c r="O109" s="34">
        <f t="shared" si="43"/>
        <v>0</v>
      </c>
      <c r="P109" s="55">
        <v>104</v>
      </c>
      <c r="Q109" s="33">
        <f t="shared" si="51"/>
        <v>0</v>
      </c>
      <c r="R109" s="33">
        <f t="shared" si="57"/>
        <v>0</v>
      </c>
      <c r="S109" s="33">
        <f t="shared" si="58"/>
        <v>0</v>
      </c>
      <c r="T109" s="33">
        <f t="shared" si="44"/>
        <v>0</v>
      </c>
      <c r="U109" s="33">
        <f t="shared" si="52"/>
        <v>0</v>
      </c>
      <c r="V109" s="33">
        <f t="shared" si="45"/>
        <v>0</v>
      </c>
      <c r="W109" s="33">
        <v>0</v>
      </c>
      <c r="X109" s="33">
        <f t="shared" si="46"/>
        <v>0</v>
      </c>
      <c r="Y109" s="38">
        <f t="shared" si="47"/>
        <v>0</v>
      </c>
      <c r="AA109" s="71">
        <v>104</v>
      </c>
      <c r="AB109" s="33">
        <f t="shared" si="48"/>
        <v>0</v>
      </c>
      <c r="AC109" s="308">
        <f t="shared" si="66"/>
        <v>0</v>
      </c>
      <c r="AD109" s="101">
        <f t="shared" si="49"/>
        <v>0</v>
      </c>
      <c r="AE109" s="101">
        <f t="shared" si="50"/>
        <v>0</v>
      </c>
      <c r="AF109" s="197">
        <f t="shared" si="62"/>
        <v>0</v>
      </c>
      <c r="AG109" s="197">
        <f t="shared" si="63"/>
        <v>0</v>
      </c>
      <c r="AH109" s="197">
        <f t="shared" si="64"/>
        <v>0</v>
      </c>
      <c r="AI109" s="202">
        <f t="shared" si="65"/>
        <v>0</v>
      </c>
      <c r="AK109" s="71">
        <v>104</v>
      </c>
      <c r="AL109" s="33"/>
      <c r="AM109" s="33"/>
      <c r="AN109" s="33"/>
      <c r="AO109" s="33"/>
      <c r="AP109" s="33"/>
      <c r="AQ109" s="197"/>
      <c r="AR109" s="197"/>
      <c r="AS109" s="197"/>
      <c r="AT109" s="197"/>
      <c r="AU109" s="33"/>
      <c r="AV109" s="33"/>
      <c r="AW109" s="33"/>
      <c r="AX109" s="33"/>
      <c r="AY109" s="76"/>
    </row>
    <row r="110" spans="2:51">
      <c r="I110" s="55">
        <v>105</v>
      </c>
      <c r="J110" s="33">
        <f t="shared" si="53"/>
        <v>0</v>
      </c>
      <c r="K110" s="33">
        <f t="shared" si="54"/>
        <v>0</v>
      </c>
      <c r="L110" s="33">
        <f t="shared" si="55"/>
        <v>0</v>
      </c>
      <c r="M110" s="33">
        <f t="shared" si="56"/>
        <v>0</v>
      </c>
      <c r="N110" s="33">
        <f t="shared" si="42"/>
        <v>0</v>
      </c>
      <c r="O110" s="34">
        <f t="shared" si="43"/>
        <v>0</v>
      </c>
      <c r="P110" s="55">
        <v>105</v>
      </c>
      <c r="Q110" s="33">
        <f t="shared" si="51"/>
        <v>0</v>
      </c>
      <c r="R110" s="33">
        <f t="shared" si="57"/>
        <v>0</v>
      </c>
      <c r="S110" s="33">
        <f t="shared" si="58"/>
        <v>0</v>
      </c>
      <c r="T110" s="33">
        <f t="shared" si="44"/>
        <v>0</v>
      </c>
      <c r="U110" s="33">
        <f t="shared" si="52"/>
        <v>0</v>
      </c>
      <c r="V110" s="33">
        <f t="shared" si="45"/>
        <v>0</v>
      </c>
      <c r="W110" s="33">
        <v>0</v>
      </c>
      <c r="X110" s="33">
        <f t="shared" si="46"/>
        <v>0</v>
      </c>
      <c r="Y110" s="38">
        <f t="shared" si="47"/>
        <v>0</v>
      </c>
      <c r="AA110" s="71">
        <v>105</v>
      </c>
      <c r="AB110" s="33">
        <f t="shared" si="48"/>
        <v>0</v>
      </c>
      <c r="AC110" s="308">
        <f t="shared" si="66"/>
        <v>0</v>
      </c>
      <c r="AD110" s="101">
        <f t="shared" si="49"/>
        <v>0</v>
      </c>
      <c r="AE110" s="101">
        <f t="shared" si="50"/>
        <v>0</v>
      </c>
      <c r="AF110" s="197">
        <f t="shared" si="62"/>
        <v>0</v>
      </c>
      <c r="AG110" s="197">
        <f t="shared" si="63"/>
        <v>0</v>
      </c>
      <c r="AH110" s="197">
        <f t="shared" si="64"/>
        <v>0</v>
      </c>
      <c r="AI110" s="202">
        <f t="shared" si="65"/>
        <v>0</v>
      </c>
      <c r="AK110" s="71">
        <v>105</v>
      </c>
      <c r="AL110" s="33"/>
      <c r="AM110" s="33"/>
      <c r="AN110" s="33"/>
      <c r="AO110" s="33"/>
      <c r="AP110" s="33"/>
      <c r="AQ110" s="197"/>
      <c r="AR110" s="197"/>
      <c r="AS110" s="197"/>
      <c r="AT110" s="197"/>
      <c r="AU110" s="33"/>
      <c r="AV110" s="33"/>
      <c r="AW110" s="33"/>
      <c r="AX110" s="33"/>
      <c r="AY110" s="76"/>
    </row>
    <row r="111" spans="2:51">
      <c r="C111" s="160" t="s">
        <v>169</v>
      </c>
      <c r="D111" s="160"/>
      <c r="E111" s="160"/>
      <c r="I111" s="55">
        <v>106</v>
      </c>
      <c r="J111" s="33">
        <f t="shared" si="53"/>
        <v>0</v>
      </c>
      <c r="K111" s="33">
        <f t="shared" si="54"/>
        <v>0</v>
      </c>
      <c r="L111" s="33">
        <f t="shared" si="55"/>
        <v>0</v>
      </c>
      <c r="M111" s="33">
        <f t="shared" si="56"/>
        <v>0</v>
      </c>
      <c r="N111" s="33">
        <f t="shared" si="42"/>
        <v>0</v>
      </c>
      <c r="O111" s="34">
        <f t="shared" si="43"/>
        <v>0</v>
      </c>
      <c r="P111" s="55">
        <v>106</v>
      </c>
      <c r="Q111" s="33">
        <f t="shared" si="51"/>
        <v>0</v>
      </c>
      <c r="R111" s="33">
        <f t="shared" si="57"/>
        <v>0</v>
      </c>
      <c r="S111" s="33">
        <f t="shared" si="58"/>
        <v>0</v>
      </c>
      <c r="T111" s="33">
        <f t="shared" si="44"/>
        <v>0</v>
      </c>
      <c r="U111" s="33">
        <f t="shared" si="52"/>
        <v>0</v>
      </c>
      <c r="V111" s="33">
        <f t="shared" si="45"/>
        <v>0</v>
      </c>
      <c r="W111" s="33">
        <v>0</v>
      </c>
      <c r="X111" s="33">
        <f t="shared" si="46"/>
        <v>0</v>
      </c>
      <c r="Y111" s="38">
        <f t="shared" si="47"/>
        <v>0</v>
      </c>
      <c r="AA111" s="71">
        <v>106</v>
      </c>
      <c r="AB111" s="33">
        <f t="shared" si="48"/>
        <v>0</v>
      </c>
      <c r="AC111" s="308">
        <f t="shared" si="66"/>
        <v>0</v>
      </c>
      <c r="AD111" s="101">
        <f t="shared" si="49"/>
        <v>0</v>
      </c>
      <c r="AE111" s="101">
        <f t="shared" si="50"/>
        <v>0</v>
      </c>
      <c r="AF111" s="197">
        <f t="shared" si="62"/>
        <v>0</v>
      </c>
      <c r="AG111" s="197">
        <f t="shared" si="63"/>
        <v>0</v>
      </c>
      <c r="AH111" s="197">
        <f t="shared" si="64"/>
        <v>0</v>
      </c>
      <c r="AI111" s="202">
        <f t="shared" si="65"/>
        <v>0</v>
      </c>
      <c r="AK111" s="71">
        <v>106</v>
      </c>
      <c r="AL111" s="33"/>
      <c r="AM111" s="33"/>
      <c r="AN111" s="33"/>
      <c r="AO111" s="33"/>
      <c r="AP111" s="33"/>
      <c r="AQ111" s="197"/>
      <c r="AR111" s="197"/>
      <c r="AS111" s="197"/>
      <c r="AT111" s="197"/>
      <c r="AU111" s="33"/>
      <c r="AV111" s="33"/>
      <c r="AW111" s="33"/>
      <c r="AX111" s="33"/>
      <c r="AY111" s="76"/>
    </row>
    <row r="112" spans="2:51">
      <c r="C112" s="74" t="s">
        <v>145</v>
      </c>
      <c r="D112" s="74" t="s">
        <v>72</v>
      </c>
      <c r="E112" s="74" t="s">
        <v>166</v>
      </c>
      <c r="I112" s="55">
        <v>107</v>
      </c>
      <c r="J112" s="33">
        <f t="shared" si="53"/>
        <v>0</v>
      </c>
      <c r="K112" s="33">
        <f t="shared" si="54"/>
        <v>0</v>
      </c>
      <c r="L112" s="33">
        <f t="shared" si="55"/>
        <v>0</v>
      </c>
      <c r="M112" s="33">
        <f t="shared" si="56"/>
        <v>0</v>
      </c>
      <c r="N112" s="33">
        <f t="shared" si="42"/>
        <v>0</v>
      </c>
      <c r="O112" s="34">
        <f t="shared" si="43"/>
        <v>0</v>
      </c>
      <c r="P112" s="55">
        <v>107</v>
      </c>
      <c r="Q112" s="33">
        <f t="shared" si="51"/>
        <v>0</v>
      </c>
      <c r="R112" s="33">
        <f t="shared" si="57"/>
        <v>0</v>
      </c>
      <c r="S112" s="33">
        <f t="shared" si="58"/>
        <v>0</v>
      </c>
      <c r="T112" s="33">
        <f t="shared" si="44"/>
        <v>0</v>
      </c>
      <c r="U112" s="33">
        <f t="shared" si="52"/>
        <v>0</v>
      </c>
      <c r="V112" s="33">
        <f t="shared" si="45"/>
        <v>0</v>
      </c>
      <c r="W112" s="33">
        <v>0</v>
      </c>
      <c r="X112" s="33">
        <f t="shared" si="46"/>
        <v>0</v>
      </c>
      <c r="Y112" s="38">
        <f t="shared" si="47"/>
        <v>0</v>
      </c>
      <c r="AA112" s="71">
        <v>107</v>
      </c>
      <c r="AB112" s="33">
        <f t="shared" si="48"/>
        <v>0</v>
      </c>
      <c r="AC112" s="308">
        <f t="shared" si="66"/>
        <v>0</v>
      </c>
      <c r="AD112" s="101">
        <f t="shared" si="49"/>
        <v>0</v>
      </c>
      <c r="AE112" s="101">
        <f t="shared" si="50"/>
        <v>0</v>
      </c>
      <c r="AF112" s="197">
        <f t="shared" si="62"/>
        <v>0</v>
      </c>
      <c r="AG112" s="197">
        <f t="shared" si="63"/>
        <v>0</v>
      </c>
      <c r="AH112" s="197">
        <f t="shared" si="64"/>
        <v>0</v>
      </c>
      <c r="AI112" s="202">
        <f t="shared" si="65"/>
        <v>0</v>
      </c>
      <c r="AK112" s="71">
        <v>107</v>
      </c>
      <c r="AL112" s="33"/>
      <c r="AM112" s="33"/>
      <c r="AN112" s="33"/>
      <c r="AO112" s="33"/>
      <c r="AP112" s="33"/>
      <c r="AQ112" s="197"/>
      <c r="AR112" s="197"/>
      <c r="AS112" s="197"/>
      <c r="AT112" s="197"/>
      <c r="AU112" s="33"/>
      <c r="AV112" s="33"/>
      <c r="AW112" s="33"/>
      <c r="AX112" s="33"/>
      <c r="AY112" s="76"/>
    </row>
    <row r="113" spans="2:51">
      <c r="B113" s="67" t="s">
        <v>167</v>
      </c>
      <c r="C113" s="79">
        <f>1/$F$18*SUM(X6:X205)</f>
        <v>452.99086467790869</v>
      </c>
      <c r="D113" s="79">
        <f>1/$F$10*SUM(O6:O205)</f>
        <v>177.03590180507831</v>
      </c>
      <c r="E113" s="78">
        <f>C113-D113</f>
        <v>275.95496287283038</v>
      </c>
      <c r="I113" s="55">
        <v>108</v>
      </c>
      <c r="J113" s="33">
        <f t="shared" si="53"/>
        <v>0</v>
      </c>
      <c r="K113" s="33">
        <f t="shared" si="54"/>
        <v>0</v>
      </c>
      <c r="L113" s="33">
        <f t="shared" si="55"/>
        <v>0</v>
      </c>
      <c r="M113" s="33">
        <f t="shared" si="56"/>
        <v>0</v>
      </c>
      <c r="N113" s="33">
        <f t="shared" si="42"/>
        <v>0</v>
      </c>
      <c r="O113" s="34">
        <f t="shared" si="43"/>
        <v>0</v>
      </c>
      <c r="P113" s="55">
        <v>108</v>
      </c>
      <c r="Q113" s="33">
        <f t="shared" si="51"/>
        <v>0</v>
      </c>
      <c r="R113" s="33">
        <f t="shared" si="57"/>
        <v>0</v>
      </c>
      <c r="S113" s="33">
        <f t="shared" si="58"/>
        <v>0</v>
      </c>
      <c r="T113" s="33">
        <f t="shared" si="44"/>
        <v>0</v>
      </c>
      <c r="U113" s="33">
        <f t="shared" si="52"/>
        <v>0</v>
      </c>
      <c r="V113" s="33">
        <f t="shared" si="45"/>
        <v>0</v>
      </c>
      <c r="W113" s="33">
        <v>0</v>
      </c>
      <c r="X113" s="33">
        <f t="shared" si="46"/>
        <v>0</v>
      </c>
      <c r="Y113" s="38">
        <f t="shared" si="47"/>
        <v>0</v>
      </c>
      <c r="AA113" s="71">
        <v>108</v>
      </c>
      <c r="AB113" s="33">
        <f t="shared" si="48"/>
        <v>0</v>
      </c>
      <c r="AC113" s="308">
        <f t="shared" si="66"/>
        <v>0</v>
      </c>
      <c r="AD113" s="101">
        <f t="shared" si="49"/>
        <v>0</v>
      </c>
      <c r="AE113" s="101">
        <f t="shared" si="50"/>
        <v>0</v>
      </c>
      <c r="AF113" s="197">
        <f t="shared" si="62"/>
        <v>0</v>
      </c>
      <c r="AG113" s="197">
        <f t="shared" si="63"/>
        <v>0</v>
      </c>
      <c r="AH113" s="197">
        <f t="shared" si="64"/>
        <v>0</v>
      </c>
      <c r="AI113" s="202">
        <f t="shared" si="65"/>
        <v>0</v>
      </c>
      <c r="AK113" s="71">
        <v>108</v>
      </c>
      <c r="AL113" s="33"/>
      <c r="AM113" s="33"/>
      <c r="AN113" s="33"/>
      <c r="AO113" s="33"/>
      <c r="AP113" s="33"/>
      <c r="AQ113" s="197"/>
      <c r="AR113" s="197"/>
      <c r="AS113" s="197"/>
      <c r="AT113" s="197"/>
      <c r="AU113" s="33"/>
      <c r="AV113" s="33"/>
      <c r="AW113" s="33"/>
      <c r="AX113" s="33"/>
      <c r="AY113" s="76"/>
    </row>
    <row r="114" spans="2:51">
      <c r="B114" s="67" t="s">
        <v>168</v>
      </c>
      <c r="C114" s="79">
        <f>X35</f>
        <v>563.56154958295508</v>
      </c>
      <c r="D114" s="79">
        <f>O35</f>
        <v>177.03590180507811</v>
      </c>
      <c r="E114" s="78">
        <f>VLOOKUP(30,I5:Y205,17,FALSE)</f>
        <v>386.525647777877</v>
      </c>
      <c r="I114" s="55">
        <v>109</v>
      </c>
      <c r="J114" s="33">
        <f t="shared" si="53"/>
        <v>0</v>
      </c>
      <c r="K114" s="33">
        <f t="shared" si="54"/>
        <v>0</v>
      </c>
      <c r="L114" s="33">
        <f t="shared" si="55"/>
        <v>0</v>
      </c>
      <c r="M114" s="33">
        <f t="shared" si="56"/>
        <v>0</v>
      </c>
      <c r="N114" s="33">
        <f t="shared" si="42"/>
        <v>0</v>
      </c>
      <c r="O114" s="34">
        <f t="shared" si="43"/>
        <v>0</v>
      </c>
      <c r="P114" s="55">
        <v>109</v>
      </c>
      <c r="Q114" s="33">
        <f t="shared" si="51"/>
        <v>0</v>
      </c>
      <c r="R114" s="33">
        <f t="shared" si="57"/>
        <v>0</v>
      </c>
      <c r="S114" s="33">
        <f t="shared" si="58"/>
        <v>0</v>
      </c>
      <c r="T114" s="33">
        <f t="shared" si="44"/>
        <v>0</v>
      </c>
      <c r="U114" s="33">
        <f t="shared" si="52"/>
        <v>0</v>
      </c>
      <c r="V114" s="33">
        <f t="shared" si="45"/>
        <v>0</v>
      </c>
      <c r="W114" s="33">
        <v>0</v>
      </c>
      <c r="X114" s="33">
        <f t="shared" si="46"/>
        <v>0</v>
      </c>
      <c r="Y114" s="38">
        <f t="shared" si="47"/>
        <v>0</v>
      </c>
      <c r="AA114" s="71">
        <v>109</v>
      </c>
      <c r="AB114" s="33">
        <f t="shared" si="48"/>
        <v>0</v>
      </c>
      <c r="AC114" s="308">
        <f t="shared" si="66"/>
        <v>0</v>
      </c>
      <c r="AD114" s="101">
        <f t="shared" si="49"/>
        <v>0</v>
      </c>
      <c r="AE114" s="101">
        <f t="shared" si="50"/>
        <v>0</v>
      </c>
      <c r="AF114" s="197">
        <f t="shared" si="62"/>
        <v>0</v>
      </c>
      <c r="AG114" s="197">
        <f t="shared" si="63"/>
        <v>0</v>
      </c>
      <c r="AH114" s="197">
        <f t="shared" si="64"/>
        <v>0</v>
      </c>
      <c r="AI114" s="202">
        <f t="shared" si="65"/>
        <v>0</v>
      </c>
      <c r="AK114" s="71">
        <v>109</v>
      </c>
      <c r="AL114" s="33"/>
      <c r="AM114" s="33"/>
      <c r="AN114" s="33"/>
      <c r="AO114" s="33"/>
      <c r="AP114" s="33"/>
      <c r="AQ114" s="197"/>
      <c r="AR114" s="197"/>
      <c r="AS114" s="197"/>
      <c r="AT114" s="197"/>
      <c r="AU114" s="33"/>
      <c r="AV114" s="33"/>
      <c r="AW114" s="33"/>
      <c r="AX114" s="33"/>
      <c r="AY114" s="76"/>
    </row>
    <row r="115" spans="2:51">
      <c r="C115" s="80"/>
      <c r="D115" s="80"/>
      <c r="E115" s="80"/>
      <c r="I115" s="55">
        <v>110</v>
      </c>
      <c r="J115" s="33">
        <f t="shared" si="53"/>
        <v>0</v>
      </c>
      <c r="K115" s="33">
        <f t="shared" si="54"/>
        <v>0</v>
      </c>
      <c r="L115" s="33">
        <f t="shared" si="55"/>
        <v>0</v>
      </c>
      <c r="M115" s="33">
        <f t="shared" si="56"/>
        <v>0</v>
      </c>
      <c r="N115" s="33">
        <f t="shared" si="42"/>
        <v>0</v>
      </c>
      <c r="O115" s="34">
        <f t="shared" si="43"/>
        <v>0</v>
      </c>
      <c r="P115" s="55">
        <v>110</v>
      </c>
      <c r="Q115" s="33">
        <f t="shared" si="51"/>
        <v>0</v>
      </c>
      <c r="R115" s="33">
        <f t="shared" si="57"/>
        <v>0</v>
      </c>
      <c r="S115" s="33">
        <f t="shared" si="58"/>
        <v>0</v>
      </c>
      <c r="T115" s="33">
        <f t="shared" si="44"/>
        <v>0</v>
      </c>
      <c r="U115" s="33">
        <f t="shared" si="52"/>
        <v>0</v>
      </c>
      <c r="V115" s="33">
        <f t="shared" si="45"/>
        <v>0</v>
      </c>
      <c r="W115" s="33">
        <v>0</v>
      </c>
      <c r="X115" s="33">
        <f t="shared" si="46"/>
        <v>0</v>
      </c>
      <c r="Y115" s="38">
        <f t="shared" si="47"/>
        <v>0</v>
      </c>
      <c r="AA115" s="71">
        <v>110</v>
      </c>
      <c r="AB115" s="33">
        <f t="shared" si="48"/>
        <v>0</v>
      </c>
      <c r="AC115" s="308">
        <f t="shared" si="66"/>
        <v>0</v>
      </c>
      <c r="AD115" s="101">
        <f t="shared" si="49"/>
        <v>0</v>
      </c>
      <c r="AE115" s="101">
        <f t="shared" si="50"/>
        <v>0</v>
      </c>
      <c r="AF115" s="197">
        <f t="shared" si="62"/>
        <v>0</v>
      </c>
      <c r="AG115" s="197">
        <f t="shared" si="63"/>
        <v>0</v>
      </c>
      <c r="AH115" s="197">
        <f t="shared" si="64"/>
        <v>0</v>
      </c>
      <c r="AI115" s="202">
        <f t="shared" si="65"/>
        <v>0</v>
      </c>
      <c r="AK115" s="71">
        <v>110</v>
      </c>
      <c r="AL115" s="33"/>
      <c r="AM115" s="33"/>
      <c r="AN115" s="33"/>
      <c r="AO115" s="33"/>
      <c r="AP115" s="33"/>
      <c r="AQ115" s="197"/>
      <c r="AR115" s="197"/>
      <c r="AS115" s="197"/>
      <c r="AT115" s="197"/>
      <c r="AU115" s="33"/>
      <c r="AV115" s="33"/>
      <c r="AW115" s="33"/>
      <c r="AX115" s="33"/>
      <c r="AY115" s="76"/>
    </row>
    <row r="116" spans="2:51">
      <c r="C116" s="136" t="s">
        <v>125</v>
      </c>
      <c r="D116" s="136"/>
      <c r="E116" s="136"/>
      <c r="I116" s="55">
        <v>111</v>
      </c>
      <c r="J116" s="33">
        <f t="shared" si="53"/>
        <v>0</v>
      </c>
      <c r="K116" s="33">
        <f t="shared" si="54"/>
        <v>0</v>
      </c>
      <c r="L116" s="33">
        <f t="shared" si="55"/>
        <v>0</v>
      </c>
      <c r="M116" s="33">
        <f t="shared" si="56"/>
        <v>0</v>
      </c>
      <c r="N116" s="33">
        <f t="shared" si="42"/>
        <v>0</v>
      </c>
      <c r="O116" s="34">
        <f t="shared" si="43"/>
        <v>0</v>
      </c>
      <c r="P116" s="55">
        <v>111</v>
      </c>
      <c r="Q116" s="33">
        <f t="shared" si="51"/>
        <v>0</v>
      </c>
      <c r="R116" s="33">
        <f t="shared" si="57"/>
        <v>0</v>
      </c>
      <c r="S116" s="33">
        <f t="shared" si="58"/>
        <v>0</v>
      </c>
      <c r="T116" s="33">
        <f t="shared" si="44"/>
        <v>0</v>
      </c>
      <c r="U116" s="33">
        <f t="shared" si="52"/>
        <v>0</v>
      </c>
      <c r="V116" s="33">
        <f t="shared" si="45"/>
        <v>0</v>
      </c>
      <c r="W116" s="33">
        <v>0</v>
      </c>
      <c r="X116" s="33">
        <f t="shared" si="46"/>
        <v>0</v>
      </c>
      <c r="Y116" s="38">
        <f t="shared" si="47"/>
        <v>0</v>
      </c>
      <c r="AA116" s="71">
        <v>111</v>
      </c>
      <c r="AB116" s="33">
        <f t="shared" si="48"/>
        <v>0</v>
      </c>
      <c r="AC116" s="308">
        <f t="shared" si="66"/>
        <v>0</v>
      </c>
      <c r="AD116" s="101">
        <f t="shared" si="49"/>
        <v>0</v>
      </c>
      <c r="AE116" s="101">
        <f t="shared" si="50"/>
        <v>0</v>
      </c>
      <c r="AF116" s="197">
        <f t="shared" si="62"/>
        <v>0</v>
      </c>
      <c r="AG116" s="197">
        <f t="shared" si="63"/>
        <v>0</v>
      </c>
      <c r="AH116" s="197">
        <f t="shared" si="64"/>
        <v>0</v>
      </c>
      <c r="AI116" s="202">
        <f t="shared" si="65"/>
        <v>0</v>
      </c>
      <c r="AK116" s="71">
        <v>111</v>
      </c>
      <c r="AL116" s="33"/>
      <c r="AM116" s="33"/>
      <c r="AN116" s="33"/>
      <c r="AO116" s="33"/>
      <c r="AP116" s="33"/>
      <c r="AQ116" s="197"/>
      <c r="AR116" s="197"/>
      <c r="AS116" s="197"/>
      <c r="AT116" s="197"/>
      <c r="AU116" s="33"/>
      <c r="AV116" s="33"/>
      <c r="AW116" s="33"/>
      <c r="AX116" s="33"/>
      <c r="AY116" s="76"/>
    </row>
    <row r="117" spans="2:51">
      <c r="C117" s="136" t="s">
        <v>145</v>
      </c>
      <c r="D117" s="136" t="s">
        <v>72</v>
      </c>
      <c r="E117" s="81" t="s">
        <v>166</v>
      </c>
      <c r="I117" s="55">
        <v>112</v>
      </c>
      <c r="J117" s="33">
        <f t="shared" si="53"/>
        <v>0</v>
      </c>
      <c r="K117" s="33">
        <f t="shared" si="54"/>
        <v>0</v>
      </c>
      <c r="L117" s="33">
        <f t="shared" si="55"/>
        <v>0</v>
      </c>
      <c r="M117" s="33">
        <f t="shared" si="56"/>
        <v>0</v>
      </c>
      <c r="N117" s="33">
        <f t="shared" si="42"/>
        <v>0</v>
      </c>
      <c r="O117" s="34">
        <f t="shared" si="43"/>
        <v>0</v>
      </c>
      <c r="P117" s="55">
        <v>112</v>
      </c>
      <c r="Q117" s="33">
        <f t="shared" si="51"/>
        <v>0</v>
      </c>
      <c r="R117" s="33">
        <f t="shared" si="57"/>
        <v>0</v>
      </c>
      <c r="S117" s="33">
        <f t="shared" si="58"/>
        <v>0</v>
      </c>
      <c r="T117" s="33">
        <f t="shared" si="44"/>
        <v>0</v>
      </c>
      <c r="U117" s="33">
        <f t="shared" si="52"/>
        <v>0</v>
      </c>
      <c r="V117" s="33">
        <f t="shared" si="45"/>
        <v>0</v>
      </c>
      <c r="W117" s="33">
        <v>0</v>
      </c>
      <c r="X117" s="33">
        <f t="shared" si="46"/>
        <v>0</v>
      </c>
      <c r="Y117" s="38">
        <f t="shared" si="47"/>
        <v>0</v>
      </c>
      <c r="AA117" s="71">
        <v>112</v>
      </c>
      <c r="AB117" s="33">
        <f t="shared" si="48"/>
        <v>0</v>
      </c>
      <c r="AC117" s="308">
        <f t="shared" si="66"/>
        <v>0</v>
      </c>
      <c r="AD117" s="101">
        <f t="shared" si="49"/>
        <v>0</v>
      </c>
      <c r="AE117" s="101">
        <f t="shared" si="50"/>
        <v>0</v>
      </c>
      <c r="AF117" s="197">
        <f t="shared" si="62"/>
        <v>0</v>
      </c>
      <c r="AG117" s="197">
        <f t="shared" si="63"/>
        <v>0</v>
      </c>
      <c r="AH117" s="197">
        <f t="shared" si="64"/>
        <v>0</v>
      </c>
      <c r="AI117" s="202">
        <f t="shared" si="65"/>
        <v>0</v>
      </c>
      <c r="AK117" s="71">
        <v>112</v>
      </c>
      <c r="AL117" s="33"/>
      <c r="AM117" s="33"/>
      <c r="AN117" s="33"/>
      <c r="AO117" s="33"/>
      <c r="AP117" s="33"/>
      <c r="AQ117" s="197"/>
      <c r="AR117" s="197"/>
      <c r="AS117" s="197"/>
      <c r="AT117" s="197"/>
      <c r="AU117" s="33"/>
      <c r="AV117" s="33"/>
      <c r="AW117" s="33"/>
      <c r="AX117" s="33"/>
      <c r="AY117" s="76"/>
    </row>
    <row r="118" spans="2:51">
      <c r="B118" s="67" t="s">
        <v>261</v>
      </c>
      <c r="C118" s="306">
        <f>1/30*SUM(AI6:AI35)</f>
        <v>15.094219093502067</v>
      </c>
      <c r="D118" s="79">
        <v>0</v>
      </c>
      <c r="E118" s="78">
        <f>C118-D118</f>
        <v>15.094219093502067</v>
      </c>
      <c r="I118" s="55">
        <v>113</v>
      </c>
      <c r="J118" s="33">
        <f t="shared" si="53"/>
        <v>0</v>
      </c>
      <c r="K118" s="33">
        <f t="shared" si="54"/>
        <v>0</v>
      </c>
      <c r="L118" s="33">
        <f t="shared" si="55"/>
        <v>0</v>
      </c>
      <c r="M118" s="33">
        <f t="shared" si="56"/>
        <v>0</v>
      </c>
      <c r="N118" s="33">
        <f t="shared" si="42"/>
        <v>0</v>
      </c>
      <c r="O118" s="34">
        <f t="shared" si="43"/>
        <v>0</v>
      </c>
      <c r="P118" s="55">
        <v>113</v>
      </c>
      <c r="Q118" s="33">
        <f t="shared" si="51"/>
        <v>0</v>
      </c>
      <c r="R118" s="33">
        <f t="shared" si="57"/>
        <v>0</v>
      </c>
      <c r="S118" s="33">
        <f t="shared" si="58"/>
        <v>0</v>
      </c>
      <c r="T118" s="33">
        <f t="shared" si="44"/>
        <v>0</v>
      </c>
      <c r="U118" s="33">
        <f t="shared" si="52"/>
        <v>0</v>
      </c>
      <c r="V118" s="33">
        <f t="shared" si="45"/>
        <v>0</v>
      </c>
      <c r="W118" s="33">
        <v>0</v>
      </c>
      <c r="X118" s="33">
        <f t="shared" si="46"/>
        <v>0</v>
      </c>
      <c r="Y118" s="38">
        <f t="shared" si="47"/>
        <v>0</v>
      </c>
      <c r="AA118" s="71">
        <v>113</v>
      </c>
      <c r="AB118" s="33">
        <f t="shared" si="48"/>
        <v>0</v>
      </c>
      <c r="AC118" s="308">
        <f t="shared" si="66"/>
        <v>0</v>
      </c>
      <c r="AD118" s="101">
        <f t="shared" si="49"/>
        <v>0</v>
      </c>
      <c r="AE118" s="101">
        <f t="shared" si="50"/>
        <v>0</v>
      </c>
      <c r="AF118" s="197">
        <f t="shared" si="62"/>
        <v>0</v>
      </c>
      <c r="AG118" s="197">
        <f t="shared" si="63"/>
        <v>0</v>
      </c>
      <c r="AH118" s="197">
        <f t="shared" si="64"/>
        <v>0</v>
      </c>
      <c r="AI118" s="202">
        <f t="shared" si="65"/>
        <v>0</v>
      </c>
      <c r="AK118" s="71">
        <v>113</v>
      </c>
      <c r="AL118" s="33"/>
      <c r="AM118" s="33"/>
      <c r="AN118" s="33"/>
      <c r="AO118" s="33"/>
      <c r="AP118" s="33"/>
      <c r="AQ118" s="197"/>
      <c r="AR118" s="197"/>
      <c r="AS118" s="197"/>
      <c r="AT118" s="197"/>
      <c r="AU118" s="33"/>
      <c r="AV118" s="33"/>
      <c r="AW118" s="33"/>
      <c r="AX118" s="33"/>
      <c r="AY118" s="76"/>
    </row>
    <row r="119" spans="2:51">
      <c r="B119" s="67"/>
      <c r="C119" s="82"/>
      <c r="D119" s="79"/>
      <c r="E119" s="78"/>
      <c r="I119" s="55">
        <v>114</v>
      </c>
      <c r="J119" s="33">
        <f t="shared" si="53"/>
        <v>0</v>
      </c>
      <c r="K119" s="33">
        <f t="shared" si="54"/>
        <v>0</v>
      </c>
      <c r="L119" s="33">
        <f t="shared" si="55"/>
        <v>0</v>
      </c>
      <c r="M119" s="33">
        <f t="shared" si="56"/>
        <v>0</v>
      </c>
      <c r="N119" s="33">
        <f t="shared" si="42"/>
        <v>0</v>
      </c>
      <c r="O119" s="34">
        <f t="shared" si="43"/>
        <v>0</v>
      </c>
      <c r="P119" s="55">
        <v>114</v>
      </c>
      <c r="Q119" s="33">
        <f t="shared" si="51"/>
        <v>0</v>
      </c>
      <c r="R119" s="33">
        <f t="shared" si="57"/>
        <v>0</v>
      </c>
      <c r="S119" s="33">
        <f t="shared" si="58"/>
        <v>0</v>
      </c>
      <c r="T119" s="33">
        <f t="shared" si="44"/>
        <v>0</v>
      </c>
      <c r="U119" s="33">
        <f t="shared" si="52"/>
        <v>0</v>
      </c>
      <c r="V119" s="33">
        <f t="shared" si="45"/>
        <v>0</v>
      </c>
      <c r="W119" s="33">
        <v>0</v>
      </c>
      <c r="X119" s="33">
        <f t="shared" si="46"/>
        <v>0</v>
      </c>
      <c r="Y119" s="38">
        <f t="shared" si="47"/>
        <v>0</v>
      </c>
      <c r="AA119" s="71">
        <v>114</v>
      </c>
      <c r="AB119" s="33">
        <f t="shared" si="48"/>
        <v>0</v>
      </c>
      <c r="AC119" s="308">
        <f t="shared" si="66"/>
        <v>0</v>
      </c>
      <c r="AD119" s="101">
        <f t="shared" si="49"/>
        <v>0</v>
      </c>
      <c r="AE119" s="101">
        <f t="shared" si="50"/>
        <v>0</v>
      </c>
      <c r="AF119" s="197">
        <f t="shared" si="62"/>
        <v>0</v>
      </c>
      <c r="AG119" s="197">
        <f t="shared" si="63"/>
        <v>0</v>
      </c>
      <c r="AH119" s="197">
        <f t="shared" si="64"/>
        <v>0</v>
      </c>
      <c r="AI119" s="202">
        <f t="shared" si="65"/>
        <v>0</v>
      </c>
      <c r="AK119" s="71">
        <v>114</v>
      </c>
      <c r="AL119" s="33"/>
      <c r="AM119" s="33"/>
      <c r="AN119" s="33"/>
      <c r="AO119" s="33"/>
      <c r="AP119" s="33"/>
      <c r="AQ119" s="197"/>
      <c r="AR119" s="197"/>
      <c r="AS119" s="197"/>
      <c r="AT119" s="197"/>
      <c r="AU119" s="33"/>
      <c r="AV119" s="33"/>
      <c r="AW119" s="33"/>
      <c r="AX119" s="33"/>
      <c r="AY119" s="76"/>
    </row>
    <row r="120" spans="2:51">
      <c r="C120" s="80"/>
      <c r="D120" s="80"/>
      <c r="E120" s="83"/>
      <c r="I120" s="55">
        <v>115</v>
      </c>
      <c r="J120" s="33">
        <f t="shared" si="53"/>
        <v>0</v>
      </c>
      <c r="K120" s="33">
        <f t="shared" si="54"/>
        <v>0</v>
      </c>
      <c r="L120" s="33">
        <f t="shared" si="55"/>
        <v>0</v>
      </c>
      <c r="M120" s="33">
        <f t="shared" si="56"/>
        <v>0</v>
      </c>
      <c r="N120" s="33">
        <f t="shared" si="42"/>
        <v>0</v>
      </c>
      <c r="O120" s="34">
        <f t="shared" si="43"/>
        <v>0</v>
      </c>
      <c r="P120" s="55">
        <v>115</v>
      </c>
      <c r="Q120" s="33">
        <f t="shared" si="51"/>
        <v>0</v>
      </c>
      <c r="R120" s="33">
        <f t="shared" si="57"/>
        <v>0</v>
      </c>
      <c r="S120" s="33">
        <f t="shared" si="58"/>
        <v>0</v>
      </c>
      <c r="T120" s="33">
        <f t="shared" si="44"/>
        <v>0</v>
      </c>
      <c r="U120" s="33">
        <f t="shared" si="52"/>
        <v>0</v>
      </c>
      <c r="V120" s="33">
        <f t="shared" si="45"/>
        <v>0</v>
      </c>
      <c r="W120" s="33">
        <v>0</v>
      </c>
      <c r="X120" s="33">
        <f t="shared" si="46"/>
        <v>0</v>
      </c>
      <c r="Y120" s="38">
        <f t="shared" si="47"/>
        <v>0</v>
      </c>
      <c r="AA120" s="71">
        <v>115</v>
      </c>
      <c r="AB120" s="33">
        <f t="shared" si="48"/>
        <v>0</v>
      </c>
      <c r="AC120" s="308">
        <f t="shared" si="66"/>
        <v>0</v>
      </c>
      <c r="AD120" s="101">
        <f t="shared" si="49"/>
        <v>0</v>
      </c>
      <c r="AE120" s="101">
        <f t="shared" si="50"/>
        <v>0</v>
      </c>
      <c r="AF120" s="197">
        <f t="shared" si="62"/>
        <v>0</v>
      </c>
      <c r="AG120" s="197">
        <f t="shared" si="63"/>
        <v>0</v>
      </c>
      <c r="AH120" s="197">
        <f t="shared" si="64"/>
        <v>0</v>
      </c>
      <c r="AI120" s="202">
        <f t="shared" si="65"/>
        <v>0</v>
      </c>
      <c r="AK120" s="71">
        <v>115</v>
      </c>
      <c r="AL120" s="33"/>
      <c r="AM120" s="33"/>
      <c r="AN120" s="33"/>
      <c r="AO120" s="33"/>
      <c r="AP120" s="33"/>
      <c r="AQ120" s="197"/>
      <c r="AR120" s="197"/>
      <c r="AS120" s="197"/>
      <c r="AT120" s="197"/>
      <c r="AU120" s="33"/>
      <c r="AV120" s="33"/>
      <c r="AW120" s="33"/>
      <c r="AX120" s="33"/>
      <c r="AY120" s="76"/>
    </row>
    <row r="121" spans="2:51">
      <c r="C121" s="136" t="s">
        <v>160</v>
      </c>
      <c r="D121" s="136"/>
      <c r="E121" s="136"/>
      <c r="I121" s="55">
        <v>116</v>
      </c>
      <c r="J121" s="33">
        <f t="shared" si="53"/>
        <v>0</v>
      </c>
      <c r="K121" s="33">
        <f t="shared" si="54"/>
        <v>0</v>
      </c>
      <c r="L121" s="33">
        <f t="shared" si="55"/>
        <v>0</v>
      </c>
      <c r="M121" s="33">
        <f t="shared" si="56"/>
        <v>0</v>
      </c>
      <c r="N121" s="33">
        <f t="shared" si="42"/>
        <v>0</v>
      </c>
      <c r="O121" s="34">
        <f t="shared" si="43"/>
        <v>0</v>
      </c>
      <c r="P121" s="55">
        <v>116</v>
      </c>
      <c r="Q121" s="33">
        <f t="shared" si="51"/>
        <v>0</v>
      </c>
      <c r="R121" s="33">
        <f t="shared" si="57"/>
        <v>0</v>
      </c>
      <c r="S121" s="33">
        <f t="shared" si="58"/>
        <v>0</v>
      </c>
      <c r="T121" s="33">
        <f t="shared" si="44"/>
        <v>0</v>
      </c>
      <c r="U121" s="33">
        <f t="shared" si="52"/>
        <v>0</v>
      </c>
      <c r="V121" s="33">
        <f t="shared" si="45"/>
        <v>0</v>
      </c>
      <c r="W121" s="33">
        <v>0</v>
      </c>
      <c r="X121" s="33">
        <f t="shared" si="46"/>
        <v>0</v>
      </c>
      <c r="Y121" s="38">
        <f t="shared" si="47"/>
        <v>0</v>
      </c>
      <c r="AA121" s="71">
        <v>116</v>
      </c>
      <c r="AB121" s="33">
        <f t="shared" si="48"/>
        <v>0</v>
      </c>
      <c r="AC121" s="308">
        <f t="shared" si="66"/>
        <v>0</v>
      </c>
      <c r="AD121" s="101">
        <f t="shared" si="49"/>
        <v>0</v>
      </c>
      <c r="AE121" s="101">
        <f t="shared" si="50"/>
        <v>0</v>
      </c>
      <c r="AF121" s="197">
        <f t="shared" si="62"/>
        <v>0</v>
      </c>
      <c r="AG121" s="197">
        <f t="shared" si="63"/>
        <v>0</v>
      </c>
      <c r="AH121" s="197">
        <f t="shared" si="64"/>
        <v>0</v>
      </c>
      <c r="AI121" s="202">
        <f t="shared" si="65"/>
        <v>0</v>
      </c>
      <c r="AK121" s="71">
        <v>116</v>
      </c>
      <c r="AL121" s="33"/>
      <c r="AM121" s="33"/>
      <c r="AN121" s="33"/>
      <c r="AO121" s="33"/>
      <c r="AP121" s="33"/>
      <c r="AQ121" s="197"/>
      <c r="AR121" s="197"/>
      <c r="AS121" s="197"/>
      <c r="AT121" s="197"/>
      <c r="AU121" s="33"/>
      <c r="AV121" s="33"/>
      <c r="AW121" s="33"/>
      <c r="AX121" s="33"/>
      <c r="AY121" s="76"/>
    </row>
    <row r="122" spans="2:51">
      <c r="C122" s="136" t="s">
        <v>145</v>
      </c>
      <c r="D122" s="136" t="s">
        <v>72</v>
      </c>
      <c r="E122" s="81" t="s">
        <v>166</v>
      </c>
      <c r="I122" s="55">
        <v>117</v>
      </c>
      <c r="J122" s="33">
        <f t="shared" si="53"/>
        <v>0</v>
      </c>
      <c r="K122" s="33">
        <f t="shared" si="54"/>
        <v>0</v>
      </c>
      <c r="L122" s="33">
        <f t="shared" si="55"/>
        <v>0</v>
      </c>
      <c r="M122" s="33">
        <f t="shared" si="56"/>
        <v>0</v>
      </c>
      <c r="N122" s="33">
        <f t="shared" si="42"/>
        <v>0</v>
      </c>
      <c r="O122" s="34">
        <f t="shared" si="43"/>
        <v>0</v>
      </c>
      <c r="P122" s="55">
        <v>117</v>
      </c>
      <c r="Q122" s="33">
        <f t="shared" si="51"/>
        <v>0</v>
      </c>
      <c r="R122" s="33">
        <f t="shared" si="57"/>
        <v>0</v>
      </c>
      <c r="S122" s="33">
        <f t="shared" si="58"/>
        <v>0</v>
      </c>
      <c r="T122" s="33">
        <f t="shared" si="44"/>
        <v>0</v>
      </c>
      <c r="U122" s="33">
        <f t="shared" si="52"/>
        <v>0</v>
      </c>
      <c r="V122" s="33">
        <f t="shared" si="45"/>
        <v>0</v>
      </c>
      <c r="W122" s="33">
        <v>0</v>
      </c>
      <c r="X122" s="33">
        <f t="shared" si="46"/>
        <v>0</v>
      </c>
      <c r="Y122" s="38">
        <f t="shared" si="47"/>
        <v>0</v>
      </c>
      <c r="AA122" s="71">
        <v>117</v>
      </c>
      <c r="AB122" s="33">
        <f t="shared" si="48"/>
        <v>0</v>
      </c>
      <c r="AC122" s="308">
        <f t="shared" si="66"/>
        <v>0</v>
      </c>
      <c r="AD122" s="101">
        <f t="shared" si="49"/>
        <v>0</v>
      </c>
      <c r="AE122" s="101">
        <f t="shared" si="50"/>
        <v>0</v>
      </c>
      <c r="AF122" s="197">
        <f t="shared" si="62"/>
        <v>0</v>
      </c>
      <c r="AG122" s="197">
        <f t="shared" si="63"/>
        <v>0</v>
      </c>
      <c r="AH122" s="197">
        <f t="shared" si="64"/>
        <v>0</v>
      </c>
      <c r="AI122" s="202">
        <f t="shared" si="65"/>
        <v>0</v>
      </c>
      <c r="AK122" s="71">
        <v>117</v>
      </c>
      <c r="AL122" s="33"/>
      <c r="AM122" s="33"/>
      <c r="AN122" s="33"/>
      <c r="AO122" s="33"/>
      <c r="AP122" s="33"/>
      <c r="AQ122" s="197"/>
      <c r="AR122" s="197"/>
      <c r="AS122" s="197"/>
      <c r="AT122" s="197"/>
      <c r="AU122" s="33"/>
      <c r="AV122" s="33"/>
      <c r="AW122" s="33"/>
      <c r="AX122" s="33"/>
      <c r="AY122" s="76"/>
    </row>
    <row r="123" spans="2:51">
      <c r="B123" s="67" t="s">
        <v>168</v>
      </c>
      <c r="C123" s="82">
        <f>AY35</f>
        <v>51.169999999999995</v>
      </c>
      <c r="D123" s="307">
        <f>IF(AND(D8=B100,F12=C194),J34*50%*G107,0)</f>
        <v>0</v>
      </c>
      <c r="E123" s="78">
        <f>C123-D123</f>
        <v>51.169999999999995</v>
      </c>
      <c r="I123" s="55">
        <v>118</v>
      </c>
      <c r="J123" s="33">
        <f t="shared" si="53"/>
        <v>0</v>
      </c>
      <c r="K123" s="33">
        <f t="shared" si="54"/>
        <v>0</v>
      </c>
      <c r="L123" s="33">
        <f t="shared" si="55"/>
        <v>0</v>
      </c>
      <c r="M123" s="33">
        <f t="shared" si="56"/>
        <v>0</v>
      </c>
      <c r="N123" s="33">
        <f t="shared" si="42"/>
        <v>0</v>
      </c>
      <c r="O123" s="34">
        <f t="shared" si="43"/>
        <v>0</v>
      </c>
      <c r="P123" s="55">
        <v>118</v>
      </c>
      <c r="Q123" s="33">
        <f t="shared" si="51"/>
        <v>0</v>
      </c>
      <c r="R123" s="33">
        <f t="shared" si="57"/>
        <v>0</v>
      </c>
      <c r="S123" s="33">
        <f t="shared" si="58"/>
        <v>0</v>
      </c>
      <c r="T123" s="33">
        <f t="shared" si="44"/>
        <v>0</v>
      </c>
      <c r="U123" s="33">
        <f t="shared" si="52"/>
        <v>0</v>
      </c>
      <c r="V123" s="33">
        <f t="shared" si="45"/>
        <v>0</v>
      </c>
      <c r="W123" s="33">
        <v>0</v>
      </c>
      <c r="X123" s="33">
        <f t="shared" si="46"/>
        <v>0</v>
      </c>
      <c r="Y123" s="38">
        <f t="shared" si="47"/>
        <v>0</v>
      </c>
      <c r="AA123" s="71">
        <v>118</v>
      </c>
      <c r="AB123" s="33">
        <f t="shared" si="48"/>
        <v>0</v>
      </c>
      <c r="AC123" s="308">
        <f t="shared" si="66"/>
        <v>0</v>
      </c>
      <c r="AD123" s="101">
        <f t="shared" si="49"/>
        <v>0</v>
      </c>
      <c r="AE123" s="101">
        <f t="shared" si="50"/>
        <v>0</v>
      </c>
      <c r="AF123" s="197">
        <f t="shared" si="62"/>
        <v>0</v>
      </c>
      <c r="AG123" s="197">
        <f t="shared" si="63"/>
        <v>0</v>
      </c>
      <c r="AH123" s="197">
        <f t="shared" si="64"/>
        <v>0</v>
      </c>
      <c r="AI123" s="202">
        <f t="shared" si="65"/>
        <v>0</v>
      </c>
      <c r="AK123" s="71">
        <v>118</v>
      </c>
      <c r="AL123" s="33"/>
      <c r="AM123" s="33"/>
      <c r="AN123" s="33"/>
      <c r="AO123" s="33"/>
      <c r="AP123" s="33"/>
      <c r="AQ123" s="197"/>
      <c r="AR123" s="197"/>
      <c r="AS123" s="197"/>
      <c r="AT123" s="197"/>
      <c r="AU123" s="33"/>
      <c r="AV123" s="33"/>
      <c r="AW123" s="33"/>
      <c r="AX123" s="33"/>
      <c r="AY123" s="76"/>
    </row>
    <row r="124" spans="2:51">
      <c r="I124" s="55">
        <v>119</v>
      </c>
      <c r="J124" s="33">
        <f t="shared" si="53"/>
        <v>0</v>
      </c>
      <c r="K124" s="33">
        <f t="shared" si="54"/>
        <v>0</v>
      </c>
      <c r="L124" s="33">
        <f t="shared" si="55"/>
        <v>0</v>
      </c>
      <c r="M124" s="33">
        <f t="shared" si="56"/>
        <v>0</v>
      </c>
      <c r="N124" s="33">
        <f t="shared" si="42"/>
        <v>0</v>
      </c>
      <c r="O124" s="34">
        <f t="shared" si="43"/>
        <v>0</v>
      </c>
      <c r="P124" s="55">
        <v>119</v>
      </c>
      <c r="Q124" s="33">
        <f t="shared" si="51"/>
        <v>0</v>
      </c>
      <c r="R124" s="33">
        <f t="shared" si="57"/>
        <v>0</v>
      </c>
      <c r="S124" s="33">
        <f t="shared" si="58"/>
        <v>0</v>
      </c>
      <c r="T124" s="33">
        <f t="shared" si="44"/>
        <v>0</v>
      </c>
      <c r="U124" s="33">
        <f t="shared" si="52"/>
        <v>0</v>
      </c>
      <c r="V124" s="33">
        <f t="shared" si="45"/>
        <v>0</v>
      </c>
      <c r="W124" s="33">
        <v>0</v>
      </c>
      <c r="X124" s="33">
        <f t="shared" si="46"/>
        <v>0</v>
      </c>
      <c r="Y124" s="38">
        <f t="shared" si="47"/>
        <v>0</v>
      </c>
      <c r="AA124" s="71">
        <v>119</v>
      </c>
      <c r="AB124" s="33">
        <f t="shared" si="48"/>
        <v>0</v>
      </c>
      <c r="AC124" s="308">
        <f t="shared" si="66"/>
        <v>0</v>
      </c>
      <c r="AD124" s="101">
        <f t="shared" si="49"/>
        <v>0</v>
      </c>
      <c r="AE124" s="101">
        <f t="shared" si="50"/>
        <v>0</v>
      </c>
      <c r="AF124" s="197">
        <f t="shared" si="62"/>
        <v>0</v>
      </c>
      <c r="AG124" s="197">
        <f t="shared" si="63"/>
        <v>0</v>
      </c>
      <c r="AH124" s="197">
        <f t="shared" si="64"/>
        <v>0</v>
      </c>
      <c r="AI124" s="202">
        <f t="shared" si="65"/>
        <v>0</v>
      </c>
      <c r="AK124" s="71">
        <v>119</v>
      </c>
      <c r="AL124" s="33"/>
      <c r="AM124" s="33"/>
      <c r="AN124" s="33"/>
      <c r="AO124" s="33"/>
      <c r="AP124" s="33"/>
      <c r="AQ124" s="197"/>
      <c r="AR124" s="197"/>
      <c r="AS124" s="197"/>
      <c r="AT124" s="197"/>
      <c r="AU124" s="33"/>
      <c r="AV124" s="33"/>
      <c r="AW124" s="33"/>
      <c r="AX124" s="33"/>
      <c r="AY124" s="76"/>
    </row>
    <row r="125" spans="2:51">
      <c r="C125" s="80"/>
      <c r="D125" s="80"/>
      <c r="E125" s="83"/>
      <c r="I125" s="55">
        <v>120</v>
      </c>
      <c r="J125" s="33">
        <f t="shared" si="53"/>
        <v>0</v>
      </c>
      <c r="K125" s="33">
        <f t="shared" si="54"/>
        <v>0</v>
      </c>
      <c r="L125" s="33">
        <f t="shared" si="55"/>
        <v>0</v>
      </c>
      <c r="M125" s="33">
        <f t="shared" si="56"/>
        <v>0</v>
      </c>
      <c r="N125" s="33">
        <f t="shared" si="42"/>
        <v>0</v>
      </c>
      <c r="O125" s="34">
        <f t="shared" si="43"/>
        <v>0</v>
      </c>
      <c r="P125" s="55">
        <v>120</v>
      </c>
      <c r="Q125" s="33">
        <f t="shared" si="51"/>
        <v>0</v>
      </c>
      <c r="R125" s="33">
        <f t="shared" si="57"/>
        <v>0</v>
      </c>
      <c r="S125" s="33">
        <f t="shared" si="58"/>
        <v>0</v>
      </c>
      <c r="T125" s="33">
        <f t="shared" si="44"/>
        <v>0</v>
      </c>
      <c r="U125" s="33">
        <f t="shared" si="52"/>
        <v>0</v>
      </c>
      <c r="V125" s="33">
        <f t="shared" si="45"/>
        <v>0</v>
      </c>
      <c r="W125" s="33">
        <v>0</v>
      </c>
      <c r="X125" s="33">
        <f t="shared" si="46"/>
        <v>0</v>
      </c>
      <c r="Y125" s="38">
        <f t="shared" si="47"/>
        <v>0</v>
      </c>
      <c r="AA125" s="71">
        <v>120</v>
      </c>
      <c r="AB125" s="33">
        <f t="shared" si="48"/>
        <v>0</v>
      </c>
      <c r="AC125" s="308">
        <f t="shared" si="66"/>
        <v>0</v>
      </c>
      <c r="AD125" s="101">
        <f t="shared" si="49"/>
        <v>0</v>
      </c>
      <c r="AE125" s="101">
        <f t="shared" si="50"/>
        <v>0</v>
      </c>
      <c r="AF125" s="197">
        <f t="shared" si="62"/>
        <v>0</v>
      </c>
      <c r="AG125" s="197">
        <f t="shared" si="63"/>
        <v>0</v>
      </c>
      <c r="AH125" s="197">
        <f t="shared" si="64"/>
        <v>0</v>
      </c>
      <c r="AI125" s="202">
        <f t="shared" si="65"/>
        <v>0</v>
      </c>
      <c r="AK125" s="71">
        <v>120</v>
      </c>
      <c r="AL125" s="33"/>
      <c r="AM125" s="33"/>
      <c r="AN125" s="33"/>
      <c r="AO125" s="33"/>
      <c r="AP125" s="33"/>
      <c r="AQ125" s="197"/>
      <c r="AR125" s="197"/>
      <c r="AS125" s="197"/>
      <c r="AT125" s="197"/>
      <c r="AU125" s="33"/>
      <c r="AV125" s="33"/>
      <c r="AW125" s="33"/>
      <c r="AX125" s="33"/>
      <c r="AY125" s="76"/>
    </row>
    <row r="126" spans="2:51">
      <c r="C126" s="84" t="s">
        <v>129</v>
      </c>
      <c r="D126" s="84" t="s">
        <v>130</v>
      </c>
      <c r="E126" s="84" t="s">
        <v>160</v>
      </c>
      <c r="F126" s="160" t="s">
        <v>170</v>
      </c>
      <c r="I126" s="55">
        <v>121</v>
      </c>
      <c r="J126" s="33">
        <f t="shared" si="53"/>
        <v>0</v>
      </c>
      <c r="K126" s="33">
        <f t="shared" si="54"/>
        <v>0</v>
      </c>
      <c r="L126" s="33">
        <f t="shared" si="55"/>
        <v>0</v>
      </c>
      <c r="M126" s="33">
        <f t="shared" si="56"/>
        <v>0</v>
      </c>
      <c r="N126" s="33">
        <f t="shared" si="42"/>
        <v>0</v>
      </c>
      <c r="O126" s="34">
        <f t="shared" si="43"/>
        <v>0</v>
      </c>
      <c r="P126" s="55">
        <v>121</v>
      </c>
      <c r="Q126" s="33">
        <f t="shared" si="51"/>
        <v>0</v>
      </c>
      <c r="R126" s="33">
        <f t="shared" si="57"/>
        <v>0</v>
      </c>
      <c r="S126" s="33">
        <f t="shared" si="58"/>
        <v>0</v>
      </c>
      <c r="T126" s="33">
        <f t="shared" si="44"/>
        <v>0</v>
      </c>
      <c r="U126" s="33">
        <f t="shared" si="52"/>
        <v>0</v>
      </c>
      <c r="V126" s="33">
        <f t="shared" si="45"/>
        <v>0</v>
      </c>
      <c r="W126" s="33">
        <v>0</v>
      </c>
      <c r="X126" s="33">
        <f t="shared" si="46"/>
        <v>0</v>
      </c>
      <c r="Y126" s="38">
        <f t="shared" si="47"/>
        <v>0</v>
      </c>
      <c r="AA126" s="71">
        <v>121</v>
      </c>
      <c r="AB126" s="33">
        <f t="shared" si="48"/>
        <v>0</v>
      </c>
      <c r="AC126" s="308">
        <f t="shared" si="66"/>
        <v>0</v>
      </c>
      <c r="AD126" s="101">
        <f t="shared" si="49"/>
        <v>0</v>
      </c>
      <c r="AE126" s="101">
        <f t="shared" si="50"/>
        <v>0</v>
      </c>
      <c r="AF126" s="197">
        <f t="shared" si="62"/>
        <v>0</v>
      </c>
      <c r="AG126" s="197">
        <f t="shared" si="63"/>
        <v>0</v>
      </c>
      <c r="AH126" s="197">
        <f t="shared" si="64"/>
        <v>0</v>
      </c>
      <c r="AI126" s="202">
        <f t="shared" si="65"/>
        <v>0</v>
      </c>
      <c r="AK126" s="71">
        <v>121</v>
      </c>
      <c r="AL126" s="33"/>
      <c r="AM126" s="33"/>
      <c r="AN126" s="33"/>
      <c r="AO126" s="33"/>
      <c r="AP126" s="33"/>
      <c r="AQ126" s="197"/>
      <c r="AR126" s="197"/>
      <c r="AS126" s="197"/>
      <c r="AT126" s="197"/>
      <c r="AU126" s="33"/>
      <c r="AV126" s="33"/>
      <c r="AW126" s="33"/>
      <c r="AX126" s="33"/>
      <c r="AY126" s="76"/>
    </row>
    <row r="127" spans="2:51">
      <c r="C127" s="82">
        <f>IF(F18&gt;30,MIN(E113:E114),E113)</f>
        <v>275.95496287283038</v>
      </c>
      <c r="D127" s="82">
        <f>MIN(E118:E119)</f>
        <v>15.094219093502067</v>
      </c>
      <c r="E127" s="85">
        <f>E123</f>
        <v>51.169999999999995</v>
      </c>
      <c r="F127" s="86">
        <f>SUM(C127:E127)</f>
        <v>342.21918196633248</v>
      </c>
      <c r="I127" s="55">
        <v>122</v>
      </c>
      <c r="J127" s="33">
        <f t="shared" si="53"/>
        <v>0</v>
      </c>
      <c r="K127" s="33">
        <f t="shared" si="54"/>
        <v>0</v>
      </c>
      <c r="L127" s="33">
        <f t="shared" si="55"/>
        <v>0</v>
      </c>
      <c r="M127" s="33">
        <f t="shared" si="56"/>
        <v>0</v>
      </c>
      <c r="N127" s="33">
        <f t="shared" si="42"/>
        <v>0</v>
      </c>
      <c r="O127" s="34">
        <f t="shared" si="43"/>
        <v>0</v>
      </c>
      <c r="P127" s="55">
        <v>122</v>
      </c>
      <c r="Q127" s="33">
        <f t="shared" si="51"/>
        <v>0</v>
      </c>
      <c r="R127" s="33">
        <f t="shared" si="57"/>
        <v>0</v>
      </c>
      <c r="S127" s="33">
        <f t="shared" si="58"/>
        <v>0</v>
      </c>
      <c r="T127" s="33">
        <f t="shared" si="44"/>
        <v>0</v>
      </c>
      <c r="U127" s="33">
        <f t="shared" si="52"/>
        <v>0</v>
      </c>
      <c r="V127" s="33">
        <f t="shared" si="45"/>
        <v>0</v>
      </c>
      <c r="W127" s="33">
        <v>0</v>
      </c>
      <c r="X127" s="33">
        <f t="shared" si="46"/>
        <v>0</v>
      </c>
      <c r="Y127" s="38">
        <f t="shared" si="47"/>
        <v>0</v>
      </c>
      <c r="AA127" s="71">
        <v>122</v>
      </c>
      <c r="AB127" s="33">
        <f t="shared" si="48"/>
        <v>0</v>
      </c>
      <c r="AC127" s="308">
        <f t="shared" si="66"/>
        <v>0</v>
      </c>
      <c r="AD127" s="101">
        <f t="shared" si="49"/>
        <v>0</v>
      </c>
      <c r="AE127" s="101">
        <f t="shared" si="50"/>
        <v>0</v>
      </c>
      <c r="AF127" s="197">
        <f t="shared" si="62"/>
        <v>0</v>
      </c>
      <c r="AG127" s="197">
        <f t="shared" si="63"/>
        <v>0</v>
      </c>
      <c r="AH127" s="197">
        <f t="shared" si="64"/>
        <v>0</v>
      </c>
      <c r="AI127" s="202">
        <f t="shared" si="65"/>
        <v>0</v>
      </c>
      <c r="AK127" s="71">
        <v>122</v>
      </c>
      <c r="AL127" s="33"/>
      <c r="AM127" s="33"/>
      <c r="AN127" s="33"/>
      <c r="AO127" s="33"/>
      <c r="AP127" s="33"/>
      <c r="AQ127" s="197"/>
      <c r="AR127" s="197"/>
      <c r="AS127" s="197"/>
      <c r="AT127" s="197"/>
      <c r="AU127" s="33"/>
      <c r="AV127" s="33"/>
      <c r="AW127" s="33"/>
      <c r="AX127" s="33"/>
      <c r="AY127" s="76"/>
    </row>
    <row r="128" spans="2:51">
      <c r="E128" s="24"/>
      <c r="I128" s="55">
        <v>123</v>
      </c>
      <c r="J128" s="33">
        <f t="shared" si="53"/>
        <v>0</v>
      </c>
      <c r="K128" s="33">
        <f t="shared" si="54"/>
        <v>0</v>
      </c>
      <c r="L128" s="33">
        <f t="shared" si="55"/>
        <v>0</v>
      </c>
      <c r="M128" s="33">
        <f t="shared" si="56"/>
        <v>0</v>
      </c>
      <c r="N128" s="33">
        <f t="shared" si="42"/>
        <v>0</v>
      </c>
      <c r="O128" s="34">
        <f t="shared" si="43"/>
        <v>0</v>
      </c>
      <c r="P128" s="55">
        <v>123</v>
      </c>
      <c r="Q128" s="33">
        <f t="shared" si="51"/>
        <v>0</v>
      </c>
      <c r="R128" s="33">
        <f t="shared" si="57"/>
        <v>0</v>
      </c>
      <c r="S128" s="33">
        <f t="shared" si="58"/>
        <v>0</v>
      </c>
      <c r="T128" s="33">
        <f t="shared" si="44"/>
        <v>0</v>
      </c>
      <c r="U128" s="33">
        <f t="shared" si="52"/>
        <v>0</v>
      </c>
      <c r="V128" s="33">
        <f t="shared" si="45"/>
        <v>0</v>
      </c>
      <c r="W128" s="33">
        <v>0</v>
      </c>
      <c r="X128" s="33">
        <f t="shared" si="46"/>
        <v>0</v>
      </c>
      <c r="Y128" s="38">
        <f t="shared" si="47"/>
        <v>0</v>
      </c>
      <c r="AA128" s="71">
        <v>123</v>
      </c>
      <c r="AB128" s="33">
        <f t="shared" si="48"/>
        <v>0</v>
      </c>
      <c r="AC128" s="308">
        <f t="shared" si="66"/>
        <v>0</v>
      </c>
      <c r="AD128" s="101">
        <f t="shared" si="49"/>
        <v>0</v>
      </c>
      <c r="AE128" s="101">
        <f t="shared" si="50"/>
        <v>0</v>
      </c>
      <c r="AF128" s="197">
        <f t="shared" si="62"/>
        <v>0</v>
      </c>
      <c r="AG128" s="197">
        <f t="shared" si="63"/>
        <v>0</v>
      </c>
      <c r="AH128" s="197">
        <f t="shared" si="64"/>
        <v>0</v>
      </c>
      <c r="AI128" s="202">
        <f t="shared" si="65"/>
        <v>0</v>
      </c>
      <c r="AK128" s="71">
        <v>123</v>
      </c>
      <c r="AL128" s="33"/>
      <c r="AM128" s="33"/>
      <c r="AN128" s="33"/>
      <c r="AO128" s="33"/>
      <c r="AP128" s="33"/>
      <c r="AQ128" s="197"/>
      <c r="AR128" s="197"/>
      <c r="AS128" s="197"/>
      <c r="AT128" s="197"/>
      <c r="AU128" s="33"/>
      <c r="AV128" s="33"/>
      <c r="AW128" s="33"/>
      <c r="AX128" s="33"/>
      <c r="AY128" s="76"/>
    </row>
    <row r="129" spans="3:51">
      <c r="E129" s="24"/>
      <c r="I129" s="55">
        <v>124</v>
      </c>
      <c r="J129" s="33">
        <f t="shared" si="53"/>
        <v>0</v>
      </c>
      <c r="K129" s="33">
        <f t="shared" si="54"/>
        <v>0</v>
      </c>
      <c r="L129" s="33">
        <f t="shared" si="55"/>
        <v>0</v>
      </c>
      <c r="M129" s="33">
        <f t="shared" si="56"/>
        <v>0</v>
      </c>
      <c r="N129" s="33">
        <f t="shared" si="42"/>
        <v>0</v>
      </c>
      <c r="O129" s="34">
        <f t="shared" si="43"/>
        <v>0</v>
      </c>
      <c r="P129" s="55">
        <v>124</v>
      </c>
      <c r="Q129" s="33">
        <f t="shared" si="51"/>
        <v>0</v>
      </c>
      <c r="R129" s="33">
        <f t="shared" si="57"/>
        <v>0</v>
      </c>
      <c r="S129" s="33">
        <f t="shared" si="58"/>
        <v>0</v>
      </c>
      <c r="T129" s="33">
        <f t="shared" si="44"/>
        <v>0</v>
      </c>
      <c r="U129" s="33">
        <f t="shared" si="52"/>
        <v>0</v>
      </c>
      <c r="V129" s="33">
        <f t="shared" si="45"/>
        <v>0</v>
      </c>
      <c r="W129" s="33">
        <v>0</v>
      </c>
      <c r="X129" s="33">
        <f t="shared" si="46"/>
        <v>0</v>
      </c>
      <c r="Y129" s="38">
        <f t="shared" si="47"/>
        <v>0</v>
      </c>
      <c r="AA129" s="71">
        <v>124</v>
      </c>
      <c r="AB129" s="33">
        <f t="shared" si="48"/>
        <v>0</v>
      </c>
      <c r="AC129" s="308">
        <f t="shared" si="66"/>
        <v>0</v>
      </c>
      <c r="AD129" s="101">
        <f t="shared" si="49"/>
        <v>0</v>
      </c>
      <c r="AE129" s="101">
        <f t="shared" si="50"/>
        <v>0</v>
      </c>
      <c r="AF129" s="197">
        <f t="shared" si="62"/>
        <v>0</v>
      </c>
      <c r="AG129" s="197">
        <f t="shared" si="63"/>
        <v>0</v>
      </c>
      <c r="AH129" s="197">
        <f t="shared" si="64"/>
        <v>0</v>
      </c>
      <c r="AI129" s="202">
        <f t="shared" si="65"/>
        <v>0</v>
      </c>
      <c r="AK129" s="71">
        <v>124</v>
      </c>
      <c r="AL129" s="33"/>
      <c r="AM129" s="33"/>
      <c r="AN129" s="33"/>
      <c r="AO129" s="33"/>
      <c r="AP129" s="33"/>
      <c r="AQ129" s="197"/>
      <c r="AR129" s="197"/>
      <c r="AS129" s="197"/>
      <c r="AT129" s="197"/>
      <c r="AU129" s="33"/>
      <c r="AV129" s="33"/>
      <c r="AW129" s="33"/>
      <c r="AX129" s="33"/>
      <c r="AY129" s="76"/>
    </row>
    <row r="130" spans="3:51" ht="30">
      <c r="C130" s="3" t="s">
        <v>5</v>
      </c>
      <c r="D130" s="3" t="s">
        <v>6</v>
      </c>
      <c r="E130" s="191" t="s">
        <v>227</v>
      </c>
      <c r="I130" s="55">
        <v>125</v>
      </c>
      <c r="J130" s="33">
        <f t="shared" si="53"/>
        <v>0</v>
      </c>
      <c r="K130" s="33">
        <f t="shared" si="54"/>
        <v>0</v>
      </c>
      <c r="L130" s="33">
        <f t="shared" si="55"/>
        <v>0</v>
      </c>
      <c r="M130" s="33">
        <f t="shared" si="56"/>
        <v>0</v>
      </c>
      <c r="N130" s="33">
        <f t="shared" si="42"/>
        <v>0</v>
      </c>
      <c r="O130" s="34">
        <f t="shared" si="43"/>
        <v>0</v>
      </c>
      <c r="P130" s="55">
        <v>125</v>
      </c>
      <c r="Q130" s="33">
        <f t="shared" si="51"/>
        <v>0</v>
      </c>
      <c r="R130" s="33">
        <f t="shared" si="57"/>
        <v>0</v>
      </c>
      <c r="S130" s="33">
        <f t="shared" si="58"/>
        <v>0</v>
      </c>
      <c r="T130" s="33">
        <f t="shared" si="44"/>
        <v>0</v>
      </c>
      <c r="U130" s="33">
        <f t="shared" si="52"/>
        <v>0</v>
      </c>
      <c r="V130" s="33">
        <f t="shared" si="45"/>
        <v>0</v>
      </c>
      <c r="W130" s="33">
        <v>0</v>
      </c>
      <c r="X130" s="33">
        <f t="shared" si="46"/>
        <v>0</v>
      </c>
      <c r="Y130" s="38">
        <f t="shared" si="47"/>
        <v>0</v>
      </c>
      <c r="AA130" s="71">
        <v>125</v>
      </c>
      <c r="AB130" s="33">
        <f t="shared" si="48"/>
        <v>0</v>
      </c>
      <c r="AC130" s="308">
        <f t="shared" si="66"/>
        <v>0</v>
      </c>
      <c r="AD130" s="101">
        <f t="shared" si="49"/>
        <v>0</v>
      </c>
      <c r="AE130" s="101">
        <f t="shared" si="50"/>
        <v>0</v>
      </c>
      <c r="AF130" s="197">
        <f t="shared" si="62"/>
        <v>0</v>
      </c>
      <c r="AG130" s="197">
        <f t="shared" si="63"/>
        <v>0</v>
      </c>
      <c r="AH130" s="197">
        <f t="shared" si="64"/>
        <v>0</v>
      </c>
      <c r="AI130" s="202">
        <f t="shared" si="65"/>
        <v>0</v>
      </c>
      <c r="AK130" s="71">
        <v>125</v>
      </c>
      <c r="AL130" s="33"/>
      <c r="AM130" s="33"/>
      <c r="AN130" s="33"/>
      <c r="AO130" s="33"/>
      <c r="AP130" s="33"/>
      <c r="AQ130" s="197"/>
      <c r="AR130" s="197"/>
      <c r="AS130" s="197"/>
      <c r="AT130" s="197"/>
      <c r="AU130" s="33"/>
      <c r="AV130" s="33"/>
      <c r="AW130" s="33"/>
      <c r="AX130" s="33"/>
      <c r="AY130" s="76"/>
    </row>
    <row r="131" spans="3:51">
      <c r="C131" s="169" t="s">
        <v>7</v>
      </c>
      <c r="D131" s="4">
        <v>0.62</v>
      </c>
      <c r="E131" s="191" t="s">
        <v>228</v>
      </c>
      <c r="I131" s="55">
        <v>126</v>
      </c>
      <c r="J131" s="33">
        <f t="shared" si="53"/>
        <v>0</v>
      </c>
      <c r="K131" s="33">
        <f t="shared" si="54"/>
        <v>0</v>
      </c>
      <c r="L131" s="33">
        <f t="shared" si="55"/>
        <v>0</v>
      </c>
      <c r="M131" s="33">
        <f t="shared" si="56"/>
        <v>0</v>
      </c>
      <c r="N131" s="33">
        <f t="shared" si="42"/>
        <v>0</v>
      </c>
      <c r="O131" s="34">
        <f t="shared" si="43"/>
        <v>0</v>
      </c>
      <c r="P131" s="55">
        <v>126</v>
      </c>
      <c r="Q131" s="33">
        <f t="shared" si="51"/>
        <v>0</v>
      </c>
      <c r="R131" s="33">
        <f t="shared" si="57"/>
        <v>0</v>
      </c>
      <c r="S131" s="33">
        <f t="shared" si="58"/>
        <v>0</v>
      </c>
      <c r="T131" s="33">
        <f t="shared" si="44"/>
        <v>0</v>
      </c>
      <c r="U131" s="33">
        <f t="shared" si="52"/>
        <v>0</v>
      </c>
      <c r="V131" s="33">
        <f t="shared" si="45"/>
        <v>0</v>
      </c>
      <c r="W131" s="33">
        <v>0</v>
      </c>
      <c r="X131" s="33">
        <f t="shared" si="46"/>
        <v>0</v>
      </c>
      <c r="Y131" s="38">
        <f t="shared" si="47"/>
        <v>0</v>
      </c>
      <c r="AA131" s="71">
        <v>126</v>
      </c>
      <c r="AB131" s="33">
        <f t="shared" si="48"/>
        <v>0</v>
      </c>
      <c r="AC131" s="308">
        <f t="shared" si="66"/>
        <v>0</v>
      </c>
      <c r="AD131" s="101">
        <f t="shared" si="49"/>
        <v>0</v>
      </c>
      <c r="AE131" s="101">
        <f t="shared" si="50"/>
        <v>0</v>
      </c>
      <c r="AF131" s="197">
        <f t="shared" si="62"/>
        <v>0</v>
      </c>
      <c r="AG131" s="197">
        <f t="shared" si="63"/>
        <v>0</v>
      </c>
      <c r="AH131" s="197">
        <f t="shared" si="64"/>
        <v>0</v>
      </c>
      <c r="AI131" s="202">
        <f t="shared" si="65"/>
        <v>0</v>
      </c>
      <c r="AK131" s="71">
        <v>126</v>
      </c>
      <c r="AL131" s="33"/>
      <c r="AM131" s="33"/>
      <c r="AN131" s="33"/>
      <c r="AO131" s="33"/>
      <c r="AP131" s="33"/>
      <c r="AQ131" s="197"/>
      <c r="AR131" s="197"/>
      <c r="AS131" s="197"/>
      <c r="AT131" s="197"/>
      <c r="AU131" s="33"/>
      <c r="AV131" s="33"/>
      <c r="AW131" s="33"/>
      <c r="AX131" s="33"/>
      <c r="AY131" s="76"/>
    </row>
    <row r="132" spans="3:51">
      <c r="C132" s="169" t="s">
        <v>4</v>
      </c>
      <c r="D132" s="4">
        <v>0.64</v>
      </c>
      <c r="E132" s="191" t="s">
        <v>228</v>
      </c>
      <c r="I132" s="55">
        <v>127</v>
      </c>
      <c r="J132" s="33">
        <f t="shared" si="53"/>
        <v>0</v>
      </c>
      <c r="K132" s="33">
        <f t="shared" si="54"/>
        <v>0</v>
      </c>
      <c r="L132" s="33">
        <f t="shared" si="55"/>
        <v>0</v>
      </c>
      <c r="M132" s="33">
        <f t="shared" si="56"/>
        <v>0</v>
      </c>
      <c r="N132" s="33">
        <f t="shared" si="42"/>
        <v>0</v>
      </c>
      <c r="O132" s="34">
        <f t="shared" si="43"/>
        <v>0</v>
      </c>
      <c r="P132" s="55">
        <v>127</v>
      </c>
      <c r="Q132" s="33">
        <f t="shared" si="51"/>
        <v>0</v>
      </c>
      <c r="R132" s="33">
        <f t="shared" si="57"/>
        <v>0</v>
      </c>
      <c r="S132" s="33">
        <f t="shared" si="58"/>
        <v>0</v>
      </c>
      <c r="T132" s="33">
        <f t="shared" si="44"/>
        <v>0</v>
      </c>
      <c r="U132" s="33">
        <f t="shared" si="52"/>
        <v>0</v>
      </c>
      <c r="V132" s="33">
        <f t="shared" si="45"/>
        <v>0</v>
      </c>
      <c r="W132" s="33">
        <v>0</v>
      </c>
      <c r="X132" s="33">
        <f t="shared" si="46"/>
        <v>0</v>
      </c>
      <c r="Y132" s="38">
        <f t="shared" si="47"/>
        <v>0</v>
      </c>
      <c r="AA132" s="71">
        <v>127</v>
      </c>
      <c r="AB132" s="33">
        <f t="shared" si="48"/>
        <v>0</v>
      </c>
      <c r="AC132" s="308">
        <f t="shared" si="66"/>
        <v>0</v>
      </c>
      <c r="AD132" s="101">
        <f t="shared" si="49"/>
        <v>0</v>
      </c>
      <c r="AE132" s="101">
        <f t="shared" si="50"/>
        <v>0</v>
      </c>
      <c r="AF132" s="197">
        <f t="shared" si="62"/>
        <v>0</v>
      </c>
      <c r="AG132" s="197">
        <f t="shared" si="63"/>
        <v>0</v>
      </c>
      <c r="AH132" s="197">
        <f t="shared" si="64"/>
        <v>0</v>
      </c>
      <c r="AI132" s="202">
        <f t="shared" si="65"/>
        <v>0</v>
      </c>
      <c r="AK132" s="71">
        <v>127</v>
      </c>
      <c r="AL132" s="33"/>
      <c r="AM132" s="33"/>
      <c r="AN132" s="33"/>
      <c r="AO132" s="33"/>
      <c r="AP132" s="33"/>
      <c r="AQ132" s="197"/>
      <c r="AR132" s="197"/>
      <c r="AS132" s="197"/>
      <c r="AT132" s="197"/>
      <c r="AU132" s="33"/>
      <c r="AV132" s="33"/>
      <c r="AW132" s="33"/>
      <c r="AX132" s="33"/>
      <c r="AY132" s="76"/>
    </row>
    <row r="133" spans="3:51">
      <c r="C133" s="169" t="s">
        <v>8</v>
      </c>
      <c r="D133" s="4">
        <v>0.42</v>
      </c>
      <c r="E133" s="191" t="s">
        <v>228</v>
      </c>
      <c r="I133" s="55">
        <v>128</v>
      </c>
      <c r="J133" s="33">
        <f t="shared" si="53"/>
        <v>0</v>
      </c>
      <c r="K133" s="33">
        <f t="shared" si="54"/>
        <v>0</v>
      </c>
      <c r="L133" s="33">
        <f t="shared" si="55"/>
        <v>0</v>
      </c>
      <c r="M133" s="33">
        <f t="shared" si="56"/>
        <v>0</v>
      </c>
      <c r="N133" s="33">
        <f t="shared" ref="N133:N196" si="67">IF(P134&lt;=$F$18,0,)</f>
        <v>0</v>
      </c>
      <c r="O133" s="34">
        <f t="shared" ref="O133:O196" si="68">((J133+K133)*0.475+L133+M133+N133)*44/12</f>
        <v>0</v>
      </c>
      <c r="P133" s="55">
        <v>128</v>
      </c>
      <c r="Q133" s="33">
        <f t="shared" si="51"/>
        <v>0</v>
      </c>
      <c r="R133" s="33">
        <f t="shared" si="57"/>
        <v>0</v>
      </c>
      <c r="S133" s="33">
        <f t="shared" si="58"/>
        <v>0</v>
      </c>
      <c r="T133" s="33">
        <f t="shared" ref="T133:T196" si="69">IF(S133=0,0,EXP(-1.0587+0.8836*LN(S133)+0.284))</f>
        <v>0</v>
      </c>
      <c r="U133" s="33">
        <f t="shared" si="52"/>
        <v>0</v>
      </c>
      <c r="V133" s="33">
        <f t="shared" ref="V133:V196" si="70">IF(P133&lt;=$F$18,IF(P133&lt;=30,P133*($F$16-$F$6)/30,$F$16-$F$6),)</f>
        <v>0</v>
      </c>
      <c r="W133" s="33">
        <v>0</v>
      </c>
      <c r="X133" s="33">
        <f t="shared" ref="X133:X196" si="71">((S133+T133)*0.475+U133+V133+W133)*44/12</f>
        <v>0</v>
      </c>
      <c r="Y133" s="38">
        <f t="shared" ref="Y133:Y196" si="72">IF(P133&lt;=$F$18,X133-O133,)</f>
        <v>0</v>
      </c>
      <c r="AA133" s="71">
        <v>128</v>
      </c>
      <c r="AB133" s="33">
        <f t="shared" ref="AB133:AB196" si="73">IF(AA133&lt;=$F$18,IFERROR(VLOOKUP($AA133,$B$82:$G$94,2,FALSE),0),)</f>
        <v>0</v>
      </c>
      <c r="AC133" s="308">
        <f t="shared" si="66"/>
        <v>0</v>
      </c>
      <c r="AD133" s="101">
        <f t="shared" ref="AD133:AD196" si="74">IF(AA133&lt;=$F$18,IFERROR(VLOOKUP($AA133,$B$82:$G$94,4,FALSE),0),)</f>
        <v>0</v>
      </c>
      <c r="AE133" s="101">
        <f t="shared" ref="AE133:AE196" si="75">IF(AA133&lt;=$F$18,IFERROR(VLOOKUP($AA133,$B$82:$G$94,5,FALSE),0),)</f>
        <v>0</v>
      </c>
      <c r="AF133" s="197">
        <f t="shared" si="62"/>
        <v>0</v>
      </c>
      <c r="AG133" s="197">
        <f t="shared" si="63"/>
        <v>0</v>
      </c>
      <c r="AH133" s="197">
        <f t="shared" si="64"/>
        <v>0</v>
      </c>
      <c r="AI133" s="202">
        <f t="shared" si="65"/>
        <v>0</v>
      </c>
      <c r="AK133" s="71">
        <v>128</v>
      </c>
      <c r="AL133" s="33"/>
      <c r="AM133" s="33"/>
      <c r="AN133" s="33"/>
      <c r="AO133" s="33"/>
      <c r="AP133" s="33"/>
      <c r="AQ133" s="197"/>
      <c r="AR133" s="197"/>
      <c r="AS133" s="197"/>
      <c r="AT133" s="197"/>
      <c r="AU133" s="33"/>
      <c r="AV133" s="33"/>
      <c r="AW133" s="33"/>
      <c r="AX133" s="33"/>
      <c r="AY133" s="76"/>
    </row>
    <row r="134" spans="3:51">
      <c r="C134" s="169" t="s">
        <v>9</v>
      </c>
      <c r="D134" s="4">
        <v>0.42</v>
      </c>
      <c r="E134" s="191" t="s">
        <v>228</v>
      </c>
      <c r="I134" s="55">
        <v>129</v>
      </c>
      <c r="J134" s="33">
        <f t="shared" si="53"/>
        <v>0</v>
      </c>
      <c r="K134" s="33">
        <f t="shared" si="54"/>
        <v>0</v>
      </c>
      <c r="L134" s="33">
        <f t="shared" si="55"/>
        <v>0</v>
      </c>
      <c r="M134" s="33">
        <f t="shared" si="56"/>
        <v>0</v>
      </c>
      <c r="N134" s="33">
        <f t="shared" si="67"/>
        <v>0</v>
      </c>
      <c r="O134" s="34">
        <f t="shared" si="68"/>
        <v>0</v>
      </c>
      <c r="P134" s="55">
        <v>129</v>
      </c>
      <c r="Q134" s="33">
        <f t="shared" ref="Q134:Q197" si="76">IF(P134&lt;=$F$18,LOOKUP(P134-1,$B$25:$B$78,$G$25:$G$78),)</f>
        <v>0</v>
      </c>
      <c r="R134" s="33">
        <f t="shared" si="57"/>
        <v>0</v>
      </c>
      <c r="S134" s="33">
        <f t="shared" si="58"/>
        <v>0</v>
      </c>
      <c r="T134" s="33">
        <f t="shared" si="69"/>
        <v>0</v>
      </c>
      <c r="U134" s="33">
        <f t="shared" ref="U134:U197" si="77">IF(P134&lt;=$F$18,$F$5+($F$15-$F$5)*(1-EXP(-0.0175*P134)),)</f>
        <v>0</v>
      </c>
      <c r="V134" s="33">
        <f t="shared" si="70"/>
        <v>0</v>
      </c>
      <c r="W134" s="33">
        <v>0</v>
      </c>
      <c r="X134" s="33">
        <f t="shared" si="71"/>
        <v>0</v>
      </c>
      <c r="Y134" s="38">
        <f t="shared" si="72"/>
        <v>0</v>
      </c>
      <c r="AA134" s="71">
        <v>129</v>
      </c>
      <c r="AB134" s="33">
        <f t="shared" si="73"/>
        <v>0</v>
      </c>
      <c r="AC134" s="308">
        <f t="shared" si="66"/>
        <v>0</v>
      </c>
      <c r="AD134" s="101">
        <f t="shared" si="74"/>
        <v>0</v>
      </c>
      <c r="AE134" s="101">
        <f t="shared" si="75"/>
        <v>0</v>
      </c>
      <c r="AF134" s="197">
        <f t="shared" si="62"/>
        <v>0</v>
      </c>
      <c r="AG134" s="197">
        <f t="shared" si="63"/>
        <v>0</v>
      </c>
      <c r="AH134" s="197">
        <f t="shared" si="64"/>
        <v>0</v>
      </c>
      <c r="AI134" s="202">
        <f t="shared" si="65"/>
        <v>0</v>
      </c>
      <c r="AK134" s="71">
        <v>129</v>
      </c>
      <c r="AL134" s="33"/>
      <c r="AM134" s="33"/>
      <c r="AN134" s="33"/>
      <c r="AO134" s="33"/>
      <c r="AP134" s="33"/>
      <c r="AQ134" s="197"/>
      <c r="AR134" s="197"/>
      <c r="AS134" s="197"/>
      <c r="AT134" s="197"/>
      <c r="AU134" s="33"/>
      <c r="AV134" s="33"/>
      <c r="AW134" s="33"/>
      <c r="AX134" s="33"/>
      <c r="AY134" s="76"/>
    </row>
    <row r="135" spans="3:51">
      <c r="C135" s="169" t="s">
        <v>10</v>
      </c>
      <c r="D135" s="4">
        <v>0.52</v>
      </c>
      <c r="E135" s="191" t="s">
        <v>228</v>
      </c>
      <c r="I135" s="55">
        <v>130</v>
      </c>
      <c r="J135" s="33">
        <f t="shared" ref="J135:J198" si="78">IF($I135&lt;=$F$10,$F$11*$F$13+J134,)</f>
        <v>0</v>
      </c>
      <c r="K135" s="33">
        <f t="shared" ref="K135:K198" si="79">IF(J135=0,0,EXP(-1.0587+0.8836*LN(J135)+0.284))</f>
        <v>0</v>
      </c>
      <c r="L135" s="33">
        <f t="shared" ref="L135:L198" si="80">IF(I135&lt;=$F$10,$F$5+($F$8-$F$5)*(1-EXP(-0.0175*I135)),)</f>
        <v>0</v>
      </c>
      <c r="M135" s="33">
        <f t="shared" ref="M135:M198" si="81">IF(I135&lt;=$F$10,IF(I135&lt;=30,I135*($F$9-$F$6)/30,$F$9-$F$6),)</f>
        <v>0</v>
      </c>
      <c r="N135" s="33">
        <f t="shared" si="67"/>
        <v>0</v>
      </c>
      <c r="O135" s="34">
        <f t="shared" si="68"/>
        <v>0</v>
      </c>
      <c r="P135" s="55">
        <v>130</v>
      </c>
      <c r="Q135" s="33">
        <f t="shared" si="76"/>
        <v>0</v>
      </c>
      <c r="R135" s="33">
        <f t="shared" ref="R135:R198" si="82">IF(P135&lt;=$F$18,Q135+R134,)</f>
        <v>0</v>
      </c>
      <c r="S135" s="33">
        <f t="shared" ref="S135:S198" si="83">$F$19*R135</f>
        <v>0</v>
      </c>
      <c r="T135" s="33">
        <f t="shared" si="69"/>
        <v>0</v>
      </c>
      <c r="U135" s="33">
        <f t="shared" si="77"/>
        <v>0</v>
      </c>
      <c r="V135" s="33">
        <f t="shared" si="70"/>
        <v>0</v>
      </c>
      <c r="W135" s="33">
        <v>0</v>
      </c>
      <c r="X135" s="33">
        <f t="shared" si="71"/>
        <v>0</v>
      </c>
      <c r="Y135" s="38">
        <f t="shared" si="72"/>
        <v>0</v>
      </c>
      <c r="AA135" s="71">
        <v>130</v>
      </c>
      <c r="AB135" s="33">
        <f t="shared" si="73"/>
        <v>0</v>
      </c>
      <c r="AC135" s="308">
        <f t="shared" si="66"/>
        <v>0</v>
      </c>
      <c r="AD135" s="101">
        <f t="shared" si="74"/>
        <v>0</v>
      </c>
      <c r="AE135" s="101">
        <f t="shared" si="75"/>
        <v>0</v>
      </c>
      <c r="AF135" s="197">
        <f t="shared" si="62"/>
        <v>0</v>
      </c>
      <c r="AG135" s="197">
        <f t="shared" si="63"/>
        <v>0</v>
      </c>
      <c r="AH135" s="197">
        <f t="shared" si="64"/>
        <v>0</v>
      </c>
      <c r="AI135" s="202">
        <f t="shared" si="65"/>
        <v>0</v>
      </c>
      <c r="AK135" s="71">
        <v>130</v>
      </c>
      <c r="AL135" s="33"/>
      <c r="AM135" s="33"/>
      <c r="AN135" s="33"/>
      <c r="AO135" s="33"/>
      <c r="AP135" s="33"/>
      <c r="AQ135" s="197"/>
      <c r="AR135" s="197"/>
      <c r="AS135" s="197"/>
      <c r="AT135" s="197"/>
      <c r="AU135" s="33"/>
      <c r="AV135" s="33"/>
      <c r="AW135" s="33"/>
      <c r="AX135" s="33"/>
      <c r="AY135" s="76"/>
    </row>
    <row r="136" spans="3:51">
      <c r="C136" s="169" t="s">
        <v>11</v>
      </c>
      <c r="D136" s="4">
        <v>0.36</v>
      </c>
      <c r="E136" s="191" t="s">
        <v>229</v>
      </c>
      <c r="I136" s="55">
        <v>131</v>
      </c>
      <c r="J136" s="33">
        <f t="shared" si="78"/>
        <v>0</v>
      </c>
      <c r="K136" s="33">
        <f t="shared" si="79"/>
        <v>0</v>
      </c>
      <c r="L136" s="33">
        <f t="shared" si="80"/>
        <v>0</v>
      </c>
      <c r="M136" s="33">
        <f t="shared" si="81"/>
        <v>0</v>
      </c>
      <c r="N136" s="33">
        <f t="shared" si="67"/>
        <v>0</v>
      </c>
      <c r="O136" s="34">
        <f t="shared" si="68"/>
        <v>0</v>
      </c>
      <c r="P136" s="55">
        <v>131</v>
      </c>
      <c r="Q136" s="33">
        <f t="shared" si="76"/>
        <v>0</v>
      </c>
      <c r="R136" s="33">
        <f t="shared" si="82"/>
        <v>0</v>
      </c>
      <c r="S136" s="33">
        <f t="shared" si="83"/>
        <v>0</v>
      </c>
      <c r="T136" s="33">
        <f t="shared" si="69"/>
        <v>0</v>
      </c>
      <c r="U136" s="33">
        <f t="shared" si="77"/>
        <v>0</v>
      </c>
      <c r="V136" s="33">
        <f t="shared" si="70"/>
        <v>0</v>
      </c>
      <c r="W136" s="33">
        <v>0</v>
      </c>
      <c r="X136" s="33">
        <f t="shared" si="71"/>
        <v>0</v>
      </c>
      <c r="Y136" s="38">
        <f t="shared" si="72"/>
        <v>0</v>
      </c>
      <c r="AA136" s="71">
        <v>131</v>
      </c>
      <c r="AB136" s="33">
        <f t="shared" si="73"/>
        <v>0</v>
      </c>
      <c r="AC136" s="308">
        <f t="shared" si="66"/>
        <v>0</v>
      </c>
      <c r="AD136" s="101">
        <f t="shared" si="74"/>
        <v>0</v>
      </c>
      <c r="AE136" s="101">
        <f t="shared" si="75"/>
        <v>0</v>
      </c>
      <c r="AF136" s="197">
        <f t="shared" si="62"/>
        <v>0</v>
      </c>
      <c r="AG136" s="197">
        <f t="shared" si="63"/>
        <v>0</v>
      </c>
      <c r="AH136" s="197">
        <f t="shared" si="64"/>
        <v>0</v>
      </c>
      <c r="AI136" s="202">
        <f t="shared" si="65"/>
        <v>0</v>
      </c>
      <c r="AK136" s="71">
        <v>131</v>
      </c>
      <c r="AL136" s="33"/>
      <c r="AM136" s="33"/>
      <c r="AN136" s="33"/>
      <c r="AO136" s="33"/>
      <c r="AP136" s="33"/>
      <c r="AQ136" s="197"/>
      <c r="AR136" s="197"/>
      <c r="AS136" s="197"/>
      <c r="AT136" s="197"/>
      <c r="AU136" s="33"/>
      <c r="AV136" s="33"/>
      <c r="AW136" s="33"/>
      <c r="AX136" s="33"/>
      <c r="AY136" s="76"/>
    </row>
    <row r="137" spans="3:51">
      <c r="C137" s="169" t="s">
        <v>12</v>
      </c>
      <c r="D137" s="4">
        <v>0.61</v>
      </c>
      <c r="E137" s="191" t="s">
        <v>228</v>
      </c>
      <c r="I137" s="55">
        <v>132</v>
      </c>
      <c r="J137" s="33">
        <f t="shared" si="78"/>
        <v>0</v>
      </c>
      <c r="K137" s="33">
        <f t="shared" si="79"/>
        <v>0</v>
      </c>
      <c r="L137" s="33">
        <f t="shared" si="80"/>
        <v>0</v>
      </c>
      <c r="M137" s="33">
        <f t="shared" si="81"/>
        <v>0</v>
      </c>
      <c r="N137" s="33">
        <f t="shared" si="67"/>
        <v>0</v>
      </c>
      <c r="O137" s="34">
        <f t="shared" si="68"/>
        <v>0</v>
      </c>
      <c r="P137" s="55">
        <v>132</v>
      </c>
      <c r="Q137" s="33">
        <f t="shared" si="76"/>
        <v>0</v>
      </c>
      <c r="R137" s="33">
        <f t="shared" si="82"/>
        <v>0</v>
      </c>
      <c r="S137" s="33">
        <f t="shared" si="83"/>
        <v>0</v>
      </c>
      <c r="T137" s="33">
        <f t="shared" si="69"/>
        <v>0</v>
      </c>
      <c r="U137" s="33">
        <f t="shared" si="77"/>
        <v>0</v>
      </c>
      <c r="V137" s="33">
        <f t="shared" si="70"/>
        <v>0</v>
      </c>
      <c r="W137" s="33">
        <v>0</v>
      </c>
      <c r="X137" s="33">
        <f t="shared" si="71"/>
        <v>0</v>
      </c>
      <c r="Y137" s="38">
        <f t="shared" si="72"/>
        <v>0</v>
      </c>
      <c r="AA137" s="71">
        <v>132</v>
      </c>
      <c r="AB137" s="33">
        <f t="shared" si="73"/>
        <v>0</v>
      </c>
      <c r="AC137" s="308">
        <f t="shared" si="66"/>
        <v>0</v>
      </c>
      <c r="AD137" s="101">
        <f t="shared" si="74"/>
        <v>0</v>
      </c>
      <c r="AE137" s="101">
        <f t="shared" si="75"/>
        <v>0</v>
      </c>
      <c r="AF137" s="197">
        <f t="shared" si="62"/>
        <v>0</v>
      </c>
      <c r="AG137" s="197">
        <f t="shared" si="63"/>
        <v>0</v>
      </c>
      <c r="AH137" s="197">
        <f t="shared" si="64"/>
        <v>0</v>
      </c>
      <c r="AI137" s="202">
        <f t="shared" si="65"/>
        <v>0</v>
      </c>
      <c r="AK137" s="71">
        <v>132</v>
      </c>
      <c r="AL137" s="33"/>
      <c r="AM137" s="33"/>
      <c r="AN137" s="33"/>
      <c r="AO137" s="33"/>
      <c r="AP137" s="33"/>
      <c r="AQ137" s="197"/>
      <c r="AR137" s="197"/>
      <c r="AS137" s="197"/>
      <c r="AT137" s="197"/>
      <c r="AU137" s="33"/>
      <c r="AV137" s="33"/>
      <c r="AW137" s="33"/>
      <c r="AX137" s="33"/>
      <c r="AY137" s="76"/>
    </row>
    <row r="138" spans="3:51">
      <c r="C138" s="169" t="s">
        <v>13</v>
      </c>
      <c r="D138" s="4">
        <v>0.66</v>
      </c>
      <c r="E138" s="191" t="s">
        <v>228</v>
      </c>
      <c r="I138" s="55">
        <v>133</v>
      </c>
      <c r="J138" s="33">
        <f t="shared" si="78"/>
        <v>0</v>
      </c>
      <c r="K138" s="33">
        <f t="shared" si="79"/>
        <v>0</v>
      </c>
      <c r="L138" s="33">
        <f t="shared" si="80"/>
        <v>0</v>
      </c>
      <c r="M138" s="33">
        <f t="shared" si="81"/>
        <v>0</v>
      </c>
      <c r="N138" s="33">
        <f t="shared" si="67"/>
        <v>0</v>
      </c>
      <c r="O138" s="34">
        <f t="shared" si="68"/>
        <v>0</v>
      </c>
      <c r="P138" s="55">
        <v>133</v>
      </c>
      <c r="Q138" s="33">
        <f t="shared" si="76"/>
        <v>0</v>
      </c>
      <c r="R138" s="33">
        <f t="shared" si="82"/>
        <v>0</v>
      </c>
      <c r="S138" s="33">
        <f t="shared" si="83"/>
        <v>0</v>
      </c>
      <c r="T138" s="33">
        <f t="shared" si="69"/>
        <v>0</v>
      </c>
      <c r="U138" s="33">
        <f t="shared" si="77"/>
        <v>0</v>
      </c>
      <c r="V138" s="33">
        <f t="shared" si="70"/>
        <v>0</v>
      </c>
      <c r="W138" s="33">
        <v>0</v>
      </c>
      <c r="X138" s="33">
        <f t="shared" si="71"/>
        <v>0</v>
      </c>
      <c r="Y138" s="38">
        <f t="shared" si="72"/>
        <v>0</v>
      </c>
      <c r="AA138" s="71">
        <v>133</v>
      </c>
      <c r="AB138" s="33">
        <f t="shared" si="73"/>
        <v>0</v>
      </c>
      <c r="AC138" s="308">
        <f t="shared" si="66"/>
        <v>0</v>
      </c>
      <c r="AD138" s="101">
        <f t="shared" si="74"/>
        <v>0</v>
      </c>
      <c r="AE138" s="101">
        <f t="shared" si="75"/>
        <v>0</v>
      </c>
      <c r="AF138" s="197">
        <f t="shared" si="62"/>
        <v>0</v>
      </c>
      <c r="AG138" s="197">
        <f t="shared" si="63"/>
        <v>0</v>
      </c>
      <c r="AH138" s="197">
        <f t="shared" si="64"/>
        <v>0</v>
      </c>
      <c r="AI138" s="202">
        <f t="shared" si="65"/>
        <v>0</v>
      </c>
      <c r="AK138" s="71">
        <v>133</v>
      </c>
      <c r="AL138" s="33"/>
      <c r="AM138" s="33"/>
      <c r="AN138" s="33"/>
      <c r="AO138" s="33"/>
      <c r="AP138" s="33"/>
      <c r="AQ138" s="197"/>
      <c r="AR138" s="197"/>
      <c r="AS138" s="197"/>
      <c r="AT138" s="197"/>
      <c r="AU138" s="33"/>
      <c r="AV138" s="33"/>
      <c r="AW138" s="33"/>
      <c r="AX138" s="33"/>
      <c r="AY138" s="76"/>
    </row>
    <row r="139" spans="3:51">
      <c r="C139" s="170" t="s">
        <v>14</v>
      </c>
      <c r="D139" s="135">
        <v>0.47</v>
      </c>
      <c r="E139" s="191" t="s">
        <v>228</v>
      </c>
      <c r="I139" s="55">
        <v>134</v>
      </c>
      <c r="J139" s="33">
        <f t="shared" si="78"/>
        <v>0</v>
      </c>
      <c r="K139" s="33">
        <f t="shared" si="79"/>
        <v>0</v>
      </c>
      <c r="L139" s="33">
        <f t="shared" si="80"/>
        <v>0</v>
      </c>
      <c r="M139" s="33">
        <f t="shared" si="81"/>
        <v>0</v>
      </c>
      <c r="N139" s="33">
        <f t="shared" si="67"/>
        <v>0</v>
      </c>
      <c r="O139" s="34">
        <f t="shared" si="68"/>
        <v>0</v>
      </c>
      <c r="P139" s="55">
        <v>134</v>
      </c>
      <c r="Q139" s="33">
        <f t="shared" si="76"/>
        <v>0</v>
      </c>
      <c r="R139" s="33">
        <f t="shared" si="82"/>
        <v>0</v>
      </c>
      <c r="S139" s="33">
        <f t="shared" si="83"/>
        <v>0</v>
      </c>
      <c r="T139" s="33">
        <f t="shared" si="69"/>
        <v>0</v>
      </c>
      <c r="U139" s="33">
        <f t="shared" si="77"/>
        <v>0</v>
      </c>
      <c r="V139" s="33">
        <f t="shared" si="70"/>
        <v>0</v>
      </c>
      <c r="W139" s="33">
        <v>0</v>
      </c>
      <c r="X139" s="33">
        <f t="shared" si="71"/>
        <v>0</v>
      </c>
      <c r="Y139" s="38">
        <f t="shared" si="72"/>
        <v>0</v>
      </c>
      <c r="AA139" s="71">
        <v>134</v>
      </c>
      <c r="AB139" s="33">
        <f t="shared" si="73"/>
        <v>0</v>
      </c>
      <c r="AC139" s="308">
        <f t="shared" si="66"/>
        <v>0</v>
      </c>
      <c r="AD139" s="101">
        <f t="shared" si="74"/>
        <v>0</v>
      </c>
      <c r="AE139" s="101">
        <f t="shared" si="75"/>
        <v>0</v>
      </c>
      <c r="AF139" s="197">
        <f t="shared" si="62"/>
        <v>0</v>
      </c>
      <c r="AG139" s="197">
        <f t="shared" si="63"/>
        <v>0</v>
      </c>
      <c r="AH139" s="197">
        <f t="shared" si="64"/>
        <v>0</v>
      </c>
      <c r="AI139" s="202">
        <f t="shared" si="65"/>
        <v>0</v>
      </c>
      <c r="AK139" s="71">
        <v>134</v>
      </c>
      <c r="AL139" s="33"/>
      <c r="AM139" s="33"/>
      <c r="AN139" s="33"/>
      <c r="AO139" s="33"/>
      <c r="AP139" s="33"/>
      <c r="AQ139" s="197"/>
      <c r="AR139" s="197"/>
      <c r="AS139" s="197"/>
      <c r="AT139" s="197"/>
      <c r="AU139" s="33"/>
      <c r="AV139" s="33"/>
      <c r="AW139" s="33"/>
      <c r="AX139" s="33"/>
      <c r="AY139" s="76"/>
    </row>
    <row r="140" spans="3:51">
      <c r="C140" s="169" t="s">
        <v>15</v>
      </c>
      <c r="D140" s="4">
        <v>0.67</v>
      </c>
      <c r="E140" s="191" t="s">
        <v>228</v>
      </c>
      <c r="I140" s="55">
        <v>135</v>
      </c>
      <c r="J140" s="33">
        <f t="shared" si="78"/>
        <v>0</v>
      </c>
      <c r="K140" s="33">
        <f t="shared" si="79"/>
        <v>0</v>
      </c>
      <c r="L140" s="33">
        <f t="shared" si="80"/>
        <v>0</v>
      </c>
      <c r="M140" s="33">
        <f t="shared" si="81"/>
        <v>0</v>
      </c>
      <c r="N140" s="33">
        <f t="shared" si="67"/>
        <v>0</v>
      </c>
      <c r="O140" s="34">
        <f t="shared" si="68"/>
        <v>0</v>
      </c>
      <c r="P140" s="55">
        <v>135</v>
      </c>
      <c r="Q140" s="33">
        <f t="shared" si="76"/>
        <v>0</v>
      </c>
      <c r="R140" s="33">
        <f t="shared" si="82"/>
        <v>0</v>
      </c>
      <c r="S140" s="33">
        <f t="shared" si="83"/>
        <v>0</v>
      </c>
      <c r="T140" s="33">
        <f t="shared" si="69"/>
        <v>0</v>
      </c>
      <c r="U140" s="33">
        <f t="shared" si="77"/>
        <v>0</v>
      </c>
      <c r="V140" s="33">
        <f t="shared" si="70"/>
        <v>0</v>
      </c>
      <c r="W140" s="33">
        <v>0</v>
      </c>
      <c r="X140" s="33">
        <f t="shared" si="71"/>
        <v>0</v>
      </c>
      <c r="Y140" s="38">
        <f t="shared" si="72"/>
        <v>0</v>
      </c>
      <c r="AA140" s="71">
        <v>135</v>
      </c>
      <c r="AB140" s="33">
        <f t="shared" si="73"/>
        <v>0</v>
      </c>
      <c r="AC140" s="308">
        <f t="shared" si="66"/>
        <v>0</v>
      </c>
      <c r="AD140" s="101">
        <f t="shared" si="74"/>
        <v>0</v>
      </c>
      <c r="AE140" s="101">
        <f t="shared" si="75"/>
        <v>0</v>
      </c>
      <c r="AF140" s="197">
        <f t="shared" si="62"/>
        <v>0</v>
      </c>
      <c r="AG140" s="197">
        <f t="shared" si="63"/>
        <v>0</v>
      </c>
      <c r="AH140" s="197">
        <f t="shared" si="64"/>
        <v>0</v>
      </c>
      <c r="AI140" s="202">
        <f t="shared" si="65"/>
        <v>0</v>
      </c>
      <c r="AK140" s="71">
        <v>135</v>
      </c>
      <c r="AL140" s="33"/>
      <c r="AM140" s="33"/>
      <c r="AN140" s="33"/>
      <c r="AO140" s="33"/>
      <c r="AP140" s="33"/>
      <c r="AQ140" s="197"/>
      <c r="AR140" s="197"/>
      <c r="AS140" s="197"/>
      <c r="AT140" s="197"/>
      <c r="AU140" s="33"/>
      <c r="AV140" s="33"/>
      <c r="AW140" s="33"/>
      <c r="AX140" s="33"/>
      <c r="AY140" s="76"/>
    </row>
    <row r="141" spans="3:51">
      <c r="C141" s="169" t="s">
        <v>16</v>
      </c>
      <c r="D141" s="4">
        <v>0.7</v>
      </c>
      <c r="E141" s="191" t="s">
        <v>228</v>
      </c>
      <c r="I141" s="55">
        <v>136</v>
      </c>
      <c r="J141" s="33">
        <f t="shared" si="78"/>
        <v>0</v>
      </c>
      <c r="K141" s="33">
        <f t="shared" si="79"/>
        <v>0</v>
      </c>
      <c r="L141" s="33">
        <f t="shared" si="80"/>
        <v>0</v>
      </c>
      <c r="M141" s="33">
        <f t="shared" si="81"/>
        <v>0</v>
      </c>
      <c r="N141" s="33">
        <f t="shared" si="67"/>
        <v>0</v>
      </c>
      <c r="O141" s="34">
        <f t="shared" si="68"/>
        <v>0</v>
      </c>
      <c r="P141" s="55">
        <v>136</v>
      </c>
      <c r="Q141" s="33">
        <f t="shared" si="76"/>
        <v>0</v>
      </c>
      <c r="R141" s="33">
        <f t="shared" si="82"/>
        <v>0</v>
      </c>
      <c r="S141" s="33">
        <f t="shared" si="83"/>
        <v>0</v>
      </c>
      <c r="T141" s="33">
        <f t="shared" si="69"/>
        <v>0</v>
      </c>
      <c r="U141" s="33">
        <f t="shared" si="77"/>
        <v>0</v>
      </c>
      <c r="V141" s="33">
        <f t="shared" si="70"/>
        <v>0</v>
      </c>
      <c r="W141" s="33">
        <v>0</v>
      </c>
      <c r="X141" s="33">
        <f t="shared" si="71"/>
        <v>0</v>
      </c>
      <c r="Y141" s="38">
        <f t="shared" si="72"/>
        <v>0</v>
      </c>
      <c r="AA141" s="71">
        <v>136</v>
      </c>
      <c r="AB141" s="33">
        <f t="shared" si="73"/>
        <v>0</v>
      </c>
      <c r="AC141" s="308">
        <f t="shared" si="66"/>
        <v>0</v>
      </c>
      <c r="AD141" s="101">
        <f t="shared" si="74"/>
        <v>0</v>
      </c>
      <c r="AE141" s="101">
        <f t="shared" si="75"/>
        <v>0</v>
      </c>
      <c r="AF141" s="197">
        <f t="shared" si="62"/>
        <v>0</v>
      </c>
      <c r="AG141" s="197">
        <f t="shared" si="63"/>
        <v>0</v>
      </c>
      <c r="AH141" s="197">
        <f t="shared" si="64"/>
        <v>0</v>
      </c>
      <c r="AI141" s="202">
        <f t="shared" si="65"/>
        <v>0</v>
      </c>
      <c r="AK141" s="71">
        <v>136</v>
      </c>
      <c r="AL141" s="33"/>
      <c r="AM141" s="33"/>
      <c r="AN141" s="33"/>
      <c r="AO141" s="33"/>
      <c r="AP141" s="33"/>
      <c r="AQ141" s="197"/>
      <c r="AR141" s="197"/>
      <c r="AS141" s="197"/>
      <c r="AT141" s="197"/>
      <c r="AU141" s="33"/>
      <c r="AV141" s="33"/>
      <c r="AW141" s="33"/>
      <c r="AX141" s="33"/>
      <c r="AY141" s="76"/>
    </row>
    <row r="142" spans="3:51">
      <c r="C142" s="169" t="s">
        <v>17</v>
      </c>
      <c r="D142" s="4">
        <v>0.54</v>
      </c>
      <c r="E142" s="191" t="s">
        <v>228</v>
      </c>
      <c r="I142" s="55">
        <v>137</v>
      </c>
      <c r="J142" s="33">
        <f t="shared" si="78"/>
        <v>0</v>
      </c>
      <c r="K142" s="33">
        <f t="shared" si="79"/>
        <v>0</v>
      </c>
      <c r="L142" s="33">
        <f t="shared" si="80"/>
        <v>0</v>
      </c>
      <c r="M142" s="33">
        <f t="shared" si="81"/>
        <v>0</v>
      </c>
      <c r="N142" s="33">
        <f t="shared" si="67"/>
        <v>0</v>
      </c>
      <c r="O142" s="34">
        <f t="shared" si="68"/>
        <v>0</v>
      </c>
      <c r="P142" s="55">
        <v>137</v>
      </c>
      <c r="Q142" s="33">
        <f t="shared" si="76"/>
        <v>0</v>
      </c>
      <c r="R142" s="33">
        <f t="shared" si="82"/>
        <v>0</v>
      </c>
      <c r="S142" s="33">
        <f t="shared" si="83"/>
        <v>0</v>
      </c>
      <c r="T142" s="33">
        <f t="shared" si="69"/>
        <v>0</v>
      </c>
      <c r="U142" s="33">
        <f t="shared" si="77"/>
        <v>0</v>
      </c>
      <c r="V142" s="33">
        <f t="shared" si="70"/>
        <v>0</v>
      </c>
      <c r="W142" s="33">
        <v>0</v>
      </c>
      <c r="X142" s="33">
        <f t="shared" si="71"/>
        <v>0</v>
      </c>
      <c r="Y142" s="38">
        <f t="shared" si="72"/>
        <v>0</v>
      </c>
      <c r="AA142" s="71">
        <v>137</v>
      </c>
      <c r="AB142" s="33">
        <f t="shared" si="73"/>
        <v>0</v>
      </c>
      <c r="AC142" s="308">
        <f t="shared" si="66"/>
        <v>0</v>
      </c>
      <c r="AD142" s="101">
        <f t="shared" si="74"/>
        <v>0</v>
      </c>
      <c r="AE142" s="101">
        <f t="shared" si="75"/>
        <v>0</v>
      </c>
      <c r="AF142" s="197">
        <f t="shared" si="62"/>
        <v>0</v>
      </c>
      <c r="AG142" s="197">
        <f t="shared" si="63"/>
        <v>0</v>
      </c>
      <c r="AH142" s="197">
        <f t="shared" si="64"/>
        <v>0</v>
      </c>
      <c r="AI142" s="202">
        <f t="shared" si="65"/>
        <v>0</v>
      </c>
      <c r="AK142" s="71">
        <v>137</v>
      </c>
      <c r="AL142" s="33"/>
      <c r="AM142" s="33"/>
      <c r="AN142" s="33"/>
      <c r="AO142" s="33"/>
      <c r="AP142" s="33"/>
      <c r="AQ142" s="197"/>
      <c r="AR142" s="197"/>
      <c r="AS142" s="197"/>
      <c r="AT142" s="197"/>
      <c r="AU142" s="33"/>
      <c r="AV142" s="33"/>
      <c r="AW142" s="33"/>
      <c r="AX142" s="33"/>
      <c r="AY142" s="76"/>
    </row>
    <row r="143" spans="3:51">
      <c r="C143" s="169" t="s">
        <v>18</v>
      </c>
      <c r="D143" s="4">
        <v>0.65</v>
      </c>
      <c r="E143" s="191" t="s">
        <v>228</v>
      </c>
      <c r="I143" s="55">
        <v>138</v>
      </c>
      <c r="J143" s="33">
        <f t="shared" si="78"/>
        <v>0</v>
      </c>
      <c r="K143" s="33">
        <f t="shared" si="79"/>
        <v>0</v>
      </c>
      <c r="L143" s="33">
        <f t="shared" si="80"/>
        <v>0</v>
      </c>
      <c r="M143" s="33">
        <f t="shared" si="81"/>
        <v>0</v>
      </c>
      <c r="N143" s="33">
        <f t="shared" si="67"/>
        <v>0</v>
      </c>
      <c r="O143" s="34">
        <f t="shared" si="68"/>
        <v>0</v>
      </c>
      <c r="P143" s="55">
        <v>138</v>
      </c>
      <c r="Q143" s="33">
        <f t="shared" si="76"/>
        <v>0</v>
      </c>
      <c r="R143" s="33">
        <f t="shared" si="82"/>
        <v>0</v>
      </c>
      <c r="S143" s="33">
        <f t="shared" si="83"/>
        <v>0</v>
      </c>
      <c r="T143" s="33">
        <f t="shared" si="69"/>
        <v>0</v>
      </c>
      <c r="U143" s="33">
        <f t="shared" si="77"/>
        <v>0</v>
      </c>
      <c r="V143" s="33">
        <f t="shared" si="70"/>
        <v>0</v>
      </c>
      <c r="W143" s="33">
        <v>0</v>
      </c>
      <c r="X143" s="33">
        <f t="shared" si="71"/>
        <v>0</v>
      </c>
      <c r="Y143" s="38">
        <f t="shared" si="72"/>
        <v>0</v>
      </c>
      <c r="AA143" s="71">
        <v>138</v>
      </c>
      <c r="AB143" s="33">
        <f t="shared" si="73"/>
        <v>0</v>
      </c>
      <c r="AC143" s="308">
        <f t="shared" si="66"/>
        <v>0</v>
      </c>
      <c r="AD143" s="101">
        <f t="shared" si="74"/>
        <v>0</v>
      </c>
      <c r="AE143" s="101">
        <f t="shared" si="75"/>
        <v>0</v>
      </c>
      <c r="AF143" s="197">
        <f t="shared" si="62"/>
        <v>0</v>
      </c>
      <c r="AG143" s="197">
        <f t="shared" si="63"/>
        <v>0</v>
      </c>
      <c r="AH143" s="197">
        <f t="shared" si="64"/>
        <v>0</v>
      </c>
      <c r="AI143" s="202">
        <f t="shared" si="65"/>
        <v>0</v>
      </c>
      <c r="AK143" s="71">
        <v>138</v>
      </c>
      <c r="AL143" s="33"/>
      <c r="AM143" s="33"/>
      <c r="AN143" s="33"/>
      <c r="AO143" s="33"/>
      <c r="AP143" s="33"/>
      <c r="AQ143" s="197"/>
      <c r="AR143" s="197"/>
      <c r="AS143" s="197"/>
      <c r="AT143" s="197"/>
      <c r="AU143" s="33"/>
      <c r="AV143" s="33"/>
      <c r="AW143" s="33"/>
      <c r="AX143" s="33"/>
      <c r="AY143" s="76"/>
    </row>
    <row r="144" spans="3:51">
      <c r="C144" s="169" t="s">
        <v>19</v>
      </c>
      <c r="D144" s="4">
        <v>0.56000000000000005</v>
      </c>
      <c r="E144" s="191" t="s">
        <v>228</v>
      </c>
      <c r="I144" s="55">
        <v>139</v>
      </c>
      <c r="J144" s="33">
        <f t="shared" si="78"/>
        <v>0</v>
      </c>
      <c r="K144" s="33">
        <f t="shared" si="79"/>
        <v>0</v>
      </c>
      <c r="L144" s="33">
        <f t="shared" si="80"/>
        <v>0</v>
      </c>
      <c r="M144" s="33">
        <f t="shared" si="81"/>
        <v>0</v>
      </c>
      <c r="N144" s="33">
        <f t="shared" si="67"/>
        <v>0</v>
      </c>
      <c r="O144" s="34">
        <f t="shared" si="68"/>
        <v>0</v>
      </c>
      <c r="P144" s="55">
        <v>139</v>
      </c>
      <c r="Q144" s="33">
        <f t="shared" si="76"/>
        <v>0</v>
      </c>
      <c r="R144" s="33">
        <f t="shared" si="82"/>
        <v>0</v>
      </c>
      <c r="S144" s="33">
        <f t="shared" si="83"/>
        <v>0</v>
      </c>
      <c r="T144" s="33">
        <f t="shared" si="69"/>
        <v>0</v>
      </c>
      <c r="U144" s="33">
        <f t="shared" si="77"/>
        <v>0</v>
      </c>
      <c r="V144" s="33">
        <f t="shared" si="70"/>
        <v>0</v>
      </c>
      <c r="W144" s="33">
        <v>0</v>
      </c>
      <c r="X144" s="33">
        <f t="shared" si="71"/>
        <v>0</v>
      </c>
      <c r="Y144" s="38">
        <f t="shared" si="72"/>
        <v>0</v>
      </c>
      <c r="AA144" s="71">
        <v>139</v>
      </c>
      <c r="AB144" s="33">
        <f t="shared" si="73"/>
        <v>0</v>
      </c>
      <c r="AC144" s="308">
        <f t="shared" si="66"/>
        <v>0</v>
      </c>
      <c r="AD144" s="101">
        <f t="shared" si="74"/>
        <v>0</v>
      </c>
      <c r="AE144" s="101">
        <f t="shared" si="75"/>
        <v>0</v>
      </c>
      <c r="AF144" s="197">
        <f t="shared" si="62"/>
        <v>0</v>
      </c>
      <c r="AG144" s="197">
        <f t="shared" si="63"/>
        <v>0</v>
      </c>
      <c r="AH144" s="197">
        <f t="shared" si="64"/>
        <v>0</v>
      </c>
      <c r="AI144" s="202">
        <f t="shared" si="65"/>
        <v>0</v>
      </c>
      <c r="AK144" s="71">
        <v>139</v>
      </c>
      <c r="AL144" s="33"/>
      <c r="AM144" s="33"/>
      <c r="AN144" s="33"/>
      <c r="AO144" s="33"/>
      <c r="AP144" s="33"/>
      <c r="AQ144" s="197"/>
      <c r="AR144" s="197"/>
      <c r="AS144" s="197"/>
      <c r="AT144" s="197"/>
      <c r="AU144" s="33"/>
      <c r="AV144" s="33"/>
      <c r="AW144" s="33"/>
      <c r="AX144" s="33"/>
      <c r="AY144" s="76"/>
    </row>
    <row r="145" spans="3:51">
      <c r="C145" s="169" t="s">
        <v>20</v>
      </c>
      <c r="D145" s="4">
        <v>0.57999999999999996</v>
      </c>
      <c r="E145" s="191" t="s">
        <v>228</v>
      </c>
      <c r="I145" s="55">
        <v>140</v>
      </c>
      <c r="J145" s="33">
        <f t="shared" si="78"/>
        <v>0</v>
      </c>
      <c r="K145" s="33">
        <f t="shared" si="79"/>
        <v>0</v>
      </c>
      <c r="L145" s="33">
        <f t="shared" si="80"/>
        <v>0</v>
      </c>
      <c r="M145" s="33">
        <f t="shared" si="81"/>
        <v>0</v>
      </c>
      <c r="N145" s="33">
        <f t="shared" si="67"/>
        <v>0</v>
      </c>
      <c r="O145" s="34">
        <f t="shared" si="68"/>
        <v>0</v>
      </c>
      <c r="P145" s="55">
        <v>140</v>
      </c>
      <c r="Q145" s="33">
        <f t="shared" si="76"/>
        <v>0</v>
      </c>
      <c r="R145" s="33">
        <f t="shared" si="82"/>
        <v>0</v>
      </c>
      <c r="S145" s="33">
        <f t="shared" si="83"/>
        <v>0</v>
      </c>
      <c r="T145" s="33">
        <f t="shared" si="69"/>
        <v>0</v>
      </c>
      <c r="U145" s="33">
        <f t="shared" si="77"/>
        <v>0</v>
      </c>
      <c r="V145" s="33">
        <f t="shared" si="70"/>
        <v>0</v>
      </c>
      <c r="W145" s="33">
        <v>0</v>
      </c>
      <c r="X145" s="33">
        <f t="shared" si="71"/>
        <v>0</v>
      </c>
      <c r="Y145" s="38">
        <f t="shared" si="72"/>
        <v>0</v>
      </c>
      <c r="AA145" s="71">
        <v>140</v>
      </c>
      <c r="AB145" s="33">
        <f t="shared" si="73"/>
        <v>0</v>
      </c>
      <c r="AC145" s="308">
        <f t="shared" si="66"/>
        <v>0</v>
      </c>
      <c r="AD145" s="101">
        <f t="shared" si="74"/>
        <v>0</v>
      </c>
      <c r="AE145" s="101">
        <f t="shared" si="75"/>
        <v>0</v>
      </c>
      <c r="AF145" s="197">
        <f t="shared" si="62"/>
        <v>0</v>
      </c>
      <c r="AG145" s="197">
        <f t="shared" si="63"/>
        <v>0</v>
      </c>
      <c r="AH145" s="197">
        <f t="shared" si="64"/>
        <v>0</v>
      </c>
      <c r="AI145" s="202">
        <f t="shared" si="65"/>
        <v>0</v>
      </c>
      <c r="AK145" s="71">
        <v>140</v>
      </c>
      <c r="AL145" s="33"/>
      <c r="AM145" s="33"/>
      <c r="AN145" s="33"/>
      <c r="AO145" s="33"/>
      <c r="AP145" s="33"/>
      <c r="AQ145" s="197"/>
      <c r="AR145" s="197"/>
      <c r="AS145" s="197"/>
      <c r="AT145" s="197"/>
      <c r="AU145" s="33"/>
      <c r="AV145" s="33"/>
      <c r="AW145" s="33"/>
      <c r="AX145" s="33"/>
      <c r="AY145" s="76"/>
    </row>
    <row r="146" spans="3:51">
      <c r="C146" s="169" t="s">
        <v>21</v>
      </c>
      <c r="D146" s="4">
        <v>0.64</v>
      </c>
      <c r="E146" s="191" t="s">
        <v>228</v>
      </c>
      <c r="I146" s="55">
        <v>141</v>
      </c>
      <c r="J146" s="33">
        <f t="shared" si="78"/>
        <v>0</v>
      </c>
      <c r="K146" s="33">
        <f t="shared" si="79"/>
        <v>0</v>
      </c>
      <c r="L146" s="33">
        <f t="shared" si="80"/>
        <v>0</v>
      </c>
      <c r="M146" s="33">
        <f t="shared" si="81"/>
        <v>0</v>
      </c>
      <c r="N146" s="33">
        <f t="shared" si="67"/>
        <v>0</v>
      </c>
      <c r="O146" s="34">
        <f t="shared" si="68"/>
        <v>0</v>
      </c>
      <c r="P146" s="55">
        <v>141</v>
      </c>
      <c r="Q146" s="33">
        <f t="shared" si="76"/>
        <v>0</v>
      </c>
      <c r="R146" s="33">
        <f t="shared" si="82"/>
        <v>0</v>
      </c>
      <c r="S146" s="33">
        <f t="shared" si="83"/>
        <v>0</v>
      </c>
      <c r="T146" s="33">
        <f t="shared" si="69"/>
        <v>0</v>
      </c>
      <c r="U146" s="33">
        <f t="shared" si="77"/>
        <v>0</v>
      </c>
      <c r="V146" s="33">
        <f t="shared" si="70"/>
        <v>0</v>
      </c>
      <c r="W146" s="33">
        <v>0</v>
      </c>
      <c r="X146" s="33">
        <f t="shared" si="71"/>
        <v>0</v>
      </c>
      <c r="Y146" s="38">
        <f t="shared" si="72"/>
        <v>0</v>
      </c>
      <c r="AA146" s="71">
        <v>141</v>
      </c>
      <c r="AB146" s="33">
        <f t="shared" si="73"/>
        <v>0</v>
      </c>
      <c r="AC146" s="308">
        <f t="shared" si="66"/>
        <v>0</v>
      </c>
      <c r="AD146" s="101">
        <f t="shared" si="74"/>
        <v>0</v>
      </c>
      <c r="AE146" s="101">
        <f t="shared" si="75"/>
        <v>0</v>
      </c>
      <c r="AF146" s="197">
        <f t="shared" si="62"/>
        <v>0</v>
      </c>
      <c r="AG146" s="197">
        <f t="shared" si="63"/>
        <v>0</v>
      </c>
      <c r="AH146" s="197">
        <f t="shared" si="64"/>
        <v>0</v>
      </c>
      <c r="AI146" s="202">
        <f t="shared" si="65"/>
        <v>0</v>
      </c>
      <c r="AK146" s="71">
        <v>141</v>
      </c>
      <c r="AL146" s="33"/>
      <c r="AM146" s="33"/>
      <c r="AN146" s="33"/>
      <c r="AO146" s="33"/>
      <c r="AP146" s="33"/>
      <c r="AQ146" s="197"/>
      <c r="AR146" s="197"/>
      <c r="AS146" s="197"/>
      <c r="AT146" s="197"/>
      <c r="AU146" s="33"/>
      <c r="AV146" s="33"/>
      <c r="AW146" s="33"/>
      <c r="AX146" s="33"/>
      <c r="AY146" s="76"/>
    </row>
    <row r="147" spans="3:51">
      <c r="C147" s="169" t="s">
        <v>22</v>
      </c>
      <c r="D147" s="4">
        <v>0.73</v>
      </c>
      <c r="E147" s="191" t="s">
        <v>228</v>
      </c>
      <c r="I147" s="55">
        <v>142</v>
      </c>
      <c r="J147" s="33">
        <f t="shared" si="78"/>
        <v>0</v>
      </c>
      <c r="K147" s="33">
        <f t="shared" si="79"/>
        <v>0</v>
      </c>
      <c r="L147" s="33">
        <f t="shared" si="80"/>
        <v>0</v>
      </c>
      <c r="M147" s="33">
        <f t="shared" si="81"/>
        <v>0</v>
      </c>
      <c r="N147" s="33">
        <f t="shared" si="67"/>
        <v>0</v>
      </c>
      <c r="O147" s="34">
        <f t="shared" si="68"/>
        <v>0</v>
      </c>
      <c r="P147" s="55">
        <v>142</v>
      </c>
      <c r="Q147" s="33">
        <f t="shared" si="76"/>
        <v>0</v>
      </c>
      <c r="R147" s="33">
        <f t="shared" si="82"/>
        <v>0</v>
      </c>
      <c r="S147" s="33">
        <f t="shared" si="83"/>
        <v>0</v>
      </c>
      <c r="T147" s="33">
        <f t="shared" si="69"/>
        <v>0</v>
      </c>
      <c r="U147" s="33">
        <f t="shared" si="77"/>
        <v>0</v>
      </c>
      <c r="V147" s="33">
        <f t="shared" si="70"/>
        <v>0</v>
      </c>
      <c r="W147" s="33">
        <v>0</v>
      </c>
      <c r="X147" s="33">
        <f t="shared" si="71"/>
        <v>0</v>
      </c>
      <c r="Y147" s="38">
        <f t="shared" si="72"/>
        <v>0</v>
      </c>
      <c r="AA147" s="71">
        <v>142</v>
      </c>
      <c r="AB147" s="33">
        <f t="shared" si="73"/>
        <v>0</v>
      </c>
      <c r="AC147" s="308">
        <f t="shared" si="66"/>
        <v>0</v>
      </c>
      <c r="AD147" s="101">
        <f t="shared" si="74"/>
        <v>0</v>
      </c>
      <c r="AE147" s="101">
        <f t="shared" si="75"/>
        <v>0</v>
      </c>
      <c r="AF147" s="197">
        <f t="shared" si="62"/>
        <v>0</v>
      </c>
      <c r="AG147" s="197">
        <f t="shared" si="63"/>
        <v>0</v>
      </c>
      <c r="AH147" s="197">
        <f t="shared" si="64"/>
        <v>0</v>
      </c>
      <c r="AI147" s="202">
        <f t="shared" si="65"/>
        <v>0</v>
      </c>
      <c r="AK147" s="71">
        <v>142</v>
      </c>
      <c r="AL147" s="33"/>
      <c r="AM147" s="33"/>
      <c r="AN147" s="33"/>
      <c r="AO147" s="33"/>
      <c r="AP147" s="33"/>
      <c r="AQ147" s="197"/>
      <c r="AR147" s="197"/>
      <c r="AS147" s="197"/>
      <c r="AT147" s="197"/>
      <c r="AU147" s="33"/>
      <c r="AV147" s="33"/>
      <c r="AW147" s="33"/>
      <c r="AX147" s="33"/>
      <c r="AY147" s="76"/>
    </row>
    <row r="148" spans="3:51">
      <c r="C148" s="169" t="s">
        <v>23</v>
      </c>
      <c r="D148" s="4">
        <v>0.56000000000000005</v>
      </c>
      <c r="E148" s="191" t="s">
        <v>228</v>
      </c>
      <c r="I148" s="55">
        <v>143</v>
      </c>
      <c r="J148" s="33">
        <f t="shared" si="78"/>
        <v>0</v>
      </c>
      <c r="K148" s="33">
        <f t="shared" si="79"/>
        <v>0</v>
      </c>
      <c r="L148" s="33">
        <f t="shared" si="80"/>
        <v>0</v>
      </c>
      <c r="M148" s="33">
        <f t="shared" si="81"/>
        <v>0</v>
      </c>
      <c r="N148" s="33">
        <f t="shared" si="67"/>
        <v>0</v>
      </c>
      <c r="O148" s="34">
        <f t="shared" si="68"/>
        <v>0</v>
      </c>
      <c r="P148" s="55">
        <v>143</v>
      </c>
      <c r="Q148" s="33">
        <f t="shared" si="76"/>
        <v>0</v>
      </c>
      <c r="R148" s="33">
        <f t="shared" si="82"/>
        <v>0</v>
      </c>
      <c r="S148" s="33">
        <f t="shared" si="83"/>
        <v>0</v>
      </c>
      <c r="T148" s="33">
        <f t="shared" si="69"/>
        <v>0</v>
      </c>
      <c r="U148" s="33">
        <f t="shared" si="77"/>
        <v>0</v>
      </c>
      <c r="V148" s="33">
        <f t="shared" si="70"/>
        <v>0</v>
      </c>
      <c r="W148" s="33">
        <v>0</v>
      </c>
      <c r="X148" s="33">
        <f t="shared" si="71"/>
        <v>0</v>
      </c>
      <c r="Y148" s="38">
        <f t="shared" si="72"/>
        <v>0</v>
      </c>
      <c r="AA148" s="71">
        <v>143</v>
      </c>
      <c r="AB148" s="33">
        <f t="shared" si="73"/>
        <v>0</v>
      </c>
      <c r="AC148" s="308">
        <f t="shared" si="66"/>
        <v>0</v>
      </c>
      <c r="AD148" s="101">
        <f t="shared" si="74"/>
        <v>0</v>
      </c>
      <c r="AE148" s="101">
        <f t="shared" si="75"/>
        <v>0</v>
      </c>
      <c r="AF148" s="197">
        <f t="shared" si="62"/>
        <v>0</v>
      </c>
      <c r="AG148" s="197">
        <f t="shared" si="63"/>
        <v>0</v>
      </c>
      <c r="AH148" s="197">
        <f t="shared" si="64"/>
        <v>0</v>
      </c>
      <c r="AI148" s="202">
        <f t="shared" si="65"/>
        <v>0</v>
      </c>
      <c r="AK148" s="71">
        <v>143</v>
      </c>
      <c r="AL148" s="33"/>
      <c r="AM148" s="33"/>
      <c r="AN148" s="33"/>
      <c r="AO148" s="33"/>
      <c r="AP148" s="33"/>
      <c r="AQ148" s="197"/>
      <c r="AR148" s="197"/>
      <c r="AS148" s="197"/>
      <c r="AT148" s="197"/>
      <c r="AU148" s="33"/>
      <c r="AV148" s="33"/>
      <c r="AW148" s="33"/>
      <c r="AX148" s="33"/>
      <c r="AY148" s="76"/>
    </row>
    <row r="149" spans="3:51">
      <c r="C149" s="169" t="s">
        <v>24</v>
      </c>
      <c r="D149" s="4">
        <v>0.74</v>
      </c>
      <c r="E149" s="191" t="s">
        <v>228</v>
      </c>
      <c r="I149" s="55">
        <v>144</v>
      </c>
      <c r="J149" s="33">
        <f t="shared" si="78"/>
        <v>0</v>
      </c>
      <c r="K149" s="33">
        <f t="shared" si="79"/>
        <v>0</v>
      </c>
      <c r="L149" s="33">
        <f t="shared" si="80"/>
        <v>0</v>
      </c>
      <c r="M149" s="33">
        <f t="shared" si="81"/>
        <v>0</v>
      </c>
      <c r="N149" s="33">
        <f t="shared" si="67"/>
        <v>0</v>
      </c>
      <c r="O149" s="34">
        <f t="shared" si="68"/>
        <v>0</v>
      </c>
      <c r="P149" s="55">
        <v>144</v>
      </c>
      <c r="Q149" s="33">
        <f t="shared" si="76"/>
        <v>0</v>
      </c>
      <c r="R149" s="33">
        <f t="shared" si="82"/>
        <v>0</v>
      </c>
      <c r="S149" s="33">
        <f t="shared" si="83"/>
        <v>0</v>
      </c>
      <c r="T149" s="33">
        <f t="shared" si="69"/>
        <v>0</v>
      </c>
      <c r="U149" s="33">
        <f t="shared" si="77"/>
        <v>0</v>
      </c>
      <c r="V149" s="33">
        <f t="shared" si="70"/>
        <v>0</v>
      </c>
      <c r="W149" s="33">
        <v>0</v>
      </c>
      <c r="X149" s="33">
        <f t="shared" si="71"/>
        <v>0</v>
      </c>
      <c r="Y149" s="38">
        <f t="shared" si="72"/>
        <v>0</v>
      </c>
      <c r="AA149" s="71">
        <v>144</v>
      </c>
      <c r="AB149" s="33">
        <f t="shared" si="73"/>
        <v>0</v>
      </c>
      <c r="AC149" s="308">
        <f t="shared" si="66"/>
        <v>0</v>
      </c>
      <c r="AD149" s="101">
        <f t="shared" si="74"/>
        <v>0</v>
      </c>
      <c r="AE149" s="101">
        <f t="shared" si="75"/>
        <v>0</v>
      </c>
      <c r="AF149" s="197">
        <f t="shared" si="62"/>
        <v>0</v>
      </c>
      <c r="AG149" s="197">
        <f t="shared" si="63"/>
        <v>0</v>
      </c>
      <c r="AH149" s="197">
        <f t="shared" si="64"/>
        <v>0</v>
      </c>
      <c r="AI149" s="202">
        <f t="shared" si="65"/>
        <v>0</v>
      </c>
      <c r="AK149" s="71">
        <v>144</v>
      </c>
      <c r="AL149" s="33"/>
      <c r="AM149" s="33"/>
      <c r="AN149" s="33"/>
      <c r="AO149" s="33"/>
      <c r="AP149" s="33"/>
      <c r="AQ149" s="197"/>
      <c r="AR149" s="197"/>
      <c r="AS149" s="197"/>
      <c r="AT149" s="197"/>
      <c r="AU149" s="33"/>
      <c r="AV149" s="33"/>
      <c r="AW149" s="33"/>
      <c r="AX149" s="33"/>
      <c r="AY149" s="76"/>
    </row>
    <row r="150" spans="3:51">
      <c r="C150" s="169" t="s">
        <v>25</v>
      </c>
      <c r="D150" s="4">
        <v>0.4</v>
      </c>
      <c r="E150" s="191" t="s">
        <v>229</v>
      </c>
      <c r="I150" s="55">
        <v>145</v>
      </c>
      <c r="J150" s="33">
        <f t="shared" si="78"/>
        <v>0</v>
      </c>
      <c r="K150" s="33">
        <f t="shared" si="79"/>
        <v>0</v>
      </c>
      <c r="L150" s="33">
        <f t="shared" si="80"/>
        <v>0</v>
      </c>
      <c r="M150" s="33">
        <f t="shared" si="81"/>
        <v>0</v>
      </c>
      <c r="N150" s="33">
        <f t="shared" si="67"/>
        <v>0</v>
      </c>
      <c r="O150" s="34">
        <f t="shared" si="68"/>
        <v>0</v>
      </c>
      <c r="P150" s="55">
        <v>145</v>
      </c>
      <c r="Q150" s="33">
        <f t="shared" si="76"/>
        <v>0</v>
      </c>
      <c r="R150" s="33">
        <f t="shared" si="82"/>
        <v>0</v>
      </c>
      <c r="S150" s="33">
        <f t="shared" si="83"/>
        <v>0</v>
      </c>
      <c r="T150" s="33">
        <f t="shared" si="69"/>
        <v>0</v>
      </c>
      <c r="U150" s="33">
        <f t="shared" si="77"/>
        <v>0</v>
      </c>
      <c r="V150" s="33">
        <f t="shared" si="70"/>
        <v>0</v>
      </c>
      <c r="W150" s="33">
        <v>0</v>
      </c>
      <c r="X150" s="33">
        <f t="shared" si="71"/>
        <v>0</v>
      </c>
      <c r="Y150" s="38">
        <f t="shared" si="72"/>
        <v>0</v>
      </c>
      <c r="AA150" s="71">
        <v>145</v>
      </c>
      <c r="AB150" s="33">
        <f t="shared" si="73"/>
        <v>0</v>
      </c>
      <c r="AC150" s="308">
        <f t="shared" si="66"/>
        <v>0</v>
      </c>
      <c r="AD150" s="101">
        <f t="shared" si="74"/>
        <v>0</v>
      </c>
      <c r="AE150" s="101">
        <f t="shared" si="75"/>
        <v>0</v>
      </c>
      <c r="AF150" s="197">
        <f t="shared" si="62"/>
        <v>0</v>
      </c>
      <c r="AG150" s="197">
        <f t="shared" si="63"/>
        <v>0</v>
      </c>
      <c r="AH150" s="197">
        <f t="shared" si="64"/>
        <v>0</v>
      </c>
      <c r="AI150" s="202">
        <f t="shared" si="65"/>
        <v>0</v>
      </c>
      <c r="AK150" s="71">
        <v>145</v>
      </c>
      <c r="AL150" s="33"/>
      <c r="AM150" s="33"/>
      <c r="AN150" s="33"/>
      <c r="AO150" s="33"/>
      <c r="AP150" s="33"/>
      <c r="AQ150" s="197"/>
      <c r="AR150" s="197"/>
      <c r="AS150" s="197"/>
      <c r="AT150" s="197"/>
      <c r="AU150" s="33"/>
      <c r="AV150" s="33"/>
      <c r="AW150" s="33"/>
      <c r="AX150" s="33"/>
      <c r="AY150" s="76"/>
    </row>
    <row r="151" spans="3:51">
      <c r="C151" s="169" t="s">
        <v>26</v>
      </c>
      <c r="D151" s="4">
        <v>0.6</v>
      </c>
      <c r="E151" s="191" t="s">
        <v>228</v>
      </c>
      <c r="I151" s="55">
        <v>146</v>
      </c>
      <c r="J151" s="33">
        <f t="shared" si="78"/>
        <v>0</v>
      </c>
      <c r="K151" s="33">
        <f t="shared" si="79"/>
        <v>0</v>
      </c>
      <c r="L151" s="33">
        <f t="shared" si="80"/>
        <v>0</v>
      </c>
      <c r="M151" s="33">
        <f t="shared" si="81"/>
        <v>0</v>
      </c>
      <c r="N151" s="33">
        <f t="shared" si="67"/>
        <v>0</v>
      </c>
      <c r="O151" s="34">
        <f t="shared" si="68"/>
        <v>0</v>
      </c>
      <c r="P151" s="55">
        <v>146</v>
      </c>
      <c r="Q151" s="33">
        <f t="shared" si="76"/>
        <v>0</v>
      </c>
      <c r="R151" s="33">
        <f t="shared" si="82"/>
        <v>0</v>
      </c>
      <c r="S151" s="33">
        <f t="shared" si="83"/>
        <v>0</v>
      </c>
      <c r="T151" s="33">
        <f t="shared" si="69"/>
        <v>0</v>
      </c>
      <c r="U151" s="33">
        <f t="shared" si="77"/>
        <v>0</v>
      </c>
      <c r="V151" s="33">
        <f t="shared" si="70"/>
        <v>0</v>
      </c>
      <c r="W151" s="33">
        <v>0</v>
      </c>
      <c r="X151" s="33">
        <f t="shared" si="71"/>
        <v>0</v>
      </c>
      <c r="Y151" s="38">
        <f t="shared" si="72"/>
        <v>0</v>
      </c>
      <c r="AA151" s="71">
        <v>146</v>
      </c>
      <c r="AB151" s="33">
        <f t="shared" si="73"/>
        <v>0</v>
      </c>
      <c r="AC151" s="308">
        <f t="shared" si="66"/>
        <v>0</v>
      </c>
      <c r="AD151" s="101">
        <f t="shared" si="74"/>
        <v>0</v>
      </c>
      <c r="AE151" s="101">
        <f t="shared" si="75"/>
        <v>0</v>
      </c>
      <c r="AF151" s="197">
        <f t="shared" si="62"/>
        <v>0</v>
      </c>
      <c r="AG151" s="197">
        <f t="shared" si="63"/>
        <v>0</v>
      </c>
      <c r="AH151" s="197">
        <f t="shared" si="64"/>
        <v>0</v>
      </c>
      <c r="AI151" s="202">
        <f t="shared" si="65"/>
        <v>0</v>
      </c>
      <c r="AK151" s="71">
        <v>146</v>
      </c>
      <c r="AL151" s="33"/>
      <c r="AM151" s="33"/>
      <c r="AN151" s="33"/>
      <c r="AO151" s="33"/>
      <c r="AP151" s="33"/>
      <c r="AQ151" s="197"/>
      <c r="AR151" s="197"/>
      <c r="AS151" s="197"/>
      <c r="AT151" s="197"/>
      <c r="AU151" s="33"/>
      <c r="AV151" s="33"/>
      <c r="AW151" s="33"/>
      <c r="AX151" s="33"/>
      <c r="AY151" s="76"/>
    </row>
    <row r="152" spans="3:51">
      <c r="C152" s="169" t="s">
        <v>27</v>
      </c>
      <c r="D152" s="4">
        <v>0.43</v>
      </c>
      <c r="E152" s="191" t="s">
        <v>229</v>
      </c>
      <c r="I152" s="55">
        <v>147</v>
      </c>
      <c r="J152" s="33">
        <f t="shared" si="78"/>
        <v>0</v>
      </c>
      <c r="K152" s="33">
        <f t="shared" si="79"/>
        <v>0</v>
      </c>
      <c r="L152" s="33">
        <f t="shared" si="80"/>
        <v>0</v>
      </c>
      <c r="M152" s="33">
        <f t="shared" si="81"/>
        <v>0</v>
      </c>
      <c r="N152" s="33">
        <f t="shared" si="67"/>
        <v>0</v>
      </c>
      <c r="O152" s="34">
        <f t="shared" si="68"/>
        <v>0</v>
      </c>
      <c r="P152" s="55">
        <v>147</v>
      </c>
      <c r="Q152" s="33">
        <f t="shared" si="76"/>
        <v>0</v>
      </c>
      <c r="R152" s="33">
        <f t="shared" si="82"/>
        <v>0</v>
      </c>
      <c r="S152" s="33">
        <f t="shared" si="83"/>
        <v>0</v>
      </c>
      <c r="T152" s="33">
        <f t="shared" si="69"/>
        <v>0</v>
      </c>
      <c r="U152" s="33">
        <f t="shared" si="77"/>
        <v>0</v>
      </c>
      <c r="V152" s="33">
        <f t="shared" si="70"/>
        <v>0</v>
      </c>
      <c r="W152" s="33">
        <v>0</v>
      </c>
      <c r="X152" s="33">
        <f t="shared" si="71"/>
        <v>0</v>
      </c>
      <c r="Y152" s="38">
        <f t="shared" si="72"/>
        <v>0</v>
      </c>
      <c r="AA152" s="71">
        <v>147</v>
      </c>
      <c r="AB152" s="33">
        <f t="shared" si="73"/>
        <v>0</v>
      </c>
      <c r="AC152" s="308">
        <f t="shared" si="66"/>
        <v>0</v>
      </c>
      <c r="AD152" s="101">
        <f t="shared" si="74"/>
        <v>0</v>
      </c>
      <c r="AE152" s="101">
        <f t="shared" si="75"/>
        <v>0</v>
      </c>
      <c r="AF152" s="197">
        <f t="shared" si="62"/>
        <v>0</v>
      </c>
      <c r="AG152" s="197">
        <f t="shared" si="63"/>
        <v>0</v>
      </c>
      <c r="AH152" s="197">
        <f t="shared" si="64"/>
        <v>0</v>
      </c>
      <c r="AI152" s="202">
        <f t="shared" si="65"/>
        <v>0</v>
      </c>
      <c r="AK152" s="71">
        <v>147</v>
      </c>
      <c r="AL152" s="33"/>
      <c r="AM152" s="33"/>
      <c r="AN152" s="33"/>
      <c r="AO152" s="33"/>
      <c r="AP152" s="33"/>
      <c r="AQ152" s="197"/>
      <c r="AR152" s="197"/>
      <c r="AS152" s="197"/>
      <c r="AT152" s="197"/>
      <c r="AU152" s="33"/>
      <c r="AV152" s="33"/>
      <c r="AW152" s="33"/>
      <c r="AX152" s="33"/>
      <c r="AY152" s="76"/>
    </row>
    <row r="153" spans="3:51">
      <c r="C153" s="169" t="s">
        <v>28</v>
      </c>
      <c r="D153" s="4">
        <v>0.37</v>
      </c>
      <c r="E153" s="191" t="s">
        <v>229</v>
      </c>
      <c r="I153" s="55">
        <v>148</v>
      </c>
      <c r="J153" s="33">
        <f t="shared" si="78"/>
        <v>0</v>
      </c>
      <c r="K153" s="33">
        <f t="shared" si="79"/>
        <v>0</v>
      </c>
      <c r="L153" s="33">
        <f t="shared" si="80"/>
        <v>0</v>
      </c>
      <c r="M153" s="33">
        <f t="shared" si="81"/>
        <v>0</v>
      </c>
      <c r="N153" s="33">
        <f t="shared" si="67"/>
        <v>0</v>
      </c>
      <c r="O153" s="34">
        <f t="shared" si="68"/>
        <v>0</v>
      </c>
      <c r="P153" s="55">
        <v>148</v>
      </c>
      <c r="Q153" s="33">
        <f t="shared" si="76"/>
        <v>0</v>
      </c>
      <c r="R153" s="33">
        <f t="shared" si="82"/>
        <v>0</v>
      </c>
      <c r="S153" s="33">
        <f t="shared" si="83"/>
        <v>0</v>
      </c>
      <c r="T153" s="33">
        <f t="shared" si="69"/>
        <v>0</v>
      </c>
      <c r="U153" s="33">
        <f t="shared" si="77"/>
        <v>0</v>
      </c>
      <c r="V153" s="33">
        <f t="shared" si="70"/>
        <v>0</v>
      </c>
      <c r="W153" s="33">
        <v>0</v>
      </c>
      <c r="X153" s="33">
        <f t="shared" si="71"/>
        <v>0</v>
      </c>
      <c r="Y153" s="38">
        <f t="shared" si="72"/>
        <v>0</v>
      </c>
      <c r="AA153" s="71">
        <v>148</v>
      </c>
      <c r="AB153" s="33">
        <f t="shared" si="73"/>
        <v>0</v>
      </c>
      <c r="AC153" s="308">
        <f t="shared" si="66"/>
        <v>0</v>
      </c>
      <c r="AD153" s="101">
        <f t="shared" si="74"/>
        <v>0</v>
      </c>
      <c r="AE153" s="101">
        <f t="shared" si="75"/>
        <v>0</v>
      </c>
      <c r="AF153" s="197">
        <f t="shared" si="62"/>
        <v>0</v>
      </c>
      <c r="AG153" s="197">
        <f t="shared" si="63"/>
        <v>0</v>
      </c>
      <c r="AH153" s="197">
        <f t="shared" si="64"/>
        <v>0</v>
      </c>
      <c r="AI153" s="202">
        <f t="shared" si="65"/>
        <v>0</v>
      </c>
      <c r="AK153" s="71">
        <v>148</v>
      </c>
      <c r="AL153" s="33"/>
      <c r="AM153" s="33"/>
      <c r="AN153" s="33"/>
      <c r="AO153" s="33"/>
      <c r="AP153" s="33"/>
      <c r="AQ153" s="197"/>
      <c r="AR153" s="197"/>
      <c r="AS153" s="197"/>
      <c r="AT153" s="197"/>
      <c r="AU153" s="33"/>
      <c r="AV153" s="33"/>
      <c r="AW153" s="33"/>
      <c r="AX153" s="33"/>
      <c r="AY153" s="76"/>
    </row>
    <row r="154" spans="3:51">
      <c r="C154" s="169" t="s">
        <v>29</v>
      </c>
      <c r="D154" s="4">
        <v>0.36</v>
      </c>
      <c r="E154" s="191" t="s">
        <v>229</v>
      </c>
      <c r="I154" s="55">
        <v>149</v>
      </c>
      <c r="J154" s="33">
        <f t="shared" si="78"/>
        <v>0</v>
      </c>
      <c r="K154" s="33">
        <f t="shared" si="79"/>
        <v>0</v>
      </c>
      <c r="L154" s="33">
        <f t="shared" si="80"/>
        <v>0</v>
      </c>
      <c r="M154" s="33">
        <f t="shared" si="81"/>
        <v>0</v>
      </c>
      <c r="N154" s="33">
        <f t="shared" si="67"/>
        <v>0</v>
      </c>
      <c r="O154" s="34">
        <f t="shared" si="68"/>
        <v>0</v>
      </c>
      <c r="P154" s="55">
        <v>149</v>
      </c>
      <c r="Q154" s="33">
        <f t="shared" si="76"/>
        <v>0</v>
      </c>
      <c r="R154" s="33">
        <f t="shared" si="82"/>
        <v>0</v>
      </c>
      <c r="S154" s="33">
        <f t="shared" si="83"/>
        <v>0</v>
      </c>
      <c r="T154" s="33">
        <f t="shared" si="69"/>
        <v>0</v>
      </c>
      <c r="U154" s="33">
        <f t="shared" si="77"/>
        <v>0</v>
      </c>
      <c r="V154" s="33">
        <f t="shared" si="70"/>
        <v>0</v>
      </c>
      <c r="W154" s="33">
        <v>0</v>
      </c>
      <c r="X154" s="33">
        <f t="shared" si="71"/>
        <v>0</v>
      </c>
      <c r="Y154" s="38">
        <f t="shared" si="72"/>
        <v>0</v>
      </c>
      <c r="AA154" s="71">
        <v>149</v>
      </c>
      <c r="AB154" s="33">
        <f t="shared" si="73"/>
        <v>0</v>
      </c>
      <c r="AC154" s="308">
        <f t="shared" si="66"/>
        <v>0</v>
      </c>
      <c r="AD154" s="101">
        <f t="shared" si="74"/>
        <v>0</v>
      </c>
      <c r="AE154" s="101">
        <f t="shared" si="75"/>
        <v>0</v>
      </c>
      <c r="AF154" s="197">
        <f t="shared" si="62"/>
        <v>0</v>
      </c>
      <c r="AG154" s="197">
        <f t="shared" si="63"/>
        <v>0</v>
      </c>
      <c r="AH154" s="197">
        <f t="shared" si="64"/>
        <v>0</v>
      </c>
      <c r="AI154" s="202">
        <f t="shared" si="65"/>
        <v>0</v>
      </c>
      <c r="AK154" s="71">
        <v>149</v>
      </c>
      <c r="AL154" s="33"/>
      <c r="AM154" s="33"/>
      <c r="AN154" s="33"/>
      <c r="AO154" s="33"/>
      <c r="AP154" s="33"/>
      <c r="AQ154" s="197"/>
      <c r="AR154" s="197"/>
      <c r="AS154" s="197"/>
      <c r="AT154" s="197"/>
      <c r="AU154" s="33"/>
      <c r="AV154" s="33"/>
      <c r="AW154" s="33"/>
      <c r="AX154" s="33"/>
      <c r="AY154" s="76"/>
    </row>
    <row r="155" spans="3:51">
      <c r="C155" s="169" t="s">
        <v>30</v>
      </c>
      <c r="D155" s="4">
        <v>0.51</v>
      </c>
      <c r="E155" s="191" t="s">
        <v>228</v>
      </c>
      <c r="I155" s="55">
        <v>150</v>
      </c>
      <c r="J155" s="33">
        <f t="shared" si="78"/>
        <v>0</v>
      </c>
      <c r="K155" s="33">
        <f t="shared" si="79"/>
        <v>0</v>
      </c>
      <c r="L155" s="33">
        <f t="shared" si="80"/>
        <v>0</v>
      </c>
      <c r="M155" s="33">
        <f t="shared" si="81"/>
        <v>0</v>
      </c>
      <c r="N155" s="33">
        <f t="shared" si="67"/>
        <v>0</v>
      </c>
      <c r="O155" s="34">
        <f t="shared" si="68"/>
        <v>0</v>
      </c>
      <c r="P155" s="55">
        <v>150</v>
      </c>
      <c r="Q155" s="33">
        <f t="shared" si="76"/>
        <v>0</v>
      </c>
      <c r="R155" s="33">
        <f t="shared" si="82"/>
        <v>0</v>
      </c>
      <c r="S155" s="33">
        <f t="shared" si="83"/>
        <v>0</v>
      </c>
      <c r="T155" s="33">
        <f t="shared" si="69"/>
        <v>0</v>
      </c>
      <c r="U155" s="33">
        <f t="shared" si="77"/>
        <v>0</v>
      </c>
      <c r="V155" s="33">
        <f t="shared" si="70"/>
        <v>0</v>
      </c>
      <c r="W155" s="33">
        <v>0</v>
      </c>
      <c r="X155" s="33">
        <f t="shared" si="71"/>
        <v>0</v>
      </c>
      <c r="Y155" s="38">
        <f t="shared" si="72"/>
        <v>0</v>
      </c>
      <c r="AA155" s="71">
        <v>150</v>
      </c>
      <c r="AB155" s="33">
        <f t="shared" si="73"/>
        <v>0</v>
      </c>
      <c r="AC155" s="308">
        <f t="shared" si="66"/>
        <v>0</v>
      </c>
      <c r="AD155" s="101">
        <f t="shared" si="74"/>
        <v>0</v>
      </c>
      <c r="AE155" s="101">
        <f t="shared" si="75"/>
        <v>0</v>
      </c>
      <c r="AF155" s="197">
        <f t="shared" ref="AF155:AF205" si="84">IF(OR(AA155&lt;=$F$18,AA155&lt;=30),EXP(-LN(2)/$D$104)*AF154+((1-EXP(-LN(2)/$D$104))/(LN(2)/$D$104))*$AB155*AC155*0.475*$F$19*44/12,)</f>
        <v>0</v>
      </c>
      <c r="AG155" s="197">
        <f t="shared" ref="AG155:AG205" si="85">IF(OR(AA155&lt;=$F$18,AA155&lt;=30),EXP(-LN(2)/$D$106)*AG154+((1-EXP(-LN(2)/$D$106))/(LN(2)/$D$106))*$AB155*AD155*0.475*$F$19*44/12,)</f>
        <v>0</v>
      </c>
      <c r="AH155" s="197">
        <f t="shared" ref="AH155:AH205" si="86">IF(OR(AA155&lt;=$F$18,AA155&lt;=30),EXP(-LN(2)/$D$105)*AH154+((1-EXP(-LN(2)/$D$105))/(LN(2)/$D$105))*$AB155*AE155*0.475*$F$19*44/12,)</f>
        <v>0</v>
      </c>
      <c r="AI155" s="202">
        <f t="shared" ref="AI155:AI205" si="87">IF(OR(AA155&lt;=$F$18,AA155&lt;=30),SUM(AF155:AH155),)</f>
        <v>0</v>
      </c>
      <c r="AK155" s="71">
        <v>150</v>
      </c>
      <c r="AL155" s="33"/>
      <c r="AM155" s="33"/>
      <c r="AN155" s="33"/>
      <c r="AO155" s="33"/>
      <c r="AP155" s="33"/>
      <c r="AQ155" s="197"/>
      <c r="AR155" s="197"/>
      <c r="AS155" s="197"/>
      <c r="AT155" s="197"/>
      <c r="AU155" s="33"/>
      <c r="AV155" s="33"/>
      <c r="AW155" s="33"/>
      <c r="AX155" s="33"/>
      <c r="AY155" s="76"/>
    </row>
    <row r="156" spans="3:51">
      <c r="C156" s="169" t="s">
        <v>31</v>
      </c>
      <c r="D156" s="4">
        <v>0.56000000000000005</v>
      </c>
      <c r="E156" s="191" t="s">
        <v>228</v>
      </c>
      <c r="I156" s="55">
        <v>151</v>
      </c>
      <c r="J156" s="33">
        <f t="shared" si="78"/>
        <v>0</v>
      </c>
      <c r="K156" s="33">
        <f t="shared" si="79"/>
        <v>0</v>
      </c>
      <c r="L156" s="33">
        <f t="shared" si="80"/>
        <v>0</v>
      </c>
      <c r="M156" s="33">
        <f t="shared" si="81"/>
        <v>0</v>
      </c>
      <c r="N156" s="33">
        <f t="shared" si="67"/>
        <v>0</v>
      </c>
      <c r="O156" s="34">
        <f t="shared" si="68"/>
        <v>0</v>
      </c>
      <c r="P156" s="55">
        <v>151</v>
      </c>
      <c r="Q156" s="33">
        <f t="shared" si="76"/>
        <v>0</v>
      </c>
      <c r="R156" s="33">
        <f t="shared" si="82"/>
        <v>0</v>
      </c>
      <c r="S156" s="33">
        <f t="shared" si="83"/>
        <v>0</v>
      </c>
      <c r="T156" s="33">
        <f t="shared" si="69"/>
        <v>0</v>
      </c>
      <c r="U156" s="33">
        <f t="shared" si="77"/>
        <v>0</v>
      </c>
      <c r="V156" s="33">
        <f t="shared" si="70"/>
        <v>0</v>
      </c>
      <c r="W156" s="33">
        <v>0</v>
      </c>
      <c r="X156" s="33">
        <f t="shared" si="71"/>
        <v>0</v>
      </c>
      <c r="Y156" s="38">
        <f t="shared" si="72"/>
        <v>0</v>
      </c>
      <c r="AA156" s="71">
        <v>151</v>
      </c>
      <c r="AB156" s="33">
        <f t="shared" si="73"/>
        <v>0</v>
      </c>
      <c r="AC156" s="308">
        <f t="shared" si="66"/>
        <v>0</v>
      </c>
      <c r="AD156" s="101">
        <f t="shared" si="74"/>
        <v>0</v>
      </c>
      <c r="AE156" s="101">
        <f t="shared" si="75"/>
        <v>0</v>
      </c>
      <c r="AF156" s="197">
        <f t="shared" si="84"/>
        <v>0</v>
      </c>
      <c r="AG156" s="197">
        <f t="shared" si="85"/>
        <v>0</v>
      </c>
      <c r="AH156" s="197">
        <f t="shared" si="86"/>
        <v>0</v>
      </c>
      <c r="AI156" s="202">
        <f t="shared" si="87"/>
        <v>0</v>
      </c>
      <c r="AK156" s="71">
        <v>151</v>
      </c>
      <c r="AL156" s="33"/>
      <c r="AM156" s="33"/>
      <c r="AN156" s="33"/>
      <c r="AO156" s="33"/>
      <c r="AP156" s="33"/>
      <c r="AQ156" s="197"/>
      <c r="AR156" s="197"/>
      <c r="AS156" s="197"/>
      <c r="AT156" s="197"/>
      <c r="AU156" s="33"/>
      <c r="AV156" s="33"/>
      <c r="AW156" s="33"/>
      <c r="AX156" s="33"/>
      <c r="AY156" s="76"/>
    </row>
    <row r="157" spans="3:51">
      <c r="C157" s="169" t="s">
        <v>32</v>
      </c>
      <c r="D157" s="4">
        <v>0.56000000000000005</v>
      </c>
      <c r="E157" s="191" t="s">
        <v>228</v>
      </c>
      <c r="I157" s="55">
        <v>152</v>
      </c>
      <c r="J157" s="33">
        <f t="shared" si="78"/>
        <v>0</v>
      </c>
      <c r="K157" s="33">
        <f t="shared" si="79"/>
        <v>0</v>
      </c>
      <c r="L157" s="33">
        <f t="shared" si="80"/>
        <v>0</v>
      </c>
      <c r="M157" s="33">
        <f t="shared" si="81"/>
        <v>0</v>
      </c>
      <c r="N157" s="33">
        <f t="shared" si="67"/>
        <v>0</v>
      </c>
      <c r="O157" s="34">
        <f t="shared" si="68"/>
        <v>0</v>
      </c>
      <c r="P157" s="55">
        <v>152</v>
      </c>
      <c r="Q157" s="33">
        <f t="shared" si="76"/>
        <v>0</v>
      </c>
      <c r="R157" s="33">
        <f t="shared" si="82"/>
        <v>0</v>
      </c>
      <c r="S157" s="33">
        <f t="shared" si="83"/>
        <v>0</v>
      </c>
      <c r="T157" s="33">
        <f t="shared" si="69"/>
        <v>0</v>
      </c>
      <c r="U157" s="33">
        <f t="shared" si="77"/>
        <v>0</v>
      </c>
      <c r="V157" s="33">
        <f t="shared" si="70"/>
        <v>0</v>
      </c>
      <c r="W157" s="33">
        <v>0</v>
      </c>
      <c r="X157" s="33">
        <f t="shared" si="71"/>
        <v>0</v>
      </c>
      <c r="Y157" s="38">
        <f t="shared" si="72"/>
        <v>0</v>
      </c>
      <c r="AA157" s="71">
        <v>152</v>
      </c>
      <c r="AB157" s="33">
        <f t="shared" si="73"/>
        <v>0</v>
      </c>
      <c r="AC157" s="308">
        <f t="shared" si="66"/>
        <v>0</v>
      </c>
      <c r="AD157" s="101">
        <f t="shared" si="74"/>
        <v>0</v>
      </c>
      <c r="AE157" s="101">
        <f t="shared" si="75"/>
        <v>0</v>
      </c>
      <c r="AF157" s="197">
        <f t="shared" si="84"/>
        <v>0</v>
      </c>
      <c r="AG157" s="197">
        <f t="shared" si="85"/>
        <v>0</v>
      </c>
      <c r="AH157" s="197">
        <f t="shared" si="86"/>
        <v>0</v>
      </c>
      <c r="AI157" s="202">
        <f t="shared" si="87"/>
        <v>0</v>
      </c>
      <c r="AK157" s="71">
        <v>152</v>
      </c>
      <c r="AL157" s="33"/>
      <c r="AM157" s="33"/>
      <c r="AN157" s="33"/>
      <c r="AO157" s="33"/>
      <c r="AP157" s="33"/>
      <c r="AQ157" s="197"/>
      <c r="AR157" s="197"/>
      <c r="AS157" s="197"/>
      <c r="AT157" s="197"/>
      <c r="AU157" s="33"/>
      <c r="AV157" s="33"/>
      <c r="AW157" s="33"/>
      <c r="AX157" s="33"/>
      <c r="AY157" s="76"/>
    </row>
    <row r="158" spans="3:51">
      <c r="C158" s="169" t="s">
        <v>33</v>
      </c>
      <c r="D158" s="4">
        <v>0.48</v>
      </c>
      <c r="E158" s="191" t="s">
        <v>228</v>
      </c>
      <c r="I158" s="55">
        <v>153</v>
      </c>
      <c r="J158" s="33">
        <f t="shared" si="78"/>
        <v>0</v>
      </c>
      <c r="K158" s="33">
        <f t="shared" si="79"/>
        <v>0</v>
      </c>
      <c r="L158" s="33">
        <f t="shared" si="80"/>
        <v>0</v>
      </c>
      <c r="M158" s="33">
        <f t="shared" si="81"/>
        <v>0</v>
      </c>
      <c r="N158" s="33">
        <f t="shared" si="67"/>
        <v>0</v>
      </c>
      <c r="O158" s="34">
        <f t="shared" si="68"/>
        <v>0</v>
      </c>
      <c r="P158" s="55">
        <v>153</v>
      </c>
      <c r="Q158" s="33">
        <f t="shared" si="76"/>
        <v>0</v>
      </c>
      <c r="R158" s="33">
        <f t="shared" si="82"/>
        <v>0</v>
      </c>
      <c r="S158" s="33">
        <f t="shared" si="83"/>
        <v>0</v>
      </c>
      <c r="T158" s="33">
        <f t="shared" si="69"/>
        <v>0</v>
      </c>
      <c r="U158" s="33">
        <f t="shared" si="77"/>
        <v>0</v>
      </c>
      <c r="V158" s="33">
        <f t="shared" si="70"/>
        <v>0</v>
      </c>
      <c r="W158" s="33">
        <v>0</v>
      </c>
      <c r="X158" s="33">
        <f t="shared" si="71"/>
        <v>0</v>
      </c>
      <c r="Y158" s="38">
        <f t="shared" si="72"/>
        <v>0</v>
      </c>
      <c r="AA158" s="71">
        <v>153</v>
      </c>
      <c r="AB158" s="33">
        <f t="shared" si="73"/>
        <v>0</v>
      </c>
      <c r="AC158" s="308">
        <f t="shared" si="66"/>
        <v>0</v>
      </c>
      <c r="AD158" s="101">
        <f t="shared" si="74"/>
        <v>0</v>
      </c>
      <c r="AE158" s="101">
        <f t="shared" si="75"/>
        <v>0</v>
      </c>
      <c r="AF158" s="197">
        <f t="shared" si="84"/>
        <v>0</v>
      </c>
      <c r="AG158" s="197">
        <f t="shared" si="85"/>
        <v>0</v>
      </c>
      <c r="AH158" s="197">
        <f t="shared" si="86"/>
        <v>0</v>
      </c>
      <c r="AI158" s="202">
        <f t="shared" si="87"/>
        <v>0</v>
      </c>
      <c r="AK158" s="71">
        <v>153</v>
      </c>
      <c r="AL158" s="33"/>
      <c r="AM158" s="33"/>
      <c r="AN158" s="33"/>
      <c r="AO158" s="33"/>
      <c r="AP158" s="33"/>
      <c r="AQ158" s="197"/>
      <c r="AR158" s="197"/>
      <c r="AS158" s="197"/>
      <c r="AT158" s="197"/>
      <c r="AU158" s="33"/>
      <c r="AV158" s="33"/>
      <c r="AW158" s="33"/>
      <c r="AX158" s="33"/>
      <c r="AY158" s="76"/>
    </row>
    <row r="159" spans="3:51">
      <c r="C159" s="169" t="s">
        <v>34</v>
      </c>
      <c r="D159" s="4">
        <v>0.55000000000000004</v>
      </c>
      <c r="E159" s="191" t="s">
        <v>228</v>
      </c>
      <c r="I159" s="55">
        <v>154</v>
      </c>
      <c r="J159" s="33">
        <f t="shared" si="78"/>
        <v>0</v>
      </c>
      <c r="K159" s="33">
        <f t="shared" si="79"/>
        <v>0</v>
      </c>
      <c r="L159" s="33">
        <f t="shared" si="80"/>
        <v>0</v>
      </c>
      <c r="M159" s="33">
        <f t="shared" si="81"/>
        <v>0</v>
      </c>
      <c r="N159" s="33">
        <f t="shared" si="67"/>
        <v>0</v>
      </c>
      <c r="O159" s="34">
        <f t="shared" si="68"/>
        <v>0</v>
      </c>
      <c r="P159" s="55">
        <v>154</v>
      </c>
      <c r="Q159" s="33">
        <f t="shared" si="76"/>
        <v>0</v>
      </c>
      <c r="R159" s="33">
        <f t="shared" si="82"/>
        <v>0</v>
      </c>
      <c r="S159" s="33">
        <f t="shared" si="83"/>
        <v>0</v>
      </c>
      <c r="T159" s="33">
        <f t="shared" si="69"/>
        <v>0</v>
      </c>
      <c r="U159" s="33">
        <f t="shared" si="77"/>
        <v>0</v>
      </c>
      <c r="V159" s="33">
        <f t="shared" si="70"/>
        <v>0</v>
      </c>
      <c r="W159" s="33">
        <v>0</v>
      </c>
      <c r="X159" s="33">
        <f t="shared" si="71"/>
        <v>0</v>
      </c>
      <c r="Y159" s="38">
        <f t="shared" si="72"/>
        <v>0</v>
      </c>
      <c r="AA159" s="71">
        <v>154</v>
      </c>
      <c r="AB159" s="33">
        <f t="shared" si="73"/>
        <v>0</v>
      </c>
      <c r="AC159" s="308">
        <f t="shared" ref="AC159:AC205" si="88">IF(AA159&lt;=$F$18,IFERROR(VLOOKUP($AA159,$B$82:$G$94,3,FALSE),0),)*50%</f>
        <v>0</v>
      </c>
      <c r="AD159" s="101">
        <f t="shared" si="74"/>
        <v>0</v>
      </c>
      <c r="AE159" s="101">
        <f t="shared" si="75"/>
        <v>0</v>
      </c>
      <c r="AF159" s="197">
        <f t="shared" si="84"/>
        <v>0</v>
      </c>
      <c r="AG159" s="197">
        <f t="shared" si="85"/>
        <v>0</v>
      </c>
      <c r="AH159" s="197">
        <f t="shared" si="86"/>
        <v>0</v>
      </c>
      <c r="AI159" s="202">
        <f t="shared" si="87"/>
        <v>0</v>
      </c>
      <c r="AK159" s="71">
        <v>154</v>
      </c>
      <c r="AL159" s="33"/>
      <c r="AM159" s="33"/>
      <c r="AN159" s="33"/>
      <c r="AO159" s="33"/>
      <c r="AP159" s="33"/>
      <c r="AQ159" s="197"/>
      <c r="AR159" s="197"/>
      <c r="AS159" s="197"/>
      <c r="AT159" s="197"/>
      <c r="AU159" s="33"/>
      <c r="AV159" s="33"/>
      <c r="AW159" s="33"/>
      <c r="AX159" s="33"/>
      <c r="AY159" s="76"/>
    </row>
    <row r="160" spans="3:51">
      <c r="C160" s="169" t="s">
        <v>35</v>
      </c>
      <c r="D160" s="4">
        <v>0.56000000000000005</v>
      </c>
      <c r="E160" s="191" t="s">
        <v>228</v>
      </c>
      <c r="I160" s="55">
        <v>155</v>
      </c>
      <c r="J160" s="33">
        <f t="shared" si="78"/>
        <v>0</v>
      </c>
      <c r="K160" s="33">
        <f t="shared" si="79"/>
        <v>0</v>
      </c>
      <c r="L160" s="33">
        <f t="shared" si="80"/>
        <v>0</v>
      </c>
      <c r="M160" s="33">
        <f t="shared" si="81"/>
        <v>0</v>
      </c>
      <c r="N160" s="33">
        <f t="shared" si="67"/>
        <v>0</v>
      </c>
      <c r="O160" s="34">
        <f t="shared" si="68"/>
        <v>0</v>
      </c>
      <c r="P160" s="55">
        <v>155</v>
      </c>
      <c r="Q160" s="33">
        <f t="shared" si="76"/>
        <v>0</v>
      </c>
      <c r="R160" s="33">
        <f t="shared" si="82"/>
        <v>0</v>
      </c>
      <c r="S160" s="33">
        <f t="shared" si="83"/>
        <v>0</v>
      </c>
      <c r="T160" s="33">
        <f t="shared" si="69"/>
        <v>0</v>
      </c>
      <c r="U160" s="33">
        <f t="shared" si="77"/>
        <v>0</v>
      </c>
      <c r="V160" s="33">
        <f t="shared" si="70"/>
        <v>0</v>
      </c>
      <c r="W160" s="33">
        <v>0</v>
      </c>
      <c r="X160" s="33">
        <f t="shared" si="71"/>
        <v>0</v>
      </c>
      <c r="Y160" s="38">
        <f t="shared" si="72"/>
        <v>0</v>
      </c>
      <c r="AA160" s="71">
        <v>155</v>
      </c>
      <c r="AB160" s="33">
        <f t="shared" si="73"/>
        <v>0</v>
      </c>
      <c r="AC160" s="308">
        <f t="shared" si="88"/>
        <v>0</v>
      </c>
      <c r="AD160" s="101">
        <f t="shared" si="74"/>
        <v>0</v>
      </c>
      <c r="AE160" s="101">
        <f t="shared" si="75"/>
        <v>0</v>
      </c>
      <c r="AF160" s="197">
        <f t="shared" si="84"/>
        <v>0</v>
      </c>
      <c r="AG160" s="197">
        <f t="shared" si="85"/>
        <v>0</v>
      </c>
      <c r="AH160" s="197">
        <f t="shared" si="86"/>
        <v>0</v>
      </c>
      <c r="AI160" s="202">
        <f t="shared" si="87"/>
        <v>0</v>
      </c>
      <c r="AK160" s="71">
        <v>155</v>
      </c>
      <c r="AL160" s="33"/>
      <c r="AM160" s="33"/>
      <c r="AN160" s="33"/>
      <c r="AO160" s="33"/>
      <c r="AP160" s="33"/>
      <c r="AQ160" s="197"/>
      <c r="AR160" s="197"/>
      <c r="AS160" s="197"/>
      <c r="AT160" s="197"/>
      <c r="AU160" s="33"/>
      <c r="AV160" s="33"/>
      <c r="AW160" s="33"/>
      <c r="AX160" s="33"/>
      <c r="AY160" s="76"/>
    </row>
    <row r="161" spans="3:51">
      <c r="C161" s="169" t="s">
        <v>36</v>
      </c>
      <c r="D161" s="4">
        <v>0.57999999999999996</v>
      </c>
      <c r="E161" s="191" t="s">
        <v>228</v>
      </c>
      <c r="I161" s="55">
        <v>156</v>
      </c>
      <c r="J161" s="33">
        <f t="shared" si="78"/>
        <v>0</v>
      </c>
      <c r="K161" s="33">
        <f t="shared" si="79"/>
        <v>0</v>
      </c>
      <c r="L161" s="33">
        <f t="shared" si="80"/>
        <v>0</v>
      </c>
      <c r="M161" s="33">
        <f t="shared" si="81"/>
        <v>0</v>
      </c>
      <c r="N161" s="33">
        <f t="shared" si="67"/>
        <v>0</v>
      </c>
      <c r="O161" s="34">
        <f t="shared" si="68"/>
        <v>0</v>
      </c>
      <c r="P161" s="55">
        <v>156</v>
      </c>
      <c r="Q161" s="33">
        <f t="shared" si="76"/>
        <v>0</v>
      </c>
      <c r="R161" s="33">
        <f t="shared" si="82"/>
        <v>0</v>
      </c>
      <c r="S161" s="33">
        <f t="shared" si="83"/>
        <v>0</v>
      </c>
      <c r="T161" s="33">
        <f t="shared" si="69"/>
        <v>0</v>
      </c>
      <c r="U161" s="33">
        <f t="shared" si="77"/>
        <v>0</v>
      </c>
      <c r="V161" s="33">
        <f t="shared" si="70"/>
        <v>0</v>
      </c>
      <c r="W161" s="33">
        <v>0</v>
      </c>
      <c r="X161" s="33">
        <f t="shared" si="71"/>
        <v>0</v>
      </c>
      <c r="Y161" s="38">
        <f t="shared" si="72"/>
        <v>0</v>
      </c>
      <c r="AA161" s="71">
        <v>156</v>
      </c>
      <c r="AB161" s="33">
        <f t="shared" si="73"/>
        <v>0</v>
      </c>
      <c r="AC161" s="308">
        <f t="shared" si="88"/>
        <v>0</v>
      </c>
      <c r="AD161" s="101">
        <f t="shared" si="74"/>
        <v>0</v>
      </c>
      <c r="AE161" s="101">
        <f t="shared" si="75"/>
        <v>0</v>
      </c>
      <c r="AF161" s="197">
        <f t="shared" si="84"/>
        <v>0</v>
      </c>
      <c r="AG161" s="197">
        <f t="shared" si="85"/>
        <v>0</v>
      </c>
      <c r="AH161" s="197">
        <f t="shared" si="86"/>
        <v>0</v>
      </c>
      <c r="AI161" s="202">
        <f t="shared" si="87"/>
        <v>0</v>
      </c>
      <c r="AK161" s="71">
        <v>156</v>
      </c>
      <c r="AL161" s="33"/>
      <c r="AM161" s="33"/>
      <c r="AN161" s="33"/>
      <c r="AO161" s="33"/>
      <c r="AP161" s="33"/>
      <c r="AQ161" s="197"/>
      <c r="AR161" s="197"/>
      <c r="AS161" s="197"/>
      <c r="AT161" s="197"/>
      <c r="AU161" s="33"/>
      <c r="AV161" s="33"/>
      <c r="AW161" s="33"/>
      <c r="AX161" s="33"/>
      <c r="AY161" s="76"/>
    </row>
    <row r="162" spans="3:51">
      <c r="C162" s="169" t="s">
        <v>37</v>
      </c>
      <c r="D162" s="4">
        <v>0.57999999999999996</v>
      </c>
      <c r="E162" s="191" t="s">
        <v>229</v>
      </c>
      <c r="I162" s="55">
        <v>157</v>
      </c>
      <c r="J162" s="33">
        <f t="shared" si="78"/>
        <v>0</v>
      </c>
      <c r="K162" s="33">
        <f t="shared" si="79"/>
        <v>0</v>
      </c>
      <c r="L162" s="33">
        <f t="shared" si="80"/>
        <v>0</v>
      </c>
      <c r="M162" s="33">
        <f t="shared" si="81"/>
        <v>0</v>
      </c>
      <c r="N162" s="33">
        <f t="shared" si="67"/>
        <v>0</v>
      </c>
      <c r="O162" s="34">
        <f t="shared" si="68"/>
        <v>0</v>
      </c>
      <c r="P162" s="55">
        <v>157</v>
      </c>
      <c r="Q162" s="33">
        <f t="shared" si="76"/>
        <v>0</v>
      </c>
      <c r="R162" s="33">
        <f t="shared" si="82"/>
        <v>0</v>
      </c>
      <c r="S162" s="33">
        <f t="shared" si="83"/>
        <v>0</v>
      </c>
      <c r="T162" s="33">
        <f t="shared" si="69"/>
        <v>0</v>
      </c>
      <c r="U162" s="33">
        <f t="shared" si="77"/>
        <v>0</v>
      </c>
      <c r="V162" s="33">
        <f t="shared" si="70"/>
        <v>0</v>
      </c>
      <c r="W162" s="33">
        <v>0</v>
      </c>
      <c r="X162" s="33">
        <f t="shared" si="71"/>
        <v>0</v>
      </c>
      <c r="Y162" s="38">
        <f t="shared" si="72"/>
        <v>0</v>
      </c>
      <c r="AA162" s="71">
        <v>157</v>
      </c>
      <c r="AB162" s="33">
        <f t="shared" si="73"/>
        <v>0</v>
      </c>
      <c r="AC162" s="308">
        <f t="shared" si="88"/>
        <v>0</v>
      </c>
      <c r="AD162" s="101">
        <f t="shared" si="74"/>
        <v>0</v>
      </c>
      <c r="AE162" s="101">
        <f t="shared" si="75"/>
        <v>0</v>
      </c>
      <c r="AF162" s="197">
        <f t="shared" si="84"/>
        <v>0</v>
      </c>
      <c r="AG162" s="197">
        <f t="shared" si="85"/>
        <v>0</v>
      </c>
      <c r="AH162" s="197">
        <f t="shared" si="86"/>
        <v>0</v>
      </c>
      <c r="AI162" s="202">
        <f t="shared" si="87"/>
        <v>0</v>
      </c>
      <c r="AK162" s="71">
        <v>157</v>
      </c>
      <c r="AL162" s="33"/>
      <c r="AM162" s="33"/>
      <c r="AN162" s="33"/>
      <c r="AO162" s="33"/>
      <c r="AP162" s="33"/>
      <c r="AQ162" s="197"/>
      <c r="AR162" s="197"/>
      <c r="AS162" s="197"/>
      <c r="AT162" s="197"/>
      <c r="AU162" s="33"/>
      <c r="AV162" s="33"/>
      <c r="AW162" s="33"/>
      <c r="AX162" s="33"/>
      <c r="AY162" s="76"/>
    </row>
    <row r="163" spans="3:51">
      <c r="C163" s="169" t="s">
        <v>38</v>
      </c>
      <c r="D163" s="4">
        <v>0.48</v>
      </c>
      <c r="E163" s="191" t="s">
        <v>229</v>
      </c>
      <c r="I163" s="55">
        <v>158</v>
      </c>
      <c r="J163" s="33">
        <f t="shared" si="78"/>
        <v>0</v>
      </c>
      <c r="K163" s="33">
        <f t="shared" si="79"/>
        <v>0</v>
      </c>
      <c r="L163" s="33">
        <f t="shared" si="80"/>
        <v>0</v>
      </c>
      <c r="M163" s="33">
        <f t="shared" si="81"/>
        <v>0</v>
      </c>
      <c r="N163" s="33">
        <f t="shared" si="67"/>
        <v>0</v>
      </c>
      <c r="O163" s="34">
        <f t="shared" si="68"/>
        <v>0</v>
      </c>
      <c r="P163" s="55">
        <v>158</v>
      </c>
      <c r="Q163" s="33">
        <f t="shared" si="76"/>
        <v>0</v>
      </c>
      <c r="R163" s="33">
        <f t="shared" si="82"/>
        <v>0</v>
      </c>
      <c r="S163" s="33">
        <f t="shared" si="83"/>
        <v>0</v>
      </c>
      <c r="T163" s="33">
        <f t="shared" si="69"/>
        <v>0</v>
      </c>
      <c r="U163" s="33">
        <f t="shared" si="77"/>
        <v>0</v>
      </c>
      <c r="V163" s="33">
        <f t="shared" si="70"/>
        <v>0</v>
      </c>
      <c r="W163" s="33">
        <v>0</v>
      </c>
      <c r="X163" s="33">
        <f t="shared" si="71"/>
        <v>0</v>
      </c>
      <c r="Y163" s="38">
        <f t="shared" si="72"/>
        <v>0</v>
      </c>
      <c r="AA163" s="71">
        <v>158</v>
      </c>
      <c r="AB163" s="33">
        <f t="shared" si="73"/>
        <v>0</v>
      </c>
      <c r="AC163" s="308">
        <f t="shared" si="88"/>
        <v>0</v>
      </c>
      <c r="AD163" s="101">
        <f t="shared" si="74"/>
        <v>0</v>
      </c>
      <c r="AE163" s="101">
        <f t="shared" si="75"/>
        <v>0</v>
      </c>
      <c r="AF163" s="197">
        <f t="shared" si="84"/>
        <v>0</v>
      </c>
      <c r="AG163" s="197">
        <f t="shared" si="85"/>
        <v>0</v>
      </c>
      <c r="AH163" s="197">
        <f t="shared" si="86"/>
        <v>0</v>
      </c>
      <c r="AI163" s="202">
        <f t="shared" si="87"/>
        <v>0</v>
      </c>
      <c r="AK163" s="71">
        <v>158</v>
      </c>
      <c r="AL163" s="33"/>
      <c r="AM163" s="33"/>
      <c r="AN163" s="33"/>
      <c r="AO163" s="33"/>
      <c r="AP163" s="33"/>
      <c r="AQ163" s="197"/>
      <c r="AR163" s="197"/>
      <c r="AS163" s="197"/>
      <c r="AT163" s="197"/>
      <c r="AU163" s="33"/>
      <c r="AV163" s="33"/>
      <c r="AW163" s="33"/>
      <c r="AX163" s="33"/>
      <c r="AY163" s="76"/>
    </row>
    <row r="164" spans="3:51">
      <c r="C164" s="169" t="s">
        <v>39</v>
      </c>
      <c r="D164" s="4">
        <v>0.42</v>
      </c>
      <c r="E164" s="191" t="s">
        <v>229</v>
      </c>
      <c r="I164" s="55">
        <v>159</v>
      </c>
      <c r="J164" s="33">
        <f t="shared" si="78"/>
        <v>0</v>
      </c>
      <c r="K164" s="33">
        <f t="shared" si="79"/>
        <v>0</v>
      </c>
      <c r="L164" s="33">
        <f t="shared" si="80"/>
        <v>0</v>
      </c>
      <c r="M164" s="33">
        <f t="shared" si="81"/>
        <v>0</v>
      </c>
      <c r="N164" s="33">
        <f t="shared" si="67"/>
        <v>0</v>
      </c>
      <c r="O164" s="34">
        <f t="shared" si="68"/>
        <v>0</v>
      </c>
      <c r="P164" s="55">
        <v>159</v>
      </c>
      <c r="Q164" s="33">
        <f t="shared" si="76"/>
        <v>0</v>
      </c>
      <c r="R164" s="33">
        <f t="shared" si="82"/>
        <v>0</v>
      </c>
      <c r="S164" s="33">
        <f t="shared" si="83"/>
        <v>0</v>
      </c>
      <c r="T164" s="33">
        <f t="shared" si="69"/>
        <v>0</v>
      </c>
      <c r="U164" s="33">
        <f t="shared" si="77"/>
        <v>0</v>
      </c>
      <c r="V164" s="33">
        <f t="shared" si="70"/>
        <v>0</v>
      </c>
      <c r="W164" s="33">
        <v>0</v>
      </c>
      <c r="X164" s="33">
        <f t="shared" si="71"/>
        <v>0</v>
      </c>
      <c r="Y164" s="38">
        <f t="shared" si="72"/>
        <v>0</v>
      </c>
      <c r="AA164" s="71">
        <v>159</v>
      </c>
      <c r="AB164" s="33">
        <f t="shared" si="73"/>
        <v>0</v>
      </c>
      <c r="AC164" s="308">
        <f t="shared" si="88"/>
        <v>0</v>
      </c>
      <c r="AD164" s="101">
        <f t="shared" si="74"/>
        <v>0</v>
      </c>
      <c r="AE164" s="101">
        <f t="shared" si="75"/>
        <v>0</v>
      </c>
      <c r="AF164" s="197">
        <f t="shared" si="84"/>
        <v>0</v>
      </c>
      <c r="AG164" s="197">
        <f t="shared" si="85"/>
        <v>0</v>
      </c>
      <c r="AH164" s="197">
        <f t="shared" si="86"/>
        <v>0</v>
      </c>
      <c r="AI164" s="202">
        <f t="shared" si="87"/>
        <v>0</v>
      </c>
      <c r="AK164" s="71">
        <v>159</v>
      </c>
      <c r="AL164" s="33"/>
      <c r="AM164" s="33"/>
      <c r="AN164" s="33"/>
      <c r="AO164" s="33"/>
      <c r="AP164" s="33"/>
      <c r="AQ164" s="197"/>
      <c r="AR164" s="197"/>
      <c r="AS164" s="197"/>
      <c r="AT164" s="197"/>
      <c r="AU164" s="33"/>
      <c r="AV164" s="33"/>
      <c r="AW164" s="33"/>
      <c r="AX164" s="33"/>
      <c r="AY164" s="76"/>
    </row>
    <row r="165" spans="3:51">
      <c r="C165" s="169" t="s">
        <v>40</v>
      </c>
      <c r="D165" s="4">
        <v>0.5</v>
      </c>
      <c r="E165" s="191" t="s">
        <v>228</v>
      </c>
      <c r="I165" s="55">
        <v>160</v>
      </c>
      <c r="J165" s="33">
        <f t="shared" si="78"/>
        <v>0</v>
      </c>
      <c r="K165" s="33">
        <f t="shared" si="79"/>
        <v>0</v>
      </c>
      <c r="L165" s="33">
        <f t="shared" si="80"/>
        <v>0</v>
      </c>
      <c r="M165" s="33">
        <f t="shared" si="81"/>
        <v>0</v>
      </c>
      <c r="N165" s="33">
        <f t="shared" si="67"/>
        <v>0</v>
      </c>
      <c r="O165" s="34">
        <f t="shared" si="68"/>
        <v>0</v>
      </c>
      <c r="P165" s="55">
        <v>160</v>
      </c>
      <c r="Q165" s="33">
        <f t="shared" si="76"/>
        <v>0</v>
      </c>
      <c r="R165" s="33">
        <f t="shared" si="82"/>
        <v>0</v>
      </c>
      <c r="S165" s="33">
        <f t="shared" si="83"/>
        <v>0</v>
      </c>
      <c r="T165" s="33">
        <f t="shared" si="69"/>
        <v>0</v>
      </c>
      <c r="U165" s="33">
        <f t="shared" si="77"/>
        <v>0</v>
      </c>
      <c r="V165" s="33">
        <f t="shared" si="70"/>
        <v>0</v>
      </c>
      <c r="W165" s="33">
        <v>0</v>
      </c>
      <c r="X165" s="33">
        <f t="shared" si="71"/>
        <v>0</v>
      </c>
      <c r="Y165" s="38">
        <f t="shared" si="72"/>
        <v>0</v>
      </c>
      <c r="AA165" s="71">
        <v>160</v>
      </c>
      <c r="AB165" s="33">
        <f t="shared" si="73"/>
        <v>0</v>
      </c>
      <c r="AC165" s="308">
        <f t="shared" si="88"/>
        <v>0</v>
      </c>
      <c r="AD165" s="101">
        <f t="shared" si="74"/>
        <v>0</v>
      </c>
      <c r="AE165" s="101">
        <f t="shared" si="75"/>
        <v>0</v>
      </c>
      <c r="AF165" s="197">
        <f t="shared" si="84"/>
        <v>0</v>
      </c>
      <c r="AG165" s="197">
        <f t="shared" si="85"/>
        <v>0</v>
      </c>
      <c r="AH165" s="197">
        <f t="shared" si="86"/>
        <v>0</v>
      </c>
      <c r="AI165" s="202">
        <f t="shared" si="87"/>
        <v>0</v>
      </c>
      <c r="AK165" s="71">
        <v>160</v>
      </c>
      <c r="AL165" s="33"/>
      <c r="AM165" s="33"/>
      <c r="AN165" s="33"/>
      <c r="AO165" s="33"/>
      <c r="AP165" s="33"/>
      <c r="AQ165" s="197"/>
      <c r="AR165" s="197"/>
      <c r="AS165" s="197"/>
      <c r="AT165" s="197"/>
      <c r="AU165" s="33"/>
      <c r="AV165" s="33"/>
      <c r="AW165" s="33"/>
      <c r="AX165" s="33"/>
      <c r="AY165" s="76"/>
    </row>
    <row r="166" spans="3:51">
      <c r="C166" s="169" t="s">
        <v>41</v>
      </c>
      <c r="D166" s="4">
        <v>0.55000000000000004</v>
      </c>
      <c r="E166" s="191" t="s">
        <v>228</v>
      </c>
      <c r="I166" s="55">
        <v>161</v>
      </c>
      <c r="J166" s="33">
        <f t="shared" si="78"/>
        <v>0</v>
      </c>
      <c r="K166" s="33">
        <f t="shared" si="79"/>
        <v>0</v>
      </c>
      <c r="L166" s="33">
        <f t="shared" si="80"/>
        <v>0</v>
      </c>
      <c r="M166" s="33">
        <f t="shared" si="81"/>
        <v>0</v>
      </c>
      <c r="N166" s="33">
        <f t="shared" si="67"/>
        <v>0</v>
      </c>
      <c r="O166" s="34">
        <f t="shared" si="68"/>
        <v>0</v>
      </c>
      <c r="P166" s="55">
        <v>161</v>
      </c>
      <c r="Q166" s="33">
        <f t="shared" si="76"/>
        <v>0</v>
      </c>
      <c r="R166" s="33">
        <f t="shared" si="82"/>
        <v>0</v>
      </c>
      <c r="S166" s="33">
        <f t="shared" si="83"/>
        <v>0</v>
      </c>
      <c r="T166" s="33">
        <f t="shared" si="69"/>
        <v>0</v>
      </c>
      <c r="U166" s="33">
        <f t="shared" si="77"/>
        <v>0</v>
      </c>
      <c r="V166" s="33">
        <f t="shared" si="70"/>
        <v>0</v>
      </c>
      <c r="W166" s="33">
        <v>0</v>
      </c>
      <c r="X166" s="33">
        <f t="shared" si="71"/>
        <v>0</v>
      </c>
      <c r="Y166" s="38">
        <f t="shared" si="72"/>
        <v>0</v>
      </c>
      <c r="AA166" s="71">
        <v>161</v>
      </c>
      <c r="AB166" s="33">
        <f t="shared" si="73"/>
        <v>0</v>
      </c>
      <c r="AC166" s="308">
        <f t="shared" si="88"/>
        <v>0</v>
      </c>
      <c r="AD166" s="101">
        <f t="shared" si="74"/>
        <v>0</v>
      </c>
      <c r="AE166" s="101">
        <f t="shared" si="75"/>
        <v>0</v>
      </c>
      <c r="AF166" s="197">
        <f t="shared" si="84"/>
        <v>0</v>
      </c>
      <c r="AG166" s="197">
        <f t="shared" si="85"/>
        <v>0</v>
      </c>
      <c r="AH166" s="197">
        <f t="shared" si="86"/>
        <v>0</v>
      </c>
      <c r="AI166" s="202">
        <f t="shared" si="87"/>
        <v>0</v>
      </c>
      <c r="AK166" s="71">
        <v>161</v>
      </c>
      <c r="AL166" s="33"/>
      <c r="AM166" s="33"/>
      <c r="AN166" s="33"/>
      <c r="AO166" s="33"/>
      <c r="AP166" s="33"/>
      <c r="AQ166" s="197"/>
      <c r="AR166" s="197"/>
      <c r="AS166" s="197"/>
      <c r="AT166" s="197"/>
      <c r="AU166" s="33"/>
      <c r="AV166" s="33"/>
      <c r="AW166" s="33"/>
      <c r="AX166" s="33"/>
      <c r="AY166" s="76"/>
    </row>
    <row r="167" spans="3:51">
      <c r="C167" s="169" t="s">
        <v>42</v>
      </c>
      <c r="D167" s="4">
        <v>0.53</v>
      </c>
      <c r="E167" s="191" t="s">
        <v>228</v>
      </c>
      <c r="I167" s="55">
        <v>162</v>
      </c>
      <c r="J167" s="33">
        <f t="shared" si="78"/>
        <v>0</v>
      </c>
      <c r="K167" s="33">
        <f t="shared" si="79"/>
        <v>0</v>
      </c>
      <c r="L167" s="33">
        <f t="shared" si="80"/>
        <v>0</v>
      </c>
      <c r="M167" s="33">
        <f t="shared" si="81"/>
        <v>0</v>
      </c>
      <c r="N167" s="33">
        <f t="shared" si="67"/>
        <v>0</v>
      </c>
      <c r="O167" s="34">
        <f t="shared" si="68"/>
        <v>0</v>
      </c>
      <c r="P167" s="55">
        <v>162</v>
      </c>
      <c r="Q167" s="33">
        <f t="shared" si="76"/>
        <v>0</v>
      </c>
      <c r="R167" s="33">
        <f t="shared" si="82"/>
        <v>0</v>
      </c>
      <c r="S167" s="33">
        <f t="shared" si="83"/>
        <v>0</v>
      </c>
      <c r="T167" s="33">
        <f t="shared" si="69"/>
        <v>0</v>
      </c>
      <c r="U167" s="33">
        <f t="shared" si="77"/>
        <v>0</v>
      </c>
      <c r="V167" s="33">
        <f t="shared" si="70"/>
        <v>0</v>
      </c>
      <c r="W167" s="33">
        <v>0</v>
      </c>
      <c r="X167" s="33">
        <f t="shared" si="71"/>
        <v>0</v>
      </c>
      <c r="Y167" s="38">
        <f t="shared" si="72"/>
        <v>0</v>
      </c>
      <c r="AA167" s="71">
        <v>162</v>
      </c>
      <c r="AB167" s="33">
        <f t="shared" si="73"/>
        <v>0</v>
      </c>
      <c r="AC167" s="308">
        <f t="shared" si="88"/>
        <v>0</v>
      </c>
      <c r="AD167" s="101">
        <f t="shared" si="74"/>
        <v>0</v>
      </c>
      <c r="AE167" s="101">
        <f t="shared" si="75"/>
        <v>0</v>
      </c>
      <c r="AF167" s="197">
        <f t="shared" si="84"/>
        <v>0</v>
      </c>
      <c r="AG167" s="197">
        <f t="shared" si="85"/>
        <v>0</v>
      </c>
      <c r="AH167" s="197">
        <f t="shared" si="86"/>
        <v>0</v>
      </c>
      <c r="AI167" s="202">
        <f t="shared" si="87"/>
        <v>0</v>
      </c>
      <c r="AK167" s="71">
        <v>162</v>
      </c>
      <c r="AL167" s="33"/>
      <c r="AM167" s="33"/>
      <c r="AN167" s="33"/>
      <c r="AO167" s="33"/>
      <c r="AP167" s="33"/>
      <c r="AQ167" s="197"/>
      <c r="AR167" s="197"/>
      <c r="AS167" s="197"/>
      <c r="AT167" s="197"/>
      <c r="AU167" s="33"/>
      <c r="AV167" s="33"/>
      <c r="AW167" s="33"/>
      <c r="AX167" s="33"/>
      <c r="AY167" s="76"/>
    </row>
    <row r="168" spans="3:51">
      <c r="C168" s="169" t="s">
        <v>43</v>
      </c>
      <c r="D168" s="4">
        <v>0.52</v>
      </c>
      <c r="E168" s="191" t="s">
        <v>228</v>
      </c>
      <c r="I168" s="55">
        <v>163</v>
      </c>
      <c r="J168" s="33">
        <f t="shared" si="78"/>
        <v>0</v>
      </c>
      <c r="K168" s="33">
        <f t="shared" si="79"/>
        <v>0</v>
      </c>
      <c r="L168" s="33">
        <f t="shared" si="80"/>
        <v>0</v>
      </c>
      <c r="M168" s="33">
        <f t="shared" si="81"/>
        <v>0</v>
      </c>
      <c r="N168" s="33">
        <f t="shared" si="67"/>
        <v>0</v>
      </c>
      <c r="O168" s="34">
        <f t="shared" si="68"/>
        <v>0</v>
      </c>
      <c r="P168" s="55">
        <v>163</v>
      </c>
      <c r="Q168" s="33">
        <f t="shared" si="76"/>
        <v>0</v>
      </c>
      <c r="R168" s="33">
        <f t="shared" si="82"/>
        <v>0</v>
      </c>
      <c r="S168" s="33">
        <f t="shared" si="83"/>
        <v>0</v>
      </c>
      <c r="T168" s="33">
        <f t="shared" si="69"/>
        <v>0</v>
      </c>
      <c r="U168" s="33">
        <f t="shared" si="77"/>
        <v>0</v>
      </c>
      <c r="V168" s="33">
        <f t="shared" si="70"/>
        <v>0</v>
      </c>
      <c r="W168" s="33">
        <v>0</v>
      </c>
      <c r="X168" s="33">
        <f t="shared" si="71"/>
        <v>0</v>
      </c>
      <c r="Y168" s="38">
        <f t="shared" si="72"/>
        <v>0</v>
      </c>
      <c r="AA168" s="71">
        <v>163</v>
      </c>
      <c r="AB168" s="33">
        <f t="shared" si="73"/>
        <v>0</v>
      </c>
      <c r="AC168" s="308">
        <f t="shared" si="88"/>
        <v>0</v>
      </c>
      <c r="AD168" s="101">
        <f t="shared" si="74"/>
        <v>0</v>
      </c>
      <c r="AE168" s="101">
        <f t="shared" si="75"/>
        <v>0</v>
      </c>
      <c r="AF168" s="197">
        <f t="shared" si="84"/>
        <v>0</v>
      </c>
      <c r="AG168" s="197">
        <f t="shared" si="85"/>
        <v>0</v>
      </c>
      <c r="AH168" s="197">
        <f t="shared" si="86"/>
        <v>0</v>
      </c>
      <c r="AI168" s="202">
        <f t="shared" si="87"/>
        <v>0</v>
      </c>
      <c r="AK168" s="71">
        <v>163</v>
      </c>
      <c r="AL168" s="33"/>
      <c r="AM168" s="33"/>
      <c r="AN168" s="33"/>
      <c r="AO168" s="33"/>
      <c r="AP168" s="33"/>
      <c r="AQ168" s="197"/>
      <c r="AR168" s="197"/>
      <c r="AS168" s="197"/>
      <c r="AT168" s="197"/>
      <c r="AU168" s="33"/>
      <c r="AV168" s="33"/>
      <c r="AW168" s="33"/>
      <c r="AX168" s="33"/>
      <c r="AY168" s="76"/>
    </row>
    <row r="169" spans="3:51">
      <c r="C169" s="169" t="s">
        <v>44</v>
      </c>
      <c r="D169" s="4">
        <v>0.52</v>
      </c>
      <c r="E169" s="191" t="s">
        <v>228</v>
      </c>
      <c r="I169" s="55">
        <v>164</v>
      </c>
      <c r="J169" s="33">
        <f t="shared" si="78"/>
        <v>0</v>
      </c>
      <c r="K169" s="33">
        <f t="shared" si="79"/>
        <v>0</v>
      </c>
      <c r="L169" s="33">
        <f t="shared" si="80"/>
        <v>0</v>
      </c>
      <c r="M169" s="33">
        <f t="shared" si="81"/>
        <v>0</v>
      </c>
      <c r="N169" s="33">
        <f t="shared" si="67"/>
        <v>0</v>
      </c>
      <c r="O169" s="34">
        <f t="shared" si="68"/>
        <v>0</v>
      </c>
      <c r="P169" s="55">
        <v>164</v>
      </c>
      <c r="Q169" s="33">
        <f t="shared" si="76"/>
        <v>0</v>
      </c>
      <c r="R169" s="33">
        <f t="shared" si="82"/>
        <v>0</v>
      </c>
      <c r="S169" s="33">
        <f t="shared" si="83"/>
        <v>0</v>
      </c>
      <c r="T169" s="33">
        <f t="shared" si="69"/>
        <v>0</v>
      </c>
      <c r="U169" s="33">
        <f t="shared" si="77"/>
        <v>0</v>
      </c>
      <c r="V169" s="33">
        <f t="shared" si="70"/>
        <v>0</v>
      </c>
      <c r="W169" s="33">
        <v>0</v>
      </c>
      <c r="X169" s="33">
        <f t="shared" si="71"/>
        <v>0</v>
      </c>
      <c r="Y169" s="38">
        <f t="shared" si="72"/>
        <v>0</v>
      </c>
      <c r="AA169" s="71">
        <v>164</v>
      </c>
      <c r="AB169" s="33">
        <f t="shared" si="73"/>
        <v>0</v>
      </c>
      <c r="AC169" s="308">
        <f t="shared" si="88"/>
        <v>0</v>
      </c>
      <c r="AD169" s="101">
        <f t="shared" si="74"/>
        <v>0</v>
      </c>
      <c r="AE169" s="101">
        <f t="shared" si="75"/>
        <v>0</v>
      </c>
      <c r="AF169" s="197">
        <f t="shared" si="84"/>
        <v>0</v>
      </c>
      <c r="AG169" s="197">
        <f t="shared" si="85"/>
        <v>0</v>
      </c>
      <c r="AH169" s="197">
        <f t="shared" si="86"/>
        <v>0</v>
      </c>
      <c r="AI169" s="202">
        <f t="shared" si="87"/>
        <v>0</v>
      </c>
      <c r="AK169" s="71">
        <v>164</v>
      </c>
      <c r="AL169" s="33"/>
      <c r="AM169" s="33"/>
      <c r="AN169" s="33"/>
      <c r="AO169" s="33"/>
      <c r="AP169" s="33"/>
      <c r="AQ169" s="197"/>
      <c r="AR169" s="197"/>
      <c r="AS169" s="197"/>
      <c r="AT169" s="197"/>
      <c r="AU169" s="33"/>
      <c r="AV169" s="33"/>
      <c r="AW169" s="33"/>
      <c r="AX169" s="33"/>
      <c r="AY169" s="76"/>
    </row>
    <row r="170" spans="3:51">
      <c r="C170" s="169" t="s">
        <v>45</v>
      </c>
      <c r="D170" s="4">
        <v>0.75</v>
      </c>
      <c r="E170" s="191" t="s">
        <v>228</v>
      </c>
      <c r="I170" s="55">
        <v>165</v>
      </c>
      <c r="J170" s="33">
        <f t="shared" si="78"/>
        <v>0</v>
      </c>
      <c r="K170" s="33">
        <f t="shared" si="79"/>
        <v>0</v>
      </c>
      <c r="L170" s="33">
        <f t="shared" si="80"/>
        <v>0</v>
      </c>
      <c r="M170" s="33">
        <f t="shared" si="81"/>
        <v>0</v>
      </c>
      <c r="N170" s="33">
        <f t="shared" si="67"/>
        <v>0</v>
      </c>
      <c r="O170" s="34">
        <f t="shared" si="68"/>
        <v>0</v>
      </c>
      <c r="P170" s="55">
        <v>165</v>
      </c>
      <c r="Q170" s="33">
        <f t="shared" si="76"/>
        <v>0</v>
      </c>
      <c r="R170" s="33">
        <f t="shared" si="82"/>
        <v>0</v>
      </c>
      <c r="S170" s="33">
        <f t="shared" si="83"/>
        <v>0</v>
      </c>
      <c r="T170" s="33">
        <f t="shared" si="69"/>
        <v>0</v>
      </c>
      <c r="U170" s="33">
        <f t="shared" si="77"/>
        <v>0</v>
      </c>
      <c r="V170" s="33">
        <f t="shared" si="70"/>
        <v>0</v>
      </c>
      <c r="W170" s="33">
        <v>0</v>
      </c>
      <c r="X170" s="33">
        <f t="shared" si="71"/>
        <v>0</v>
      </c>
      <c r="Y170" s="38">
        <f t="shared" si="72"/>
        <v>0</v>
      </c>
      <c r="AA170" s="71">
        <v>165</v>
      </c>
      <c r="AB170" s="33">
        <f t="shared" si="73"/>
        <v>0</v>
      </c>
      <c r="AC170" s="308">
        <f t="shared" si="88"/>
        <v>0</v>
      </c>
      <c r="AD170" s="101">
        <f t="shared" si="74"/>
        <v>0</v>
      </c>
      <c r="AE170" s="101">
        <f t="shared" si="75"/>
        <v>0</v>
      </c>
      <c r="AF170" s="197">
        <f t="shared" si="84"/>
        <v>0</v>
      </c>
      <c r="AG170" s="197">
        <f t="shared" si="85"/>
        <v>0</v>
      </c>
      <c r="AH170" s="197">
        <f t="shared" si="86"/>
        <v>0</v>
      </c>
      <c r="AI170" s="202">
        <f t="shared" si="87"/>
        <v>0</v>
      </c>
      <c r="AK170" s="71">
        <v>165</v>
      </c>
      <c r="AL170" s="33"/>
      <c r="AM170" s="33"/>
      <c r="AN170" s="33"/>
      <c r="AO170" s="33"/>
      <c r="AP170" s="33"/>
      <c r="AQ170" s="197"/>
      <c r="AR170" s="197"/>
      <c r="AS170" s="197"/>
      <c r="AT170" s="197"/>
      <c r="AU170" s="33"/>
      <c r="AV170" s="33"/>
      <c r="AW170" s="33"/>
      <c r="AX170" s="33"/>
      <c r="AY170" s="76"/>
    </row>
    <row r="171" spans="3:51">
      <c r="C171" s="169" t="s">
        <v>46</v>
      </c>
      <c r="D171" s="4">
        <v>0.52</v>
      </c>
      <c r="E171" s="191" t="s">
        <v>228</v>
      </c>
      <c r="I171" s="55">
        <v>166</v>
      </c>
      <c r="J171" s="33">
        <f t="shared" si="78"/>
        <v>0</v>
      </c>
      <c r="K171" s="33">
        <f t="shared" si="79"/>
        <v>0</v>
      </c>
      <c r="L171" s="33">
        <f t="shared" si="80"/>
        <v>0</v>
      </c>
      <c r="M171" s="33">
        <f t="shared" si="81"/>
        <v>0</v>
      </c>
      <c r="N171" s="33">
        <f t="shared" si="67"/>
        <v>0</v>
      </c>
      <c r="O171" s="34">
        <f t="shared" si="68"/>
        <v>0</v>
      </c>
      <c r="P171" s="55">
        <v>166</v>
      </c>
      <c r="Q171" s="33">
        <f t="shared" si="76"/>
        <v>0</v>
      </c>
      <c r="R171" s="33">
        <f t="shared" si="82"/>
        <v>0</v>
      </c>
      <c r="S171" s="33">
        <f t="shared" si="83"/>
        <v>0</v>
      </c>
      <c r="T171" s="33">
        <f t="shared" si="69"/>
        <v>0</v>
      </c>
      <c r="U171" s="33">
        <f t="shared" si="77"/>
        <v>0</v>
      </c>
      <c r="V171" s="33">
        <f t="shared" si="70"/>
        <v>0</v>
      </c>
      <c r="W171" s="33">
        <v>0</v>
      </c>
      <c r="X171" s="33">
        <f t="shared" si="71"/>
        <v>0</v>
      </c>
      <c r="Y171" s="38">
        <f t="shared" si="72"/>
        <v>0</v>
      </c>
      <c r="AA171" s="71">
        <v>166</v>
      </c>
      <c r="AB171" s="33">
        <f t="shared" si="73"/>
        <v>0</v>
      </c>
      <c r="AC171" s="308">
        <f t="shared" si="88"/>
        <v>0</v>
      </c>
      <c r="AD171" s="101">
        <f t="shared" si="74"/>
        <v>0</v>
      </c>
      <c r="AE171" s="101">
        <f t="shared" si="75"/>
        <v>0</v>
      </c>
      <c r="AF171" s="197">
        <f t="shared" si="84"/>
        <v>0</v>
      </c>
      <c r="AG171" s="197">
        <f t="shared" si="85"/>
        <v>0</v>
      </c>
      <c r="AH171" s="197">
        <f t="shared" si="86"/>
        <v>0</v>
      </c>
      <c r="AI171" s="202">
        <f t="shared" si="87"/>
        <v>0</v>
      </c>
      <c r="AK171" s="71">
        <v>166</v>
      </c>
      <c r="AL171" s="33"/>
      <c r="AM171" s="33"/>
      <c r="AN171" s="33"/>
      <c r="AO171" s="33"/>
      <c r="AP171" s="33"/>
      <c r="AQ171" s="197"/>
      <c r="AR171" s="197"/>
      <c r="AS171" s="197"/>
      <c r="AT171" s="197"/>
      <c r="AU171" s="33"/>
      <c r="AV171" s="33"/>
      <c r="AW171" s="33"/>
      <c r="AX171" s="33"/>
      <c r="AY171" s="76"/>
    </row>
    <row r="172" spans="3:51">
      <c r="C172" s="169" t="s">
        <v>47</v>
      </c>
      <c r="D172" s="4">
        <v>0.35</v>
      </c>
      <c r="E172" s="191" t="s">
        <v>230</v>
      </c>
      <c r="I172" s="55">
        <v>167</v>
      </c>
      <c r="J172" s="33">
        <f t="shared" si="78"/>
        <v>0</v>
      </c>
      <c r="K172" s="33">
        <f t="shared" si="79"/>
        <v>0</v>
      </c>
      <c r="L172" s="33">
        <f t="shared" si="80"/>
        <v>0</v>
      </c>
      <c r="M172" s="33">
        <f t="shared" si="81"/>
        <v>0</v>
      </c>
      <c r="N172" s="33">
        <f t="shared" si="67"/>
        <v>0</v>
      </c>
      <c r="O172" s="34">
        <f t="shared" si="68"/>
        <v>0</v>
      </c>
      <c r="P172" s="55">
        <v>167</v>
      </c>
      <c r="Q172" s="33">
        <f t="shared" si="76"/>
        <v>0</v>
      </c>
      <c r="R172" s="33">
        <f t="shared" si="82"/>
        <v>0</v>
      </c>
      <c r="S172" s="33">
        <f t="shared" si="83"/>
        <v>0</v>
      </c>
      <c r="T172" s="33">
        <f t="shared" si="69"/>
        <v>0</v>
      </c>
      <c r="U172" s="33">
        <f t="shared" si="77"/>
        <v>0</v>
      </c>
      <c r="V172" s="33">
        <f t="shared" si="70"/>
        <v>0</v>
      </c>
      <c r="W172" s="33">
        <v>0</v>
      </c>
      <c r="X172" s="33">
        <f t="shared" si="71"/>
        <v>0</v>
      </c>
      <c r="Y172" s="38">
        <f t="shared" si="72"/>
        <v>0</v>
      </c>
      <c r="AA172" s="71">
        <v>167</v>
      </c>
      <c r="AB172" s="33">
        <f t="shared" si="73"/>
        <v>0</v>
      </c>
      <c r="AC172" s="308">
        <f t="shared" si="88"/>
        <v>0</v>
      </c>
      <c r="AD172" s="101">
        <f t="shared" si="74"/>
        <v>0</v>
      </c>
      <c r="AE172" s="101">
        <f t="shared" si="75"/>
        <v>0</v>
      </c>
      <c r="AF172" s="197">
        <f t="shared" si="84"/>
        <v>0</v>
      </c>
      <c r="AG172" s="197">
        <f t="shared" si="85"/>
        <v>0</v>
      </c>
      <c r="AH172" s="197">
        <f t="shared" si="86"/>
        <v>0</v>
      </c>
      <c r="AI172" s="202">
        <f t="shared" si="87"/>
        <v>0</v>
      </c>
      <c r="AK172" s="71">
        <v>167</v>
      </c>
      <c r="AL172" s="33"/>
      <c r="AM172" s="33"/>
      <c r="AN172" s="33"/>
      <c r="AO172" s="33"/>
      <c r="AP172" s="33"/>
      <c r="AQ172" s="197"/>
      <c r="AR172" s="197"/>
      <c r="AS172" s="197"/>
      <c r="AT172" s="197"/>
      <c r="AU172" s="33"/>
      <c r="AV172" s="33"/>
      <c r="AW172" s="33"/>
      <c r="AX172" s="33"/>
      <c r="AY172" s="76"/>
    </row>
    <row r="173" spans="3:51">
      <c r="C173" s="169" t="s">
        <v>48</v>
      </c>
      <c r="D173" s="4">
        <v>0.37</v>
      </c>
      <c r="E173" s="191" t="s">
        <v>228</v>
      </c>
      <c r="I173" s="55">
        <v>168</v>
      </c>
      <c r="J173" s="33">
        <f t="shared" si="78"/>
        <v>0</v>
      </c>
      <c r="K173" s="33">
        <f t="shared" si="79"/>
        <v>0</v>
      </c>
      <c r="L173" s="33">
        <f t="shared" si="80"/>
        <v>0</v>
      </c>
      <c r="M173" s="33">
        <f t="shared" si="81"/>
        <v>0</v>
      </c>
      <c r="N173" s="33">
        <f t="shared" si="67"/>
        <v>0</v>
      </c>
      <c r="O173" s="34">
        <f t="shared" si="68"/>
        <v>0</v>
      </c>
      <c r="P173" s="55">
        <v>168</v>
      </c>
      <c r="Q173" s="33">
        <f t="shared" si="76"/>
        <v>0</v>
      </c>
      <c r="R173" s="33">
        <f t="shared" si="82"/>
        <v>0</v>
      </c>
      <c r="S173" s="33">
        <f t="shared" si="83"/>
        <v>0</v>
      </c>
      <c r="T173" s="33">
        <f t="shared" si="69"/>
        <v>0</v>
      </c>
      <c r="U173" s="33">
        <f t="shared" si="77"/>
        <v>0</v>
      </c>
      <c r="V173" s="33">
        <f t="shared" si="70"/>
        <v>0</v>
      </c>
      <c r="W173" s="33">
        <v>0</v>
      </c>
      <c r="X173" s="33">
        <f t="shared" si="71"/>
        <v>0</v>
      </c>
      <c r="Y173" s="38">
        <f t="shared" si="72"/>
        <v>0</v>
      </c>
      <c r="AA173" s="71">
        <v>168</v>
      </c>
      <c r="AB173" s="33">
        <f t="shared" si="73"/>
        <v>0</v>
      </c>
      <c r="AC173" s="308">
        <f t="shared" si="88"/>
        <v>0</v>
      </c>
      <c r="AD173" s="101">
        <f t="shared" si="74"/>
        <v>0</v>
      </c>
      <c r="AE173" s="101">
        <f t="shared" si="75"/>
        <v>0</v>
      </c>
      <c r="AF173" s="197">
        <f t="shared" si="84"/>
        <v>0</v>
      </c>
      <c r="AG173" s="197">
        <f t="shared" si="85"/>
        <v>0</v>
      </c>
      <c r="AH173" s="197">
        <f t="shared" si="86"/>
        <v>0</v>
      </c>
      <c r="AI173" s="202">
        <f t="shared" si="87"/>
        <v>0</v>
      </c>
      <c r="AK173" s="71">
        <v>168</v>
      </c>
      <c r="AL173" s="33"/>
      <c r="AM173" s="33"/>
      <c r="AN173" s="33"/>
      <c r="AO173" s="33"/>
      <c r="AP173" s="33"/>
      <c r="AQ173" s="197"/>
      <c r="AR173" s="197"/>
      <c r="AS173" s="197"/>
      <c r="AT173" s="197"/>
      <c r="AU173" s="33"/>
      <c r="AV173" s="33"/>
      <c r="AW173" s="33"/>
      <c r="AX173" s="33"/>
      <c r="AY173" s="76"/>
    </row>
    <row r="174" spans="3:51">
      <c r="C174" s="169" t="s">
        <v>49</v>
      </c>
      <c r="D174" s="4">
        <v>0.45</v>
      </c>
      <c r="E174" s="191" t="s">
        <v>229</v>
      </c>
      <c r="I174" s="55">
        <v>169</v>
      </c>
      <c r="J174" s="33">
        <f t="shared" si="78"/>
        <v>0</v>
      </c>
      <c r="K174" s="33">
        <f t="shared" si="79"/>
        <v>0</v>
      </c>
      <c r="L174" s="33">
        <f t="shared" si="80"/>
        <v>0</v>
      </c>
      <c r="M174" s="33">
        <f t="shared" si="81"/>
        <v>0</v>
      </c>
      <c r="N174" s="33">
        <f t="shared" si="67"/>
        <v>0</v>
      </c>
      <c r="O174" s="34">
        <f t="shared" si="68"/>
        <v>0</v>
      </c>
      <c r="P174" s="55">
        <v>169</v>
      </c>
      <c r="Q174" s="33">
        <f t="shared" si="76"/>
        <v>0</v>
      </c>
      <c r="R174" s="33">
        <f t="shared" si="82"/>
        <v>0</v>
      </c>
      <c r="S174" s="33">
        <f t="shared" si="83"/>
        <v>0</v>
      </c>
      <c r="T174" s="33">
        <f t="shared" si="69"/>
        <v>0</v>
      </c>
      <c r="U174" s="33">
        <f t="shared" si="77"/>
        <v>0</v>
      </c>
      <c r="V174" s="33">
        <f t="shared" si="70"/>
        <v>0</v>
      </c>
      <c r="W174" s="33">
        <v>0</v>
      </c>
      <c r="X174" s="33">
        <f t="shared" si="71"/>
        <v>0</v>
      </c>
      <c r="Y174" s="38">
        <f t="shared" si="72"/>
        <v>0</v>
      </c>
      <c r="AA174" s="71">
        <v>169</v>
      </c>
      <c r="AB174" s="33">
        <f t="shared" si="73"/>
        <v>0</v>
      </c>
      <c r="AC174" s="308">
        <f t="shared" si="88"/>
        <v>0</v>
      </c>
      <c r="AD174" s="101">
        <f t="shared" si="74"/>
        <v>0</v>
      </c>
      <c r="AE174" s="101">
        <f t="shared" si="75"/>
        <v>0</v>
      </c>
      <c r="AF174" s="197">
        <f t="shared" si="84"/>
        <v>0</v>
      </c>
      <c r="AG174" s="197">
        <f t="shared" si="85"/>
        <v>0</v>
      </c>
      <c r="AH174" s="197">
        <f t="shared" si="86"/>
        <v>0</v>
      </c>
      <c r="AI174" s="202">
        <f t="shared" si="87"/>
        <v>0</v>
      </c>
      <c r="AK174" s="71">
        <v>169</v>
      </c>
      <c r="AL174" s="33"/>
      <c r="AM174" s="33"/>
      <c r="AN174" s="33"/>
      <c r="AO174" s="33"/>
      <c r="AP174" s="33"/>
      <c r="AQ174" s="197"/>
      <c r="AR174" s="197"/>
      <c r="AS174" s="197"/>
      <c r="AT174" s="197"/>
      <c r="AU174" s="33"/>
      <c r="AV174" s="33"/>
      <c r="AW174" s="33"/>
      <c r="AX174" s="33"/>
      <c r="AY174" s="76"/>
    </row>
    <row r="175" spans="3:51">
      <c r="C175" s="169" t="s">
        <v>50</v>
      </c>
      <c r="D175" s="4">
        <v>0.39</v>
      </c>
      <c r="E175" s="191" t="s">
        <v>229</v>
      </c>
      <c r="I175" s="55">
        <v>170</v>
      </c>
      <c r="J175" s="33">
        <f t="shared" si="78"/>
        <v>0</v>
      </c>
      <c r="K175" s="33">
        <f t="shared" si="79"/>
        <v>0</v>
      </c>
      <c r="L175" s="33">
        <f t="shared" si="80"/>
        <v>0</v>
      </c>
      <c r="M175" s="33">
        <f t="shared" si="81"/>
        <v>0</v>
      </c>
      <c r="N175" s="33">
        <f t="shared" si="67"/>
        <v>0</v>
      </c>
      <c r="O175" s="34">
        <f t="shared" si="68"/>
        <v>0</v>
      </c>
      <c r="P175" s="55">
        <v>170</v>
      </c>
      <c r="Q175" s="33">
        <f t="shared" si="76"/>
        <v>0</v>
      </c>
      <c r="R175" s="33">
        <f t="shared" si="82"/>
        <v>0</v>
      </c>
      <c r="S175" s="33">
        <f t="shared" si="83"/>
        <v>0</v>
      </c>
      <c r="T175" s="33">
        <f t="shared" si="69"/>
        <v>0</v>
      </c>
      <c r="U175" s="33">
        <f t="shared" si="77"/>
        <v>0</v>
      </c>
      <c r="V175" s="33">
        <f t="shared" si="70"/>
        <v>0</v>
      </c>
      <c r="W175" s="33">
        <v>0</v>
      </c>
      <c r="X175" s="33">
        <f t="shared" si="71"/>
        <v>0</v>
      </c>
      <c r="Y175" s="38">
        <f t="shared" si="72"/>
        <v>0</v>
      </c>
      <c r="AA175" s="71">
        <v>170</v>
      </c>
      <c r="AB175" s="33">
        <f t="shared" si="73"/>
        <v>0</v>
      </c>
      <c r="AC175" s="308">
        <f t="shared" si="88"/>
        <v>0</v>
      </c>
      <c r="AD175" s="101">
        <f t="shared" si="74"/>
        <v>0</v>
      </c>
      <c r="AE175" s="101">
        <f t="shared" si="75"/>
        <v>0</v>
      </c>
      <c r="AF175" s="197">
        <f t="shared" si="84"/>
        <v>0</v>
      </c>
      <c r="AG175" s="197">
        <f t="shared" si="85"/>
        <v>0</v>
      </c>
      <c r="AH175" s="197">
        <f t="shared" si="86"/>
        <v>0</v>
      </c>
      <c r="AI175" s="202">
        <f t="shared" si="87"/>
        <v>0</v>
      </c>
      <c r="AK175" s="71">
        <v>170</v>
      </c>
      <c r="AL175" s="33"/>
      <c r="AM175" s="33"/>
      <c r="AN175" s="33"/>
      <c r="AO175" s="33"/>
      <c r="AP175" s="33"/>
      <c r="AQ175" s="197"/>
      <c r="AR175" s="197"/>
      <c r="AS175" s="197"/>
      <c r="AT175" s="197"/>
      <c r="AU175" s="33"/>
      <c r="AV175" s="33"/>
      <c r="AW175" s="33"/>
      <c r="AX175" s="33"/>
      <c r="AY175" s="76"/>
    </row>
    <row r="176" spans="3:51">
      <c r="C176" s="169" t="s">
        <v>51</v>
      </c>
      <c r="D176" s="4">
        <v>0.44</v>
      </c>
      <c r="E176" s="191" t="s">
        <v>229</v>
      </c>
      <c r="I176" s="55">
        <v>171</v>
      </c>
      <c r="J176" s="33">
        <f t="shared" si="78"/>
        <v>0</v>
      </c>
      <c r="K176" s="33">
        <f t="shared" si="79"/>
        <v>0</v>
      </c>
      <c r="L176" s="33">
        <f t="shared" si="80"/>
        <v>0</v>
      </c>
      <c r="M176" s="33">
        <f t="shared" si="81"/>
        <v>0</v>
      </c>
      <c r="N176" s="33">
        <f t="shared" si="67"/>
        <v>0</v>
      </c>
      <c r="O176" s="34">
        <f t="shared" si="68"/>
        <v>0</v>
      </c>
      <c r="P176" s="55">
        <v>171</v>
      </c>
      <c r="Q176" s="33">
        <f t="shared" si="76"/>
        <v>0</v>
      </c>
      <c r="R176" s="33">
        <f t="shared" si="82"/>
        <v>0</v>
      </c>
      <c r="S176" s="33">
        <f t="shared" si="83"/>
        <v>0</v>
      </c>
      <c r="T176" s="33">
        <f t="shared" si="69"/>
        <v>0</v>
      </c>
      <c r="U176" s="33">
        <f t="shared" si="77"/>
        <v>0</v>
      </c>
      <c r="V176" s="33">
        <f t="shared" si="70"/>
        <v>0</v>
      </c>
      <c r="W176" s="33">
        <v>0</v>
      </c>
      <c r="X176" s="33">
        <f t="shared" si="71"/>
        <v>0</v>
      </c>
      <c r="Y176" s="38">
        <f t="shared" si="72"/>
        <v>0</v>
      </c>
      <c r="AA176" s="71">
        <v>171</v>
      </c>
      <c r="AB176" s="33">
        <f t="shared" si="73"/>
        <v>0</v>
      </c>
      <c r="AC176" s="308">
        <f t="shared" si="88"/>
        <v>0</v>
      </c>
      <c r="AD176" s="101">
        <f t="shared" si="74"/>
        <v>0</v>
      </c>
      <c r="AE176" s="101">
        <f t="shared" si="75"/>
        <v>0</v>
      </c>
      <c r="AF176" s="197">
        <f t="shared" si="84"/>
        <v>0</v>
      </c>
      <c r="AG176" s="197">
        <f t="shared" si="85"/>
        <v>0</v>
      </c>
      <c r="AH176" s="197">
        <f t="shared" si="86"/>
        <v>0</v>
      </c>
      <c r="AI176" s="202">
        <f t="shared" si="87"/>
        <v>0</v>
      </c>
      <c r="AK176" s="71">
        <v>171</v>
      </c>
      <c r="AL176" s="33"/>
      <c r="AM176" s="33"/>
      <c r="AN176" s="33"/>
      <c r="AO176" s="33"/>
      <c r="AP176" s="33"/>
      <c r="AQ176" s="197"/>
      <c r="AR176" s="197"/>
      <c r="AS176" s="197"/>
      <c r="AT176" s="197"/>
      <c r="AU176" s="33"/>
      <c r="AV176" s="33"/>
      <c r="AW176" s="33"/>
      <c r="AX176" s="33"/>
      <c r="AY176" s="76"/>
    </row>
    <row r="177" spans="3:51">
      <c r="C177" s="169" t="s">
        <v>52</v>
      </c>
      <c r="D177" s="4">
        <v>0.46</v>
      </c>
      <c r="E177" s="191" t="s">
        <v>229</v>
      </c>
      <c r="I177" s="55">
        <v>172</v>
      </c>
      <c r="J177" s="33">
        <f t="shared" si="78"/>
        <v>0</v>
      </c>
      <c r="K177" s="33">
        <f t="shared" si="79"/>
        <v>0</v>
      </c>
      <c r="L177" s="33">
        <f t="shared" si="80"/>
        <v>0</v>
      </c>
      <c r="M177" s="33">
        <f t="shared" si="81"/>
        <v>0</v>
      </c>
      <c r="N177" s="33">
        <f t="shared" si="67"/>
        <v>0</v>
      </c>
      <c r="O177" s="34">
        <f t="shared" si="68"/>
        <v>0</v>
      </c>
      <c r="P177" s="55">
        <v>172</v>
      </c>
      <c r="Q177" s="33">
        <f t="shared" si="76"/>
        <v>0</v>
      </c>
      <c r="R177" s="33">
        <f t="shared" si="82"/>
        <v>0</v>
      </c>
      <c r="S177" s="33">
        <f t="shared" si="83"/>
        <v>0</v>
      </c>
      <c r="T177" s="33">
        <f t="shared" si="69"/>
        <v>0</v>
      </c>
      <c r="U177" s="33">
        <f t="shared" si="77"/>
        <v>0</v>
      </c>
      <c r="V177" s="33">
        <f t="shared" si="70"/>
        <v>0</v>
      </c>
      <c r="W177" s="33">
        <v>0</v>
      </c>
      <c r="X177" s="33">
        <f t="shared" si="71"/>
        <v>0</v>
      </c>
      <c r="Y177" s="38">
        <f t="shared" si="72"/>
        <v>0</v>
      </c>
      <c r="AA177" s="71">
        <v>172</v>
      </c>
      <c r="AB177" s="33">
        <f t="shared" si="73"/>
        <v>0</v>
      </c>
      <c r="AC177" s="308">
        <f t="shared" si="88"/>
        <v>0</v>
      </c>
      <c r="AD177" s="101">
        <f t="shared" si="74"/>
        <v>0</v>
      </c>
      <c r="AE177" s="101">
        <f t="shared" si="75"/>
        <v>0</v>
      </c>
      <c r="AF177" s="197">
        <f t="shared" si="84"/>
        <v>0</v>
      </c>
      <c r="AG177" s="197">
        <f t="shared" si="85"/>
        <v>0</v>
      </c>
      <c r="AH177" s="197">
        <f t="shared" si="86"/>
        <v>0</v>
      </c>
      <c r="AI177" s="202">
        <f t="shared" si="87"/>
        <v>0</v>
      </c>
      <c r="AK177" s="71">
        <v>172</v>
      </c>
      <c r="AL177" s="33"/>
      <c r="AM177" s="33"/>
      <c r="AN177" s="33"/>
      <c r="AO177" s="33"/>
      <c r="AP177" s="33"/>
      <c r="AQ177" s="197"/>
      <c r="AR177" s="197"/>
      <c r="AS177" s="197"/>
      <c r="AT177" s="197"/>
      <c r="AU177" s="33"/>
      <c r="AV177" s="33"/>
      <c r="AW177" s="33"/>
      <c r="AX177" s="33"/>
      <c r="AY177" s="76"/>
    </row>
    <row r="178" spans="3:51" ht="30">
      <c r="C178" s="169" t="s">
        <v>53</v>
      </c>
      <c r="D178" s="4">
        <v>0.46</v>
      </c>
      <c r="E178" s="191" t="s">
        <v>231</v>
      </c>
      <c r="I178" s="55">
        <v>173</v>
      </c>
      <c r="J178" s="33">
        <f t="shared" si="78"/>
        <v>0</v>
      </c>
      <c r="K178" s="33">
        <f t="shared" si="79"/>
        <v>0</v>
      </c>
      <c r="L178" s="33">
        <f t="shared" si="80"/>
        <v>0</v>
      </c>
      <c r="M178" s="33">
        <f t="shared" si="81"/>
        <v>0</v>
      </c>
      <c r="N178" s="33">
        <f t="shared" si="67"/>
        <v>0</v>
      </c>
      <c r="O178" s="34">
        <f t="shared" si="68"/>
        <v>0</v>
      </c>
      <c r="P178" s="55">
        <v>173</v>
      </c>
      <c r="Q178" s="33">
        <f t="shared" si="76"/>
        <v>0</v>
      </c>
      <c r="R178" s="33">
        <f t="shared" si="82"/>
        <v>0</v>
      </c>
      <c r="S178" s="33">
        <f t="shared" si="83"/>
        <v>0</v>
      </c>
      <c r="T178" s="33">
        <f t="shared" si="69"/>
        <v>0</v>
      </c>
      <c r="U178" s="33">
        <f t="shared" si="77"/>
        <v>0</v>
      </c>
      <c r="V178" s="33">
        <f t="shared" si="70"/>
        <v>0</v>
      </c>
      <c r="W178" s="33">
        <v>0</v>
      </c>
      <c r="X178" s="33">
        <f t="shared" si="71"/>
        <v>0</v>
      </c>
      <c r="Y178" s="38">
        <f t="shared" si="72"/>
        <v>0</v>
      </c>
      <c r="AA178" s="71">
        <v>173</v>
      </c>
      <c r="AB178" s="33">
        <f t="shared" si="73"/>
        <v>0</v>
      </c>
      <c r="AC178" s="308">
        <f t="shared" si="88"/>
        <v>0</v>
      </c>
      <c r="AD178" s="101">
        <f t="shared" si="74"/>
        <v>0</v>
      </c>
      <c r="AE178" s="101">
        <f t="shared" si="75"/>
        <v>0</v>
      </c>
      <c r="AF178" s="197">
        <f t="shared" si="84"/>
        <v>0</v>
      </c>
      <c r="AG178" s="197">
        <f t="shared" si="85"/>
        <v>0</v>
      </c>
      <c r="AH178" s="197">
        <f t="shared" si="86"/>
        <v>0</v>
      </c>
      <c r="AI178" s="202">
        <f t="shared" si="87"/>
        <v>0</v>
      </c>
      <c r="AK178" s="71">
        <v>173</v>
      </c>
      <c r="AL178" s="33"/>
      <c r="AM178" s="33"/>
      <c r="AN178" s="33"/>
      <c r="AO178" s="33"/>
      <c r="AP178" s="33"/>
      <c r="AQ178" s="197"/>
      <c r="AR178" s="197"/>
      <c r="AS178" s="197"/>
      <c r="AT178" s="197"/>
      <c r="AU178" s="33"/>
      <c r="AV178" s="33"/>
      <c r="AW178" s="33"/>
      <c r="AX178" s="33"/>
      <c r="AY178" s="76"/>
    </row>
    <row r="179" spans="3:51">
      <c r="C179" s="169" t="s">
        <v>54</v>
      </c>
      <c r="D179" s="4">
        <v>0.44</v>
      </c>
      <c r="E179" s="191" t="s">
        <v>229</v>
      </c>
      <c r="I179" s="55">
        <v>174</v>
      </c>
      <c r="J179" s="33">
        <f t="shared" si="78"/>
        <v>0</v>
      </c>
      <c r="K179" s="33">
        <f t="shared" si="79"/>
        <v>0</v>
      </c>
      <c r="L179" s="33">
        <f t="shared" si="80"/>
        <v>0</v>
      </c>
      <c r="M179" s="33">
        <f t="shared" si="81"/>
        <v>0</v>
      </c>
      <c r="N179" s="33">
        <f t="shared" si="67"/>
        <v>0</v>
      </c>
      <c r="O179" s="34">
        <f t="shared" si="68"/>
        <v>0</v>
      </c>
      <c r="P179" s="55">
        <v>174</v>
      </c>
      <c r="Q179" s="33">
        <f t="shared" si="76"/>
        <v>0</v>
      </c>
      <c r="R179" s="33">
        <f t="shared" si="82"/>
        <v>0</v>
      </c>
      <c r="S179" s="33">
        <f t="shared" si="83"/>
        <v>0</v>
      </c>
      <c r="T179" s="33">
        <f t="shared" si="69"/>
        <v>0</v>
      </c>
      <c r="U179" s="33">
        <f t="shared" si="77"/>
        <v>0</v>
      </c>
      <c r="V179" s="33">
        <f t="shared" si="70"/>
        <v>0</v>
      </c>
      <c r="W179" s="33">
        <v>0</v>
      </c>
      <c r="X179" s="33">
        <f t="shared" si="71"/>
        <v>0</v>
      </c>
      <c r="Y179" s="38">
        <f t="shared" si="72"/>
        <v>0</v>
      </c>
      <c r="AA179" s="71">
        <v>174</v>
      </c>
      <c r="AB179" s="33">
        <f t="shared" si="73"/>
        <v>0</v>
      </c>
      <c r="AC179" s="308">
        <f t="shared" si="88"/>
        <v>0</v>
      </c>
      <c r="AD179" s="101">
        <f t="shared" si="74"/>
        <v>0</v>
      </c>
      <c r="AE179" s="101">
        <f t="shared" si="75"/>
        <v>0</v>
      </c>
      <c r="AF179" s="197">
        <f t="shared" si="84"/>
        <v>0</v>
      </c>
      <c r="AG179" s="197">
        <f t="shared" si="85"/>
        <v>0</v>
      </c>
      <c r="AH179" s="197">
        <f t="shared" si="86"/>
        <v>0</v>
      </c>
      <c r="AI179" s="202">
        <f t="shared" si="87"/>
        <v>0</v>
      </c>
      <c r="AK179" s="71">
        <v>174</v>
      </c>
      <c r="AL179" s="33"/>
      <c r="AM179" s="33"/>
      <c r="AN179" s="33"/>
      <c r="AO179" s="33"/>
      <c r="AP179" s="33"/>
      <c r="AQ179" s="197"/>
      <c r="AR179" s="197"/>
      <c r="AS179" s="197"/>
      <c r="AT179" s="197"/>
      <c r="AU179" s="33"/>
      <c r="AV179" s="33"/>
      <c r="AW179" s="33"/>
      <c r="AX179" s="33"/>
      <c r="AY179" s="76"/>
    </row>
    <row r="180" spans="3:51">
      <c r="C180" s="169" t="s">
        <v>55</v>
      </c>
      <c r="D180" s="4">
        <v>0.46</v>
      </c>
      <c r="E180" s="191" t="s">
        <v>229</v>
      </c>
      <c r="I180" s="55">
        <v>175</v>
      </c>
      <c r="J180" s="33">
        <f t="shared" si="78"/>
        <v>0</v>
      </c>
      <c r="K180" s="33">
        <f t="shared" si="79"/>
        <v>0</v>
      </c>
      <c r="L180" s="33">
        <f t="shared" si="80"/>
        <v>0</v>
      </c>
      <c r="M180" s="33">
        <f t="shared" si="81"/>
        <v>0</v>
      </c>
      <c r="N180" s="33">
        <f t="shared" si="67"/>
        <v>0</v>
      </c>
      <c r="O180" s="34">
        <f t="shared" si="68"/>
        <v>0</v>
      </c>
      <c r="P180" s="55">
        <v>175</v>
      </c>
      <c r="Q180" s="33">
        <f t="shared" si="76"/>
        <v>0</v>
      </c>
      <c r="R180" s="33">
        <f t="shared" si="82"/>
        <v>0</v>
      </c>
      <c r="S180" s="33">
        <f t="shared" si="83"/>
        <v>0</v>
      </c>
      <c r="T180" s="33">
        <f t="shared" si="69"/>
        <v>0</v>
      </c>
      <c r="U180" s="33">
        <f t="shared" si="77"/>
        <v>0</v>
      </c>
      <c r="V180" s="33">
        <f t="shared" si="70"/>
        <v>0</v>
      </c>
      <c r="W180" s="33">
        <v>0</v>
      </c>
      <c r="X180" s="33">
        <f t="shared" si="71"/>
        <v>0</v>
      </c>
      <c r="Y180" s="38">
        <f t="shared" si="72"/>
        <v>0</v>
      </c>
      <c r="AA180" s="71">
        <v>175</v>
      </c>
      <c r="AB180" s="33">
        <f t="shared" si="73"/>
        <v>0</v>
      </c>
      <c r="AC180" s="308">
        <f t="shared" si="88"/>
        <v>0</v>
      </c>
      <c r="AD180" s="101">
        <f t="shared" si="74"/>
        <v>0</v>
      </c>
      <c r="AE180" s="101">
        <f t="shared" si="75"/>
        <v>0</v>
      </c>
      <c r="AF180" s="197">
        <f t="shared" si="84"/>
        <v>0</v>
      </c>
      <c r="AG180" s="197">
        <f t="shared" si="85"/>
        <v>0</v>
      </c>
      <c r="AH180" s="197">
        <f t="shared" si="86"/>
        <v>0</v>
      </c>
      <c r="AI180" s="202">
        <f t="shared" si="87"/>
        <v>0</v>
      </c>
      <c r="AK180" s="71">
        <v>175</v>
      </c>
      <c r="AL180" s="33"/>
      <c r="AM180" s="33"/>
      <c r="AN180" s="33"/>
      <c r="AO180" s="33"/>
      <c r="AP180" s="33"/>
      <c r="AQ180" s="197"/>
      <c r="AR180" s="197"/>
      <c r="AS180" s="197"/>
      <c r="AT180" s="197"/>
      <c r="AU180" s="33"/>
      <c r="AV180" s="33"/>
      <c r="AW180" s="33"/>
      <c r="AX180" s="33"/>
      <c r="AY180" s="76"/>
    </row>
    <row r="181" spans="3:51">
      <c r="C181" s="169" t="s">
        <v>56</v>
      </c>
      <c r="D181" s="4">
        <v>0.48</v>
      </c>
      <c r="E181" s="191" t="s">
        <v>229</v>
      </c>
      <c r="I181" s="55">
        <v>176</v>
      </c>
      <c r="J181" s="33">
        <f t="shared" si="78"/>
        <v>0</v>
      </c>
      <c r="K181" s="33">
        <f t="shared" si="79"/>
        <v>0</v>
      </c>
      <c r="L181" s="33">
        <f t="shared" si="80"/>
        <v>0</v>
      </c>
      <c r="M181" s="33">
        <f t="shared" si="81"/>
        <v>0</v>
      </c>
      <c r="N181" s="33">
        <f t="shared" si="67"/>
        <v>0</v>
      </c>
      <c r="O181" s="34">
        <f t="shared" si="68"/>
        <v>0</v>
      </c>
      <c r="P181" s="55">
        <v>176</v>
      </c>
      <c r="Q181" s="33">
        <f t="shared" si="76"/>
        <v>0</v>
      </c>
      <c r="R181" s="33">
        <f t="shared" si="82"/>
        <v>0</v>
      </c>
      <c r="S181" s="33">
        <f t="shared" si="83"/>
        <v>0</v>
      </c>
      <c r="T181" s="33">
        <f t="shared" si="69"/>
        <v>0</v>
      </c>
      <c r="U181" s="33">
        <f t="shared" si="77"/>
        <v>0</v>
      </c>
      <c r="V181" s="33">
        <f t="shared" si="70"/>
        <v>0</v>
      </c>
      <c r="W181" s="33">
        <v>0</v>
      </c>
      <c r="X181" s="33">
        <f t="shared" si="71"/>
        <v>0</v>
      </c>
      <c r="Y181" s="38">
        <f t="shared" si="72"/>
        <v>0</v>
      </c>
      <c r="AA181" s="71">
        <v>176</v>
      </c>
      <c r="AB181" s="33">
        <f t="shared" si="73"/>
        <v>0</v>
      </c>
      <c r="AC181" s="308">
        <f t="shared" si="88"/>
        <v>0</v>
      </c>
      <c r="AD181" s="101">
        <f t="shared" si="74"/>
        <v>0</v>
      </c>
      <c r="AE181" s="101">
        <f t="shared" si="75"/>
        <v>0</v>
      </c>
      <c r="AF181" s="197">
        <f t="shared" si="84"/>
        <v>0</v>
      </c>
      <c r="AG181" s="197">
        <f t="shared" si="85"/>
        <v>0</v>
      </c>
      <c r="AH181" s="197">
        <f t="shared" si="86"/>
        <v>0</v>
      </c>
      <c r="AI181" s="202">
        <f t="shared" si="87"/>
        <v>0</v>
      </c>
      <c r="AK181" s="71">
        <v>176</v>
      </c>
      <c r="AL181" s="33"/>
      <c r="AM181" s="33"/>
      <c r="AN181" s="33"/>
      <c r="AO181" s="33"/>
      <c r="AP181" s="33"/>
      <c r="AQ181" s="197"/>
      <c r="AR181" s="197"/>
      <c r="AS181" s="197"/>
      <c r="AT181" s="197"/>
      <c r="AU181" s="33"/>
      <c r="AV181" s="33"/>
      <c r="AW181" s="33"/>
      <c r="AX181" s="33"/>
      <c r="AY181" s="76"/>
    </row>
    <row r="182" spans="3:51">
      <c r="C182" s="169" t="s">
        <v>57</v>
      </c>
      <c r="D182" s="4">
        <v>0.44</v>
      </c>
      <c r="E182" s="191" t="s">
        <v>229</v>
      </c>
      <c r="I182" s="55">
        <v>177</v>
      </c>
      <c r="J182" s="33">
        <f t="shared" si="78"/>
        <v>0</v>
      </c>
      <c r="K182" s="33">
        <f t="shared" si="79"/>
        <v>0</v>
      </c>
      <c r="L182" s="33">
        <f t="shared" si="80"/>
        <v>0</v>
      </c>
      <c r="M182" s="33">
        <f t="shared" si="81"/>
        <v>0</v>
      </c>
      <c r="N182" s="33">
        <f t="shared" si="67"/>
        <v>0</v>
      </c>
      <c r="O182" s="34">
        <f t="shared" si="68"/>
        <v>0</v>
      </c>
      <c r="P182" s="55">
        <v>177</v>
      </c>
      <c r="Q182" s="33">
        <f t="shared" si="76"/>
        <v>0</v>
      </c>
      <c r="R182" s="33">
        <f t="shared" si="82"/>
        <v>0</v>
      </c>
      <c r="S182" s="33">
        <f t="shared" si="83"/>
        <v>0</v>
      </c>
      <c r="T182" s="33">
        <f t="shared" si="69"/>
        <v>0</v>
      </c>
      <c r="U182" s="33">
        <f t="shared" si="77"/>
        <v>0</v>
      </c>
      <c r="V182" s="33">
        <f t="shared" si="70"/>
        <v>0</v>
      </c>
      <c r="W182" s="33">
        <v>0</v>
      </c>
      <c r="X182" s="33">
        <f t="shared" si="71"/>
        <v>0</v>
      </c>
      <c r="Y182" s="38">
        <f t="shared" si="72"/>
        <v>0</v>
      </c>
      <c r="AA182" s="71">
        <v>177</v>
      </c>
      <c r="AB182" s="33">
        <f t="shared" si="73"/>
        <v>0</v>
      </c>
      <c r="AC182" s="308">
        <f t="shared" si="88"/>
        <v>0</v>
      </c>
      <c r="AD182" s="101">
        <f t="shared" si="74"/>
        <v>0</v>
      </c>
      <c r="AE182" s="101">
        <f t="shared" si="75"/>
        <v>0</v>
      </c>
      <c r="AF182" s="197">
        <f t="shared" si="84"/>
        <v>0</v>
      </c>
      <c r="AG182" s="197">
        <f t="shared" si="85"/>
        <v>0</v>
      </c>
      <c r="AH182" s="197">
        <f t="shared" si="86"/>
        <v>0</v>
      </c>
      <c r="AI182" s="202">
        <f t="shared" si="87"/>
        <v>0</v>
      </c>
      <c r="AK182" s="71">
        <v>177</v>
      </c>
      <c r="AL182" s="33"/>
      <c r="AM182" s="33"/>
      <c r="AN182" s="33"/>
      <c r="AO182" s="33"/>
      <c r="AP182" s="33"/>
      <c r="AQ182" s="197"/>
      <c r="AR182" s="197"/>
      <c r="AS182" s="197"/>
      <c r="AT182" s="197"/>
      <c r="AU182" s="33"/>
      <c r="AV182" s="33"/>
      <c r="AW182" s="33"/>
      <c r="AX182" s="33"/>
      <c r="AY182" s="76"/>
    </row>
    <row r="183" spans="3:51">
      <c r="C183" s="169" t="s">
        <v>58</v>
      </c>
      <c r="D183" s="4">
        <v>0.34</v>
      </c>
      <c r="E183" s="191" t="s">
        <v>229</v>
      </c>
      <c r="I183" s="55">
        <v>178</v>
      </c>
      <c r="J183" s="33">
        <f t="shared" si="78"/>
        <v>0</v>
      </c>
      <c r="K183" s="33">
        <f t="shared" si="79"/>
        <v>0</v>
      </c>
      <c r="L183" s="33">
        <f t="shared" si="80"/>
        <v>0</v>
      </c>
      <c r="M183" s="33">
        <f t="shared" si="81"/>
        <v>0</v>
      </c>
      <c r="N183" s="33">
        <f t="shared" si="67"/>
        <v>0</v>
      </c>
      <c r="O183" s="34">
        <f t="shared" si="68"/>
        <v>0</v>
      </c>
      <c r="P183" s="55">
        <v>178</v>
      </c>
      <c r="Q183" s="33">
        <f t="shared" si="76"/>
        <v>0</v>
      </c>
      <c r="R183" s="33">
        <f t="shared" si="82"/>
        <v>0</v>
      </c>
      <c r="S183" s="33">
        <f t="shared" si="83"/>
        <v>0</v>
      </c>
      <c r="T183" s="33">
        <f t="shared" si="69"/>
        <v>0</v>
      </c>
      <c r="U183" s="33">
        <f t="shared" si="77"/>
        <v>0</v>
      </c>
      <c r="V183" s="33">
        <f t="shared" si="70"/>
        <v>0</v>
      </c>
      <c r="W183" s="33">
        <v>0</v>
      </c>
      <c r="X183" s="33">
        <f t="shared" si="71"/>
        <v>0</v>
      </c>
      <c r="Y183" s="38">
        <f t="shared" si="72"/>
        <v>0</v>
      </c>
      <c r="AA183" s="71">
        <v>178</v>
      </c>
      <c r="AB183" s="33">
        <f t="shared" si="73"/>
        <v>0</v>
      </c>
      <c r="AC183" s="308">
        <f t="shared" si="88"/>
        <v>0</v>
      </c>
      <c r="AD183" s="101">
        <f t="shared" si="74"/>
        <v>0</v>
      </c>
      <c r="AE183" s="101">
        <f t="shared" si="75"/>
        <v>0</v>
      </c>
      <c r="AF183" s="197">
        <f t="shared" si="84"/>
        <v>0</v>
      </c>
      <c r="AG183" s="197">
        <f t="shared" si="85"/>
        <v>0</v>
      </c>
      <c r="AH183" s="197">
        <f t="shared" si="86"/>
        <v>0</v>
      </c>
      <c r="AI183" s="202">
        <f t="shared" si="87"/>
        <v>0</v>
      </c>
      <c r="AK183" s="71">
        <v>178</v>
      </c>
      <c r="AL183" s="33"/>
      <c r="AM183" s="33"/>
      <c r="AN183" s="33"/>
      <c r="AO183" s="33"/>
      <c r="AP183" s="33"/>
      <c r="AQ183" s="197"/>
      <c r="AR183" s="197"/>
      <c r="AS183" s="197"/>
      <c r="AT183" s="197"/>
      <c r="AU183" s="33"/>
      <c r="AV183" s="33"/>
      <c r="AW183" s="33"/>
      <c r="AX183" s="33"/>
      <c r="AY183" s="76"/>
    </row>
    <row r="184" spans="3:51">
      <c r="C184" s="169" t="s">
        <v>59</v>
      </c>
      <c r="D184" s="4">
        <v>0.5</v>
      </c>
      <c r="E184" s="191" t="s">
        <v>228</v>
      </c>
      <c r="I184" s="55">
        <v>179</v>
      </c>
      <c r="J184" s="33">
        <f t="shared" si="78"/>
        <v>0</v>
      </c>
      <c r="K184" s="33">
        <f t="shared" si="79"/>
        <v>0</v>
      </c>
      <c r="L184" s="33">
        <f t="shared" si="80"/>
        <v>0</v>
      </c>
      <c r="M184" s="33">
        <f t="shared" si="81"/>
        <v>0</v>
      </c>
      <c r="N184" s="33">
        <f t="shared" si="67"/>
        <v>0</v>
      </c>
      <c r="O184" s="34">
        <f t="shared" si="68"/>
        <v>0</v>
      </c>
      <c r="P184" s="55">
        <v>179</v>
      </c>
      <c r="Q184" s="33">
        <f t="shared" si="76"/>
        <v>0</v>
      </c>
      <c r="R184" s="33">
        <f t="shared" si="82"/>
        <v>0</v>
      </c>
      <c r="S184" s="33">
        <f t="shared" si="83"/>
        <v>0</v>
      </c>
      <c r="T184" s="33">
        <f t="shared" si="69"/>
        <v>0</v>
      </c>
      <c r="U184" s="33">
        <f t="shared" si="77"/>
        <v>0</v>
      </c>
      <c r="V184" s="33">
        <f t="shared" si="70"/>
        <v>0</v>
      </c>
      <c r="W184" s="33">
        <v>0</v>
      </c>
      <c r="X184" s="33">
        <f t="shared" si="71"/>
        <v>0</v>
      </c>
      <c r="Y184" s="38">
        <f t="shared" si="72"/>
        <v>0</v>
      </c>
      <c r="AA184" s="71">
        <v>179</v>
      </c>
      <c r="AB184" s="33">
        <f t="shared" si="73"/>
        <v>0</v>
      </c>
      <c r="AC184" s="308">
        <f t="shared" si="88"/>
        <v>0</v>
      </c>
      <c r="AD184" s="101">
        <f t="shared" si="74"/>
        <v>0</v>
      </c>
      <c r="AE184" s="101">
        <f t="shared" si="75"/>
        <v>0</v>
      </c>
      <c r="AF184" s="197">
        <f t="shared" si="84"/>
        <v>0</v>
      </c>
      <c r="AG184" s="197">
        <f t="shared" si="85"/>
        <v>0</v>
      </c>
      <c r="AH184" s="197">
        <f t="shared" si="86"/>
        <v>0</v>
      </c>
      <c r="AI184" s="202">
        <f t="shared" si="87"/>
        <v>0</v>
      </c>
      <c r="AK184" s="71">
        <v>179</v>
      </c>
      <c r="AL184" s="33"/>
      <c r="AM184" s="33"/>
      <c r="AN184" s="33"/>
      <c r="AO184" s="33"/>
      <c r="AP184" s="33"/>
      <c r="AQ184" s="197"/>
      <c r="AR184" s="197"/>
      <c r="AS184" s="197"/>
      <c r="AT184" s="197"/>
      <c r="AU184" s="33"/>
      <c r="AV184" s="33"/>
      <c r="AW184" s="33"/>
      <c r="AX184" s="33"/>
      <c r="AY184" s="76"/>
    </row>
    <row r="185" spans="3:51">
      <c r="C185" s="169" t="s">
        <v>60</v>
      </c>
      <c r="D185" s="4">
        <v>0.57999999999999996</v>
      </c>
      <c r="E185" s="191" t="s">
        <v>228</v>
      </c>
      <c r="I185" s="55">
        <v>180</v>
      </c>
      <c r="J185" s="33">
        <f t="shared" si="78"/>
        <v>0</v>
      </c>
      <c r="K185" s="33">
        <f t="shared" si="79"/>
        <v>0</v>
      </c>
      <c r="L185" s="33">
        <f t="shared" si="80"/>
        <v>0</v>
      </c>
      <c r="M185" s="33">
        <f t="shared" si="81"/>
        <v>0</v>
      </c>
      <c r="N185" s="33">
        <f t="shared" si="67"/>
        <v>0</v>
      </c>
      <c r="O185" s="34">
        <f t="shared" si="68"/>
        <v>0</v>
      </c>
      <c r="P185" s="55">
        <v>180</v>
      </c>
      <c r="Q185" s="33">
        <f t="shared" si="76"/>
        <v>0</v>
      </c>
      <c r="R185" s="33">
        <f t="shared" si="82"/>
        <v>0</v>
      </c>
      <c r="S185" s="33">
        <f t="shared" si="83"/>
        <v>0</v>
      </c>
      <c r="T185" s="33">
        <f t="shared" si="69"/>
        <v>0</v>
      </c>
      <c r="U185" s="33">
        <f t="shared" si="77"/>
        <v>0</v>
      </c>
      <c r="V185" s="33">
        <f t="shared" si="70"/>
        <v>0</v>
      </c>
      <c r="W185" s="33">
        <v>0</v>
      </c>
      <c r="X185" s="33">
        <f t="shared" si="71"/>
        <v>0</v>
      </c>
      <c r="Y185" s="38">
        <f t="shared" si="72"/>
        <v>0</v>
      </c>
      <c r="AA185" s="71">
        <v>180</v>
      </c>
      <c r="AB185" s="33">
        <f t="shared" si="73"/>
        <v>0</v>
      </c>
      <c r="AC185" s="308">
        <f t="shared" si="88"/>
        <v>0</v>
      </c>
      <c r="AD185" s="101">
        <f t="shared" si="74"/>
        <v>0</v>
      </c>
      <c r="AE185" s="101">
        <f t="shared" si="75"/>
        <v>0</v>
      </c>
      <c r="AF185" s="197">
        <f t="shared" si="84"/>
        <v>0</v>
      </c>
      <c r="AG185" s="197">
        <f t="shared" si="85"/>
        <v>0</v>
      </c>
      <c r="AH185" s="197">
        <f t="shared" si="86"/>
        <v>0</v>
      </c>
      <c r="AI185" s="202">
        <f t="shared" si="87"/>
        <v>0</v>
      </c>
      <c r="AK185" s="71">
        <v>180</v>
      </c>
      <c r="AL185" s="33"/>
      <c r="AM185" s="33"/>
      <c r="AN185" s="33"/>
      <c r="AO185" s="33"/>
      <c r="AP185" s="33"/>
      <c r="AQ185" s="197"/>
      <c r="AR185" s="197"/>
      <c r="AS185" s="197"/>
      <c r="AT185" s="197"/>
      <c r="AU185" s="33"/>
      <c r="AV185" s="33"/>
      <c r="AW185" s="33"/>
      <c r="AX185" s="33"/>
      <c r="AY185" s="76"/>
    </row>
    <row r="186" spans="3:51">
      <c r="C186" s="169" t="s">
        <v>61</v>
      </c>
      <c r="D186" s="4">
        <v>0.37</v>
      </c>
      <c r="E186" s="191" t="s">
        <v>229</v>
      </c>
      <c r="I186" s="55">
        <v>181</v>
      </c>
      <c r="J186" s="33">
        <f t="shared" si="78"/>
        <v>0</v>
      </c>
      <c r="K186" s="33">
        <f t="shared" si="79"/>
        <v>0</v>
      </c>
      <c r="L186" s="33">
        <f t="shared" si="80"/>
        <v>0</v>
      </c>
      <c r="M186" s="33">
        <f t="shared" si="81"/>
        <v>0</v>
      </c>
      <c r="N186" s="33">
        <f t="shared" si="67"/>
        <v>0</v>
      </c>
      <c r="O186" s="34">
        <f t="shared" si="68"/>
        <v>0</v>
      </c>
      <c r="P186" s="55">
        <v>181</v>
      </c>
      <c r="Q186" s="33">
        <f t="shared" si="76"/>
        <v>0</v>
      </c>
      <c r="R186" s="33">
        <f t="shared" si="82"/>
        <v>0</v>
      </c>
      <c r="S186" s="33">
        <f t="shared" si="83"/>
        <v>0</v>
      </c>
      <c r="T186" s="33">
        <f t="shared" si="69"/>
        <v>0</v>
      </c>
      <c r="U186" s="33">
        <f t="shared" si="77"/>
        <v>0</v>
      </c>
      <c r="V186" s="33">
        <f t="shared" si="70"/>
        <v>0</v>
      </c>
      <c r="W186" s="33">
        <v>0</v>
      </c>
      <c r="X186" s="33">
        <f t="shared" si="71"/>
        <v>0</v>
      </c>
      <c r="Y186" s="38">
        <f t="shared" si="72"/>
        <v>0</v>
      </c>
      <c r="AA186" s="71">
        <v>181</v>
      </c>
      <c r="AB186" s="33">
        <f t="shared" si="73"/>
        <v>0</v>
      </c>
      <c r="AC186" s="308">
        <f t="shared" si="88"/>
        <v>0</v>
      </c>
      <c r="AD186" s="101">
        <f t="shared" si="74"/>
        <v>0</v>
      </c>
      <c r="AE186" s="101">
        <f t="shared" si="75"/>
        <v>0</v>
      </c>
      <c r="AF186" s="197">
        <f t="shared" si="84"/>
        <v>0</v>
      </c>
      <c r="AG186" s="197">
        <f t="shared" si="85"/>
        <v>0</v>
      </c>
      <c r="AH186" s="197">
        <f t="shared" si="86"/>
        <v>0</v>
      </c>
      <c r="AI186" s="202">
        <f t="shared" si="87"/>
        <v>0</v>
      </c>
      <c r="AK186" s="71">
        <v>181</v>
      </c>
      <c r="AL186" s="33"/>
      <c r="AM186" s="33"/>
      <c r="AN186" s="33"/>
      <c r="AO186" s="33"/>
      <c r="AP186" s="33"/>
      <c r="AQ186" s="197"/>
      <c r="AR186" s="197"/>
      <c r="AS186" s="197"/>
      <c r="AT186" s="197"/>
      <c r="AU186" s="33"/>
      <c r="AV186" s="33"/>
      <c r="AW186" s="33"/>
      <c r="AX186" s="33"/>
      <c r="AY186" s="76"/>
    </row>
    <row r="187" spans="3:51">
      <c r="C187" s="169" t="s">
        <v>62</v>
      </c>
      <c r="D187" s="4">
        <v>0.37</v>
      </c>
      <c r="E187" s="191" t="s">
        <v>229</v>
      </c>
      <c r="I187" s="55">
        <v>182</v>
      </c>
      <c r="J187" s="33">
        <f t="shared" si="78"/>
        <v>0</v>
      </c>
      <c r="K187" s="33">
        <f t="shared" si="79"/>
        <v>0</v>
      </c>
      <c r="L187" s="33">
        <f t="shared" si="80"/>
        <v>0</v>
      </c>
      <c r="M187" s="33">
        <f t="shared" si="81"/>
        <v>0</v>
      </c>
      <c r="N187" s="33">
        <f t="shared" si="67"/>
        <v>0</v>
      </c>
      <c r="O187" s="34">
        <f t="shared" si="68"/>
        <v>0</v>
      </c>
      <c r="P187" s="55">
        <v>182</v>
      </c>
      <c r="Q187" s="33">
        <f t="shared" si="76"/>
        <v>0</v>
      </c>
      <c r="R187" s="33">
        <f t="shared" si="82"/>
        <v>0</v>
      </c>
      <c r="S187" s="33">
        <f t="shared" si="83"/>
        <v>0</v>
      </c>
      <c r="T187" s="33">
        <f t="shared" si="69"/>
        <v>0</v>
      </c>
      <c r="U187" s="33">
        <f t="shared" si="77"/>
        <v>0</v>
      </c>
      <c r="V187" s="33">
        <f t="shared" si="70"/>
        <v>0</v>
      </c>
      <c r="W187" s="33">
        <v>0</v>
      </c>
      <c r="X187" s="33">
        <f t="shared" si="71"/>
        <v>0</v>
      </c>
      <c r="Y187" s="38">
        <f t="shared" si="72"/>
        <v>0</v>
      </c>
      <c r="AA187" s="71">
        <v>182</v>
      </c>
      <c r="AB187" s="33">
        <f t="shared" si="73"/>
        <v>0</v>
      </c>
      <c r="AC187" s="308">
        <f t="shared" si="88"/>
        <v>0</v>
      </c>
      <c r="AD187" s="101">
        <f t="shared" si="74"/>
        <v>0</v>
      </c>
      <c r="AE187" s="101">
        <f t="shared" si="75"/>
        <v>0</v>
      </c>
      <c r="AF187" s="197">
        <f t="shared" si="84"/>
        <v>0</v>
      </c>
      <c r="AG187" s="197">
        <f t="shared" si="85"/>
        <v>0</v>
      </c>
      <c r="AH187" s="197">
        <f t="shared" si="86"/>
        <v>0</v>
      </c>
      <c r="AI187" s="202">
        <f t="shared" si="87"/>
        <v>0</v>
      </c>
      <c r="AK187" s="71">
        <v>182</v>
      </c>
      <c r="AL187" s="33"/>
      <c r="AM187" s="33"/>
      <c r="AN187" s="33"/>
      <c r="AO187" s="33"/>
      <c r="AP187" s="33"/>
      <c r="AQ187" s="197"/>
      <c r="AR187" s="197"/>
      <c r="AS187" s="197"/>
      <c r="AT187" s="197"/>
      <c r="AU187" s="33"/>
      <c r="AV187" s="33"/>
      <c r="AW187" s="33"/>
      <c r="AX187" s="33"/>
      <c r="AY187" s="76"/>
    </row>
    <row r="188" spans="3:51">
      <c r="C188" s="169" t="s">
        <v>63</v>
      </c>
      <c r="D188" s="4">
        <v>0.38</v>
      </c>
      <c r="E188" s="191" t="s">
        <v>229</v>
      </c>
      <c r="I188" s="55">
        <v>183</v>
      </c>
      <c r="J188" s="33">
        <f t="shared" si="78"/>
        <v>0</v>
      </c>
      <c r="K188" s="33">
        <f t="shared" si="79"/>
        <v>0</v>
      </c>
      <c r="L188" s="33">
        <f t="shared" si="80"/>
        <v>0</v>
      </c>
      <c r="M188" s="33">
        <f t="shared" si="81"/>
        <v>0</v>
      </c>
      <c r="N188" s="33">
        <f t="shared" si="67"/>
        <v>0</v>
      </c>
      <c r="O188" s="34">
        <f t="shared" si="68"/>
        <v>0</v>
      </c>
      <c r="P188" s="55">
        <v>183</v>
      </c>
      <c r="Q188" s="33">
        <f t="shared" si="76"/>
        <v>0</v>
      </c>
      <c r="R188" s="33">
        <f t="shared" si="82"/>
        <v>0</v>
      </c>
      <c r="S188" s="33">
        <f t="shared" si="83"/>
        <v>0</v>
      </c>
      <c r="T188" s="33">
        <f t="shared" si="69"/>
        <v>0</v>
      </c>
      <c r="U188" s="33">
        <f t="shared" si="77"/>
        <v>0</v>
      </c>
      <c r="V188" s="33">
        <f t="shared" si="70"/>
        <v>0</v>
      </c>
      <c r="W188" s="33">
        <v>0</v>
      </c>
      <c r="X188" s="33">
        <f t="shared" si="71"/>
        <v>0</v>
      </c>
      <c r="Y188" s="38">
        <f t="shared" si="72"/>
        <v>0</v>
      </c>
      <c r="AA188" s="71">
        <v>183</v>
      </c>
      <c r="AB188" s="33">
        <f t="shared" si="73"/>
        <v>0</v>
      </c>
      <c r="AC188" s="308">
        <f t="shared" si="88"/>
        <v>0</v>
      </c>
      <c r="AD188" s="101">
        <f t="shared" si="74"/>
        <v>0</v>
      </c>
      <c r="AE188" s="101">
        <f t="shared" si="75"/>
        <v>0</v>
      </c>
      <c r="AF188" s="197">
        <f t="shared" si="84"/>
        <v>0</v>
      </c>
      <c r="AG188" s="197">
        <f t="shared" si="85"/>
        <v>0</v>
      </c>
      <c r="AH188" s="197">
        <f t="shared" si="86"/>
        <v>0</v>
      </c>
      <c r="AI188" s="202">
        <f t="shared" si="87"/>
        <v>0</v>
      </c>
      <c r="AK188" s="71">
        <v>183</v>
      </c>
      <c r="AL188" s="33"/>
      <c r="AM188" s="33"/>
      <c r="AN188" s="33"/>
      <c r="AO188" s="33"/>
      <c r="AP188" s="33"/>
      <c r="AQ188" s="197"/>
      <c r="AR188" s="197"/>
      <c r="AS188" s="197"/>
      <c r="AT188" s="197"/>
      <c r="AU188" s="33"/>
      <c r="AV188" s="33"/>
      <c r="AW188" s="33"/>
      <c r="AX188" s="33"/>
      <c r="AY188" s="76"/>
    </row>
    <row r="189" spans="3:51">
      <c r="C189" s="169" t="s">
        <v>64</v>
      </c>
      <c r="D189" s="4">
        <v>0.36</v>
      </c>
      <c r="E189" s="191" t="s">
        <v>229</v>
      </c>
      <c r="I189" s="55">
        <v>184</v>
      </c>
      <c r="J189" s="33">
        <f t="shared" si="78"/>
        <v>0</v>
      </c>
      <c r="K189" s="33">
        <f t="shared" si="79"/>
        <v>0</v>
      </c>
      <c r="L189" s="33">
        <f t="shared" si="80"/>
        <v>0</v>
      </c>
      <c r="M189" s="33">
        <f t="shared" si="81"/>
        <v>0</v>
      </c>
      <c r="N189" s="33">
        <f t="shared" si="67"/>
        <v>0</v>
      </c>
      <c r="O189" s="34">
        <f t="shared" si="68"/>
        <v>0</v>
      </c>
      <c r="P189" s="55">
        <v>184</v>
      </c>
      <c r="Q189" s="33">
        <f t="shared" si="76"/>
        <v>0</v>
      </c>
      <c r="R189" s="33">
        <f t="shared" si="82"/>
        <v>0</v>
      </c>
      <c r="S189" s="33">
        <f t="shared" si="83"/>
        <v>0</v>
      </c>
      <c r="T189" s="33">
        <f t="shared" si="69"/>
        <v>0</v>
      </c>
      <c r="U189" s="33">
        <f t="shared" si="77"/>
        <v>0</v>
      </c>
      <c r="V189" s="33">
        <f t="shared" si="70"/>
        <v>0</v>
      </c>
      <c r="W189" s="33">
        <v>0</v>
      </c>
      <c r="X189" s="33">
        <f t="shared" si="71"/>
        <v>0</v>
      </c>
      <c r="Y189" s="38">
        <f t="shared" si="72"/>
        <v>0</v>
      </c>
      <c r="AA189" s="71">
        <v>184</v>
      </c>
      <c r="AB189" s="33">
        <f t="shared" si="73"/>
        <v>0</v>
      </c>
      <c r="AC189" s="308">
        <f t="shared" si="88"/>
        <v>0</v>
      </c>
      <c r="AD189" s="101">
        <f t="shared" si="74"/>
        <v>0</v>
      </c>
      <c r="AE189" s="101">
        <f t="shared" si="75"/>
        <v>0</v>
      </c>
      <c r="AF189" s="197">
        <f t="shared" si="84"/>
        <v>0</v>
      </c>
      <c r="AG189" s="197">
        <f t="shared" si="85"/>
        <v>0</v>
      </c>
      <c r="AH189" s="197">
        <f t="shared" si="86"/>
        <v>0</v>
      </c>
      <c r="AI189" s="202">
        <f t="shared" si="87"/>
        <v>0</v>
      </c>
      <c r="AK189" s="71">
        <v>184</v>
      </c>
      <c r="AL189" s="33"/>
      <c r="AM189" s="33"/>
      <c r="AN189" s="33"/>
      <c r="AO189" s="33"/>
      <c r="AP189" s="33"/>
      <c r="AQ189" s="197"/>
      <c r="AR189" s="197"/>
      <c r="AS189" s="197"/>
      <c r="AT189" s="197"/>
      <c r="AU189" s="33"/>
      <c r="AV189" s="33"/>
      <c r="AW189" s="33"/>
      <c r="AX189" s="33"/>
      <c r="AY189" s="76"/>
    </row>
    <row r="190" spans="3:51">
      <c r="C190" s="169" t="s">
        <v>65</v>
      </c>
      <c r="D190" s="4">
        <v>0.37</v>
      </c>
      <c r="E190" s="191" t="s">
        <v>228</v>
      </c>
      <c r="I190" s="55">
        <v>185</v>
      </c>
      <c r="J190" s="33">
        <f t="shared" si="78"/>
        <v>0</v>
      </c>
      <c r="K190" s="33">
        <f t="shared" si="79"/>
        <v>0</v>
      </c>
      <c r="L190" s="33">
        <f t="shared" si="80"/>
        <v>0</v>
      </c>
      <c r="M190" s="33">
        <f t="shared" si="81"/>
        <v>0</v>
      </c>
      <c r="N190" s="33">
        <f t="shared" si="67"/>
        <v>0</v>
      </c>
      <c r="O190" s="34">
        <f t="shared" si="68"/>
        <v>0</v>
      </c>
      <c r="P190" s="55">
        <v>185</v>
      </c>
      <c r="Q190" s="33">
        <f t="shared" si="76"/>
        <v>0</v>
      </c>
      <c r="R190" s="33">
        <f t="shared" si="82"/>
        <v>0</v>
      </c>
      <c r="S190" s="33">
        <f t="shared" si="83"/>
        <v>0</v>
      </c>
      <c r="T190" s="33">
        <f t="shared" si="69"/>
        <v>0</v>
      </c>
      <c r="U190" s="33">
        <f t="shared" si="77"/>
        <v>0</v>
      </c>
      <c r="V190" s="33">
        <f t="shared" si="70"/>
        <v>0</v>
      </c>
      <c r="W190" s="33">
        <v>0</v>
      </c>
      <c r="X190" s="33">
        <f t="shared" si="71"/>
        <v>0</v>
      </c>
      <c r="Y190" s="38">
        <f t="shared" si="72"/>
        <v>0</v>
      </c>
      <c r="AA190" s="71">
        <v>185</v>
      </c>
      <c r="AB190" s="33">
        <f t="shared" si="73"/>
        <v>0</v>
      </c>
      <c r="AC190" s="308">
        <f t="shared" si="88"/>
        <v>0</v>
      </c>
      <c r="AD190" s="101">
        <f t="shared" si="74"/>
        <v>0</v>
      </c>
      <c r="AE190" s="101">
        <f t="shared" si="75"/>
        <v>0</v>
      </c>
      <c r="AF190" s="197">
        <f t="shared" si="84"/>
        <v>0</v>
      </c>
      <c r="AG190" s="197">
        <f t="shared" si="85"/>
        <v>0</v>
      </c>
      <c r="AH190" s="197">
        <f t="shared" si="86"/>
        <v>0</v>
      </c>
      <c r="AI190" s="202">
        <f t="shared" si="87"/>
        <v>0</v>
      </c>
      <c r="AK190" s="71">
        <v>185</v>
      </c>
      <c r="AL190" s="33"/>
      <c r="AM190" s="33"/>
      <c r="AN190" s="33"/>
      <c r="AO190" s="33"/>
      <c r="AP190" s="33"/>
      <c r="AQ190" s="197"/>
      <c r="AR190" s="197"/>
      <c r="AS190" s="197"/>
      <c r="AT190" s="197"/>
      <c r="AU190" s="33"/>
      <c r="AV190" s="33"/>
      <c r="AW190" s="33"/>
      <c r="AX190" s="33"/>
      <c r="AY190" s="76"/>
    </row>
    <row r="191" spans="3:51">
      <c r="C191" s="169" t="s">
        <v>66</v>
      </c>
      <c r="D191" s="4">
        <v>0.53</v>
      </c>
      <c r="E191" s="191" t="s">
        <v>228</v>
      </c>
      <c r="I191" s="55">
        <v>186</v>
      </c>
      <c r="J191" s="33">
        <f t="shared" si="78"/>
        <v>0</v>
      </c>
      <c r="K191" s="33">
        <f t="shared" si="79"/>
        <v>0</v>
      </c>
      <c r="L191" s="33">
        <f t="shared" si="80"/>
        <v>0</v>
      </c>
      <c r="M191" s="33">
        <f t="shared" si="81"/>
        <v>0</v>
      </c>
      <c r="N191" s="33">
        <f t="shared" si="67"/>
        <v>0</v>
      </c>
      <c r="O191" s="34">
        <f t="shared" si="68"/>
        <v>0</v>
      </c>
      <c r="P191" s="55">
        <v>186</v>
      </c>
      <c r="Q191" s="33">
        <f t="shared" si="76"/>
        <v>0</v>
      </c>
      <c r="R191" s="33">
        <f t="shared" si="82"/>
        <v>0</v>
      </c>
      <c r="S191" s="33">
        <f t="shared" si="83"/>
        <v>0</v>
      </c>
      <c r="T191" s="33">
        <f t="shared" si="69"/>
        <v>0</v>
      </c>
      <c r="U191" s="33">
        <f t="shared" si="77"/>
        <v>0</v>
      </c>
      <c r="V191" s="33">
        <f t="shared" si="70"/>
        <v>0</v>
      </c>
      <c r="W191" s="33">
        <v>0</v>
      </c>
      <c r="X191" s="33">
        <f t="shared" si="71"/>
        <v>0</v>
      </c>
      <c r="Y191" s="38">
        <f t="shared" si="72"/>
        <v>0</v>
      </c>
      <c r="AA191" s="71">
        <v>186</v>
      </c>
      <c r="AB191" s="33">
        <f t="shared" si="73"/>
        <v>0</v>
      </c>
      <c r="AC191" s="308">
        <f t="shared" si="88"/>
        <v>0</v>
      </c>
      <c r="AD191" s="101">
        <f t="shared" si="74"/>
        <v>0</v>
      </c>
      <c r="AE191" s="101">
        <f t="shared" si="75"/>
        <v>0</v>
      </c>
      <c r="AF191" s="197">
        <f t="shared" si="84"/>
        <v>0</v>
      </c>
      <c r="AG191" s="197">
        <f t="shared" si="85"/>
        <v>0</v>
      </c>
      <c r="AH191" s="197">
        <f t="shared" si="86"/>
        <v>0</v>
      </c>
      <c r="AI191" s="202">
        <f t="shared" si="87"/>
        <v>0</v>
      </c>
      <c r="AK191" s="71">
        <v>186</v>
      </c>
      <c r="AL191" s="33"/>
      <c r="AM191" s="33"/>
      <c r="AN191" s="33"/>
      <c r="AO191" s="33"/>
      <c r="AP191" s="33"/>
      <c r="AQ191" s="197"/>
      <c r="AR191" s="197"/>
      <c r="AS191" s="197"/>
      <c r="AT191" s="197"/>
      <c r="AU191" s="33"/>
      <c r="AV191" s="33"/>
      <c r="AW191" s="33"/>
      <c r="AX191" s="33"/>
      <c r="AY191" s="76"/>
    </row>
    <row r="192" spans="3:51">
      <c r="C192" s="169" t="s">
        <v>67</v>
      </c>
      <c r="D192" s="4">
        <v>0.43</v>
      </c>
      <c r="E192" s="191" t="s">
        <v>228</v>
      </c>
      <c r="I192" s="55">
        <v>187</v>
      </c>
      <c r="J192" s="33">
        <f t="shared" si="78"/>
        <v>0</v>
      </c>
      <c r="K192" s="33">
        <f t="shared" si="79"/>
        <v>0</v>
      </c>
      <c r="L192" s="33">
        <f t="shared" si="80"/>
        <v>0</v>
      </c>
      <c r="M192" s="33">
        <f t="shared" si="81"/>
        <v>0</v>
      </c>
      <c r="N192" s="33">
        <f t="shared" si="67"/>
        <v>0</v>
      </c>
      <c r="O192" s="34">
        <f t="shared" si="68"/>
        <v>0</v>
      </c>
      <c r="P192" s="55">
        <v>187</v>
      </c>
      <c r="Q192" s="33">
        <f t="shared" si="76"/>
        <v>0</v>
      </c>
      <c r="R192" s="33">
        <f t="shared" si="82"/>
        <v>0</v>
      </c>
      <c r="S192" s="33">
        <f t="shared" si="83"/>
        <v>0</v>
      </c>
      <c r="T192" s="33">
        <f t="shared" si="69"/>
        <v>0</v>
      </c>
      <c r="U192" s="33">
        <f t="shared" si="77"/>
        <v>0</v>
      </c>
      <c r="V192" s="33">
        <f t="shared" si="70"/>
        <v>0</v>
      </c>
      <c r="W192" s="33">
        <v>0</v>
      </c>
      <c r="X192" s="33">
        <f t="shared" si="71"/>
        <v>0</v>
      </c>
      <c r="Y192" s="38">
        <f t="shared" si="72"/>
        <v>0</v>
      </c>
      <c r="AA192" s="71">
        <v>187</v>
      </c>
      <c r="AB192" s="33">
        <f t="shared" si="73"/>
        <v>0</v>
      </c>
      <c r="AC192" s="308">
        <f t="shared" si="88"/>
        <v>0</v>
      </c>
      <c r="AD192" s="101">
        <f t="shared" si="74"/>
        <v>0</v>
      </c>
      <c r="AE192" s="101">
        <f t="shared" si="75"/>
        <v>0</v>
      </c>
      <c r="AF192" s="197">
        <f t="shared" si="84"/>
        <v>0</v>
      </c>
      <c r="AG192" s="197">
        <f t="shared" si="85"/>
        <v>0</v>
      </c>
      <c r="AH192" s="197">
        <f t="shared" si="86"/>
        <v>0</v>
      </c>
      <c r="AI192" s="202">
        <f t="shared" si="87"/>
        <v>0</v>
      </c>
      <c r="AK192" s="71">
        <v>187</v>
      </c>
      <c r="AL192" s="33"/>
      <c r="AM192" s="33"/>
      <c r="AN192" s="33"/>
      <c r="AO192" s="33"/>
      <c r="AP192" s="33"/>
      <c r="AQ192" s="197"/>
      <c r="AR192" s="197"/>
      <c r="AS192" s="197"/>
      <c r="AT192" s="197"/>
      <c r="AU192" s="33"/>
      <c r="AV192" s="33"/>
      <c r="AW192" s="33"/>
      <c r="AX192" s="33"/>
      <c r="AY192" s="76"/>
    </row>
    <row r="193" spans="3:51">
      <c r="C193" s="169" t="s">
        <v>68</v>
      </c>
      <c r="D193" s="4">
        <v>0.38</v>
      </c>
      <c r="E193" s="191" t="s">
        <v>228</v>
      </c>
      <c r="I193" s="55">
        <v>188</v>
      </c>
      <c r="J193" s="33">
        <f t="shared" si="78"/>
        <v>0</v>
      </c>
      <c r="K193" s="33">
        <f t="shared" si="79"/>
        <v>0</v>
      </c>
      <c r="L193" s="33">
        <f t="shared" si="80"/>
        <v>0</v>
      </c>
      <c r="M193" s="33">
        <f t="shared" si="81"/>
        <v>0</v>
      </c>
      <c r="N193" s="33">
        <f t="shared" si="67"/>
        <v>0</v>
      </c>
      <c r="O193" s="34">
        <f t="shared" si="68"/>
        <v>0</v>
      </c>
      <c r="P193" s="55">
        <v>188</v>
      </c>
      <c r="Q193" s="33">
        <f t="shared" si="76"/>
        <v>0</v>
      </c>
      <c r="R193" s="33">
        <f t="shared" si="82"/>
        <v>0</v>
      </c>
      <c r="S193" s="33">
        <f t="shared" si="83"/>
        <v>0</v>
      </c>
      <c r="T193" s="33">
        <f t="shared" si="69"/>
        <v>0</v>
      </c>
      <c r="U193" s="33">
        <f t="shared" si="77"/>
        <v>0</v>
      </c>
      <c r="V193" s="33">
        <f t="shared" si="70"/>
        <v>0</v>
      </c>
      <c r="W193" s="33">
        <v>0</v>
      </c>
      <c r="X193" s="33">
        <f t="shared" si="71"/>
        <v>0</v>
      </c>
      <c r="Y193" s="38">
        <f t="shared" si="72"/>
        <v>0</v>
      </c>
      <c r="AA193" s="71">
        <v>188</v>
      </c>
      <c r="AB193" s="33">
        <f t="shared" si="73"/>
        <v>0</v>
      </c>
      <c r="AC193" s="308">
        <f t="shared" si="88"/>
        <v>0</v>
      </c>
      <c r="AD193" s="101">
        <f t="shared" si="74"/>
        <v>0</v>
      </c>
      <c r="AE193" s="101">
        <f t="shared" si="75"/>
        <v>0</v>
      </c>
      <c r="AF193" s="197">
        <f t="shared" si="84"/>
        <v>0</v>
      </c>
      <c r="AG193" s="197">
        <f t="shared" si="85"/>
        <v>0</v>
      </c>
      <c r="AH193" s="197">
        <f t="shared" si="86"/>
        <v>0</v>
      </c>
      <c r="AI193" s="202">
        <f t="shared" si="87"/>
        <v>0</v>
      </c>
      <c r="AK193" s="71">
        <v>188</v>
      </c>
      <c r="AL193" s="33"/>
      <c r="AM193" s="33"/>
      <c r="AN193" s="33"/>
      <c r="AO193" s="33"/>
      <c r="AP193" s="33"/>
      <c r="AQ193" s="197"/>
      <c r="AR193" s="197"/>
      <c r="AS193" s="197"/>
      <c r="AT193" s="197"/>
      <c r="AU193" s="33"/>
      <c r="AV193" s="33"/>
      <c r="AW193" s="33"/>
      <c r="AX193" s="33"/>
      <c r="AY193" s="76"/>
    </row>
    <row r="194" spans="3:51">
      <c r="C194" s="171" t="s">
        <v>69</v>
      </c>
      <c r="D194" s="3">
        <v>0.42</v>
      </c>
      <c r="E194" s="191" t="s">
        <v>229</v>
      </c>
      <c r="I194" s="55">
        <v>189</v>
      </c>
      <c r="J194" s="33">
        <f t="shared" si="78"/>
        <v>0</v>
      </c>
      <c r="K194" s="33">
        <f t="shared" si="79"/>
        <v>0</v>
      </c>
      <c r="L194" s="33">
        <f t="shared" si="80"/>
        <v>0</v>
      </c>
      <c r="M194" s="33">
        <f t="shared" si="81"/>
        <v>0</v>
      </c>
      <c r="N194" s="33">
        <f t="shared" si="67"/>
        <v>0</v>
      </c>
      <c r="O194" s="34">
        <f t="shared" si="68"/>
        <v>0</v>
      </c>
      <c r="P194" s="55">
        <v>189</v>
      </c>
      <c r="Q194" s="33">
        <f t="shared" si="76"/>
        <v>0</v>
      </c>
      <c r="R194" s="33">
        <f t="shared" si="82"/>
        <v>0</v>
      </c>
      <c r="S194" s="33">
        <f t="shared" si="83"/>
        <v>0</v>
      </c>
      <c r="T194" s="33">
        <f t="shared" si="69"/>
        <v>0</v>
      </c>
      <c r="U194" s="33">
        <f t="shared" si="77"/>
        <v>0</v>
      </c>
      <c r="V194" s="33">
        <f t="shared" si="70"/>
        <v>0</v>
      </c>
      <c r="W194" s="33">
        <v>0</v>
      </c>
      <c r="X194" s="33">
        <f t="shared" si="71"/>
        <v>0</v>
      </c>
      <c r="Y194" s="38">
        <f t="shared" si="72"/>
        <v>0</v>
      </c>
      <c r="AA194" s="71">
        <v>189</v>
      </c>
      <c r="AB194" s="33">
        <f t="shared" si="73"/>
        <v>0</v>
      </c>
      <c r="AC194" s="308">
        <f t="shared" si="88"/>
        <v>0</v>
      </c>
      <c r="AD194" s="101">
        <f t="shared" si="74"/>
        <v>0</v>
      </c>
      <c r="AE194" s="101">
        <f t="shared" si="75"/>
        <v>0</v>
      </c>
      <c r="AF194" s="197">
        <f t="shared" si="84"/>
        <v>0</v>
      </c>
      <c r="AG194" s="197">
        <f t="shared" si="85"/>
        <v>0</v>
      </c>
      <c r="AH194" s="197">
        <f t="shared" si="86"/>
        <v>0</v>
      </c>
      <c r="AI194" s="202">
        <f t="shared" si="87"/>
        <v>0</v>
      </c>
      <c r="AK194" s="71">
        <v>189</v>
      </c>
      <c r="AL194" s="33"/>
      <c r="AM194" s="33"/>
      <c r="AN194" s="33"/>
      <c r="AO194" s="33"/>
      <c r="AP194" s="33"/>
      <c r="AQ194" s="197"/>
      <c r="AR194" s="197"/>
      <c r="AS194" s="197"/>
      <c r="AT194" s="197"/>
      <c r="AU194" s="33"/>
      <c r="AV194" s="33"/>
      <c r="AW194" s="33"/>
      <c r="AX194" s="33"/>
      <c r="AY194" s="76"/>
    </row>
    <row r="195" spans="3:51">
      <c r="C195" s="171" t="s">
        <v>70</v>
      </c>
      <c r="D195" s="3">
        <v>0.56999999999999995</v>
      </c>
      <c r="E195" s="191" t="s">
        <v>228</v>
      </c>
      <c r="I195" s="55">
        <v>190</v>
      </c>
      <c r="J195" s="33">
        <f t="shared" si="78"/>
        <v>0</v>
      </c>
      <c r="K195" s="33">
        <f t="shared" si="79"/>
        <v>0</v>
      </c>
      <c r="L195" s="33">
        <f t="shared" si="80"/>
        <v>0</v>
      </c>
      <c r="M195" s="33">
        <f t="shared" si="81"/>
        <v>0</v>
      </c>
      <c r="N195" s="33">
        <f t="shared" si="67"/>
        <v>0</v>
      </c>
      <c r="O195" s="34">
        <f t="shared" si="68"/>
        <v>0</v>
      </c>
      <c r="P195" s="55">
        <v>190</v>
      </c>
      <c r="Q195" s="33">
        <f t="shared" si="76"/>
        <v>0</v>
      </c>
      <c r="R195" s="33">
        <f t="shared" si="82"/>
        <v>0</v>
      </c>
      <c r="S195" s="33">
        <f t="shared" si="83"/>
        <v>0</v>
      </c>
      <c r="T195" s="33">
        <f t="shared" si="69"/>
        <v>0</v>
      </c>
      <c r="U195" s="33">
        <f t="shared" si="77"/>
        <v>0</v>
      </c>
      <c r="V195" s="33">
        <f t="shared" si="70"/>
        <v>0</v>
      </c>
      <c r="W195" s="33">
        <v>0</v>
      </c>
      <c r="X195" s="33">
        <f t="shared" si="71"/>
        <v>0</v>
      </c>
      <c r="Y195" s="38">
        <f t="shared" si="72"/>
        <v>0</v>
      </c>
      <c r="AA195" s="71">
        <v>190</v>
      </c>
      <c r="AB195" s="33">
        <f t="shared" si="73"/>
        <v>0</v>
      </c>
      <c r="AC195" s="308">
        <f t="shared" si="88"/>
        <v>0</v>
      </c>
      <c r="AD195" s="101">
        <f t="shared" si="74"/>
        <v>0</v>
      </c>
      <c r="AE195" s="101">
        <f t="shared" si="75"/>
        <v>0</v>
      </c>
      <c r="AF195" s="197">
        <f t="shared" si="84"/>
        <v>0</v>
      </c>
      <c r="AG195" s="197">
        <f t="shared" si="85"/>
        <v>0</v>
      </c>
      <c r="AH195" s="197">
        <f t="shared" si="86"/>
        <v>0</v>
      </c>
      <c r="AI195" s="202">
        <f t="shared" si="87"/>
        <v>0</v>
      </c>
      <c r="AK195" s="71">
        <v>190</v>
      </c>
      <c r="AL195" s="33"/>
      <c r="AM195" s="33"/>
      <c r="AN195" s="33"/>
      <c r="AO195" s="33"/>
      <c r="AP195" s="33"/>
      <c r="AQ195" s="197"/>
      <c r="AR195" s="197"/>
      <c r="AS195" s="197"/>
      <c r="AT195" s="197"/>
      <c r="AU195" s="33"/>
      <c r="AV195" s="33"/>
      <c r="AW195" s="33"/>
      <c r="AX195" s="33"/>
      <c r="AY195" s="76"/>
    </row>
    <row r="196" spans="3:51">
      <c r="C196" s="171" t="s">
        <v>71</v>
      </c>
      <c r="D196" s="3">
        <v>0.54</v>
      </c>
      <c r="E196" s="191"/>
      <c r="I196" s="55">
        <v>191</v>
      </c>
      <c r="J196" s="33">
        <f t="shared" si="78"/>
        <v>0</v>
      </c>
      <c r="K196" s="33">
        <f t="shared" si="79"/>
        <v>0</v>
      </c>
      <c r="L196" s="33">
        <f t="shared" si="80"/>
        <v>0</v>
      </c>
      <c r="M196" s="33">
        <f t="shared" si="81"/>
        <v>0</v>
      </c>
      <c r="N196" s="33">
        <f t="shared" si="67"/>
        <v>0</v>
      </c>
      <c r="O196" s="34">
        <f t="shared" si="68"/>
        <v>0</v>
      </c>
      <c r="P196" s="55">
        <v>191</v>
      </c>
      <c r="Q196" s="33">
        <f t="shared" si="76"/>
        <v>0</v>
      </c>
      <c r="R196" s="33">
        <f t="shared" si="82"/>
        <v>0</v>
      </c>
      <c r="S196" s="33">
        <f t="shared" si="83"/>
        <v>0</v>
      </c>
      <c r="T196" s="33">
        <f t="shared" si="69"/>
        <v>0</v>
      </c>
      <c r="U196" s="33">
        <f t="shared" si="77"/>
        <v>0</v>
      </c>
      <c r="V196" s="33">
        <f t="shared" si="70"/>
        <v>0</v>
      </c>
      <c r="W196" s="33">
        <v>0</v>
      </c>
      <c r="X196" s="33">
        <f t="shared" si="71"/>
        <v>0</v>
      </c>
      <c r="Y196" s="38">
        <f t="shared" si="72"/>
        <v>0</v>
      </c>
      <c r="AA196" s="71">
        <v>191</v>
      </c>
      <c r="AB196" s="33">
        <f t="shared" si="73"/>
        <v>0</v>
      </c>
      <c r="AC196" s="308">
        <f t="shared" si="88"/>
        <v>0</v>
      </c>
      <c r="AD196" s="101">
        <f t="shared" si="74"/>
        <v>0</v>
      </c>
      <c r="AE196" s="101">
        <f t="shared" si="75"/>
        <v>0</v>
      </c>
      <c r="AF196" s="197">
        <f t="shared" si="84"/>
        <v>0</v>
      </c>
      <c r="AG196" s="197">
        <f t="shared" si="85"/>
        <v>0</v>
      </c>
      <c r="AH196" s="197">
        <f t="shared" si="86"/>
        <v>0</v>
      </c>
      <c r="AI196" s="202">
        <f t="shared" si="87"/>
        <v>0</v>
      </c>
      <c r="AK196" s="71">
        <v>191</v>
      </c>
      <c r="AL196" s="33"/>
      <c r="AM196" s="33"/>
      <c r="AN196" s="33"/>
      <c r="AO196" s="33"/>
      <c r="AP196" s="33"/>
      <c r="AQ196" s="197"/>
      <c r="AR196" s="197"/>
      <c r="AS196" s="197"/>
      <c r="AT196" s="197"/>
      <c r="AU196" s="33"/>
      <c r="AV196" s="33"/>
      <c r="AW196" s="33"/>
      <c r="AX196" s="33"/>
      <c r="AY196" s="76"/>
    </row>
    <row r="197" spans="3:51">
      <c r="E197" s="24"/>
      <c r="I197" s="55">
        <v>192</v>
      </c>
      <c r="J197" s="33">
        <f t="shared" si="78"/>
        <v>0</v>
      </c>
      <c r="K197" s="33">
        <f t="shared" si="79"/>
        <v>0</v>
      </c>
      <c r="L197" s="33">
        <f t="shared" si="80"/>
        <v>0</v>
      </c>
      <c r="M197" s="33">
        <f t="shared" si="81"/>
        <v>0</v>
      </c>
      <c r="N197" s="33">
        <f t="shared" ref="N197:N204" si="89">IF(P198&lt;=$F$18,0,)</f>
        <v>0</v>
      </c>
      <c r="O197" s="34">
        <f t="shared" ref="O197:O205" si="90">((J197+K197)*0.475+L197+M197+N197)*44/12</f>
        <v>0</v>
      </c>
      <c r="P197" s="55">
        <v>192</v>
      </c>
      <c r="Q197" s="33">
        <f t="shared" si="76"/>
        <v>0</v>
      </c>
      <c r="R197" s="33">
        <f t="shared" si="82"/>
        <v>0</v>
      </c>
      <c r="S197" s="33">
        <f t="shared" si="83"/>
        <v>0</v>
      </c>
      <c r="T197" s="33">
        <f t="shared" ref="T197:T205" si="91">IF(S197=0,0,EXP(-1.0587+0.8836*LN(S197)+0.284))</f>
        <v>0</v>
      </c>
      <c r="U197" s="33">
        <f t="shared" si="77"/>
        <v>0</v>
      </c>
      <c r="V197" s="33">
        <f t="shared" ref="V197:V205" si="92">IF(P197&lt;=$F$18,IF(P197&lt;=30,P197*($F$16-$F$6)/30,$F$16-$F$6),)</f>
        <v>0</v>
      </c>
      <c r="W197" s="33">
        <v>0</v>
      </c>
      <c r="X197" s="33">
        <f t="shared" ref="X197:X205" si="93">((S197+T197)*0.475+U197+V197+W197)*44/12</f>
        <v>0</v>
      </c>
      <c r="Y197" s="38">
        <f t="shared" ref="Y197:Y205" si="94">IF(P197&lt;=$F$18,X197-O197,)</f>
        <v>0</v>
      </c>
      <c r="AA197" s="71">
        <v>192</v>
      </c>
      <c r="AB197" s="33">
        <f t="shared" ref="AB197:AB205" si="95">IF(AA197&lt;=$F$18,IFERROR(VLOOKUP($AA197,$B$82:$G$94,2,FALSE),0),)</f>
        <v>0</v>
      </c>
      <c r="AC197" s="308">
        <f t="shared" si="88"/>
        <v>0</v>
      </c>
      <c r="AD197" s="101">
        <f t="shared" ref="AD197:AD205" si="96">IF(AA197&lt;=$F$18,IFERROR(VLOOKUP($AA197,$B$82:$G$94,4,FALSE),0),)</f>
        <v>0</v>
      </c>
      <c r="AE197" s="101">
        <f t="shared" ref="AE197:AE205" si="97">IF(AA197&lt;=$F$18,IFERROR(VLOOKUP($AA197,$B$82:$G$94,5,FALSE),0),)</f>
        <v>0</v>
      </c>
      <c r="AF197" s="197">
        <f t="shared" si="84"/>
        <v>0</v>
      </c>
      <c r="AG197" s="197">
        <f t="shared" si="85"/>
        <v>0</v>
      </c>
      <c r="AH197" s="197">
        <f t="shared" si="86"/>
        <v>0</v>
      </c>
      <c r="AI197" s="202">
        <f t="shared" si="87"/>
        <v>0</v>
      </c>
      <c r="AK197" s="71">
        <v>192</v>
      </c>
      <c r="AL197" s="33"/>
      <c r="AM197" s="33"/>
      <c r="AN197" s="33"/>
      <c r="AO197" s="33"/>
      <c r="AP197" s="33"/>
      <c r="AQ197" s="197"/>
      <c r="AR197" s="197"/>
      <c r="AS197" s="197"/>
      <c r="AT197" s="197"/>
      <c r="AU197" s="33"/>
      <c r="AV197" s="33"/>
      <c r="AW197" s="33"/>
      <c r="AX197" s="33"/>
      <c r="AY197" s="76"/>
    </row>
    <row r="198" spans="3:51">
      <c r="E198" s="24"/>
      <c r="I198" s="55">
        <v>193</v>
      </c>
      <c r="J198" s="33">
        <f t="shared" si="78"/>
        <v>0</v>
      </c>
      <c r="K198" s="33">
        <f t="shared" si="79"/>
        <v>0</v>
      </c>
      <c r="L198" s="33">
        <f t="shared" si="80"/>
        <v>0</v>
      </c>
      <c r="M198" s="33">
        <f t="shared" si="81"/>
        <v>0</v>
      </c>
      <c r="N198" s="33">
        <f t="shared" si="89"/>
        <v>0</v>
      </c>
      <c r="O198" s="34">
        <f t="shared" si="90"/>
        <v>0</v>
      </c>
      <c r="P198" s="55">
        <v>193</v>
      </c>
      <c r="Q198" s="33">
        <f t="shared" ref="Q198:Q205" si="98">IF(P198&lt;=$F$18,LOOKUP(P198-1,$B$25:$B$78,$G$25:$G$78),)</f>
        <v>0</v>
      </c>
      <c r="R198" s="33">
        <f t="shared" si="82"/>
        <v>0</v>
      </c>
      <c r="S198" s="33">
        <f t="shared" si="83"/>
        <v>0</v>
      </c>
      <c r="T198" s="33">
        <f t="shared" si="91"/>
        <v>0</v>
      </c>
      <c r="U198" s="33">
        <f t="shared" ref="U198:U205" si="99">IF(P198&lt;=$F$18,$F$5+($F$15-$F$5)*(1-EXP(-0.0175*P198)),)</f>
        <v>0</v>
      </c>
      <c r="V198" s="33">
        <f t="shared" si="92"/>
        <v>0</v>
      </c>
      <c r="W198" s="33">
        <v>0</v>
      </c>
      <c r="X198" s="33">
        <f t="shared" si="93"/>
        <v>0</v>
      </c>
      <c r="Y198" s="38">
        <f t="shared" si="94"/>
        <v>0</v>
      </c>
      <c r="AA198" s="71">
        <v>193</v>
      </c>
      <c r="AB198" s="33">
        <f t="shared" si="95"/>
        <v>0</v>
      </c>
      <c r="AC198" s="308">
        <f t="shared" si="88"/>
        <v>0</v>
      </c>
      <c r="AD198" s="101">
        <f t="shared" si="96"/>
        <v>0</v>
      </c>
      <c r="AE198" s="101">
        <f t="shared" si="97"/>
        <v>0</v>
      </c>
      <c r="AF198" s="197">
        <f t="shared" si="84"/>
        <v>0</v>
      </c>
      <c r="AG198" s="197">
        <f t="shared" si="85"/>
        <v>0</v>
      </c>
      <c r="AH198" s="197">
        <f t="shared" si="86"/>
        <v>0</v>
      </c>
      <c r="AI198" s="202">
        <f t="shared" si="87"/>
        <v>0</v>
      </c>
      <c r="AK198" s="71">
        <v>193</v>
      </c>
      <c r="AL198" s="33"/>
      <c r="AM198" s="33"/>
      <c r="AN198" s="33"/>
      <c r="AO198" s="33"/>
      <c r="AP198" s="33"/>
      <c r="AQ198" s="197"/>
      <c r="AR198" s="197"/>
      <c r="AS198" s="197"/>
      <c r="AT198" s="197"/>
      <c r="AU198" s="33"/>
      <c r="AV198" s="33"/>
      <c r="AW198" s="33"/>
      <c r="AX198" s="33"/>
      <c r="AY198" s="76"/>
    </row>
    <row r="199" spans="3:51">
      <c r="E199" s="24"/>
      <c r="I199" s="55">
        <v>194</v>
      </c>
      <c r="J199" s="33">
        <f t="shared" ref="J199:J205" si="100">IF($I199&lt;=$F$10,$F$11*$F$13+J198,)</f>
        <v>0</v>
      </c>
      <c r="K199" s="33">
        <f t="shared" ref="K199:K205" si="101">IF(J199=0,0,EXP(-1.0587+0.8836*LN(J199)+0.284))</f>
        <v>0</v>
      </c>
      <c r="L199" s="33">
        <f t="shared" ref="L199:L205" si="102">IF(I199&lt;=$F$10,$F$5+($F$8-$F$5)*(1-EXP(-0.0175*I199)),)</f>
        <v>0</v>
      </c>
      <c r="M199" s="33">
        <f t="shared" ref="M199:M205" si="103">IF(I199&lt;=$F$10,IF(I199&lt;=30,I199*($F$9-$F$6)/30,$F$9-$F$6),)</f>
        <v>0</v>
      </c>
      <c r="N199" s="33">
        <f t="shared" si="89"/>
        <v>0</v>
      </c>
      <c r="O199" s="34">
        <f t="shared" si="90"/>
        <v>0</v>
      </c>
      <c r="P199" s="55">
        <v>194</v>
      </c>
      <c r="Q199" s="33">
        <f t="shared" si="98"/>
        <v>0</v>
      </c>
      <c r="R199" s="33">
        <f t="shared" ref="R199:R205" si="104">IF(P199&lt;=$F$18,Q199+R198,)</f>
        <v>0</v>
      </c>
      <c r="S199" s="33">
        <f t="shared" ref="S199:S205" si="105">$F$19*R199</f>
        <v>0</v>
      </c>
      <c r="T199" s="33">
        <f t="shared" si="91"/>
        <v>0</v>
      </c>
      <c r="U199" s="33">
        <f t="shared" si="99"/>
        <v>0</v>
      </c>
      <c r="V199" s="33">
        <f t="shared" si="92"/>
        <v>0</v>
      </c>
      <c r="W199" s="33">
        <v>0</v>
      </c>
      <c r="X199" s="33">
        <f t="shared" si="93"/>
        <v>0</v>
      </c>
      <c r="Y199" s="38">
        <f t="shared" si="94"/>
        <v>0</v>
      </c>
      <c r="AA199" s="71">
        <v>194</v>
      </c>
      <c r="AB199" s="33">
        <f t="shared" si="95"/>
        <v>0</v>
      </c>
      <c r="AC199" s="308">
        <f t="shared" si="88"/>
        <v>0</v>
      </c>
      <c r="AD199" s="101">
        <f t="shared" si="96"/>
        <v>0</v>
      </c>
      <c r="AE199" s="101">
        <f t="shared" si="97"/>
        <v>0</v>
      </c>
      <c r="AF199" s="197">
        <f t="shared" si="84"/>
        <v>0</v>
      </c>
      <c r="AG199" s="197">
        <f t="shared" si="85"/>
        <v>0</v>
      </c>
      <c r="AH199" s="197">
        <f t="shared" si="86"/>
        <v>0</v>
      </c>
      <c r="AI199" s="202">
        <f t="shared" si="87"/>
        <v>0</v>
      </c>
      <c r="AK199" s="71">
        <v>194</v>
      </c>
      <c r="AL199" s="33"/>
      <c r="AM199" s="33"/>
      <c r="AN199" s="33"/>
      <c r="AO199" s="33"/>
      <c r="AP199" s="33"/>
      <c r="AQ199" s="197"/>
      <c r="AR199" s="197"/>
      <c r="AS199" s="197"/>
      <c r="AT199" s="197"/>
      <c r="AU199" s="33"/>
      <c r="AV199" s="33"/>
      <c r="AW199" s="33"/>
      <c r="AX199" s="33"/>
      <c r="AY199" s="76"/>
    </row>
    <row r="200" spans="3:51">
      <c r="E200" s="24"/>
      <c r="I200" s="55">
        <v>195</v>
      </c>
      <c r="J200" s="33">
        <f t="shared" si="100"/>
        <v>0</v>
      </c>
      <c r="K200" s="33">
        <f t="shared" si="101"/>
        <v>0</v>
      </c>
      <c r="L200" s="33">
        <f t="shared" si="102"/>
        <v>0</v>
      </c>
      <c r="M200" s="33">
        <f t="shared" si="103"/>
        <v>0</v>
      </c>
      <c r="N200" s="33">
        <f t="shared" si="89"/>
        <v>0</v>
      </c>
      <c r="O200" s="34">
        <f t="shared" si="90"/>
        <v>0</v>
      </c>
      <c r="P200" s="55">
        <v>195</v>
      </c>
      <c r="Q200" s="33">
        <f t="shared" si="98"/>
        <v>0</v>
      </c>
      <c r="R200" s="33">
        <f t="shared" si="104"/>
        <v>0</v>
      </c>
      <c r="S200" s="33">
        <f t="shared" si="105"/>
        <v>0</v>
      </c>
      <c r="T200" s="33">
        <f t="shared" si="91"/>
        <v>0</v>
      </c>
      <c r="U200" s="33">
        <f t="shared" si="99"/>
        <v>0</v>
      </c>
      <c r="V200" s="33">
        <f t="shared" si="92"/>
        <v>0</v>
      </c>
      <c r="W200" s="33">
        <v>0</v>
      </c>
      <c r="X200" s="33">
        <f t="shared" si="93"/>
        <v>0</v>
      </c>
      <c r="Y200" s="38">
        <f t="shared" si="94"/>
        <v>0</v>
      </c>
      <c r="AA200" s="71">
        <v>195</v>
      </c>
      <c r="AB200" s="33">
        <f t="shared" si="95"/>
        <v>0</v>
      </c>
      <c r="AC200" s="308">
        <f t="shared" si="88"/>
        <v>0</v>
      </c>
      <c r="AD200" s="101">
        <f t="shared" si="96"/>
        <v>0</v>
      </c>
      <c r="AE200" s="101">
        <f t="shared" si="97"/>
        <v>0</v>
      </c>
      <c r="AF200" s="197">
        <f t="shared" si="84"/>
        <v>0</v>
      </c>
      <c r="AG200" s="197">
        <f t="shared" si="85"/>
        <v>0</v>
      </c>
      <c r="AH200" s="197">
        <f t="shared" si="86"/>
        <v>0</v>
      </c>
      <c r="AI200" s="202">
        <f t="shared" si="87"/>
        <v>0</v>
      </c>
      <c r="AK200" s="71">
        <v>195</v>
      </c>
      <c r="AL200" s="33"/>
      <c r="AM200" s="33"/>
      <c r="AN200" s="33"/>
      <c r="AO200" s="33"/>
      <c r="AP200" s="33"/>
      <c r="AQ200" s="197"/>
      <c r="AR200" s="197"/>
      <c r="AS200" s="197"/>
      <c r="AT200" s="197"/>
      <c r="AU200" s="33"/>
      <c r="AV200" s="33"/>
      <c r="AW200" s="33"/>
      <c r="AX200" s="33"/>
      <c r="AY200" s="76"/>
    </row>
    <row r="201" spans="3:51">
      <c r="E201" s="24"/>
      <c r="I201" s="55">
        <v>196</v>
      </c>
      <c r="J201" s="33">
        <f t="shared" si="100"/>
        <v>0</v>
      </c>
      <c r="K201" s="33">
        <f t="shared" si="101"/>
        <v>0</v>
      </c>
      <c r="L201" s="33">
        <f t="shared" si="102"/>
        <v>0</v>
      </c>
      <c r="M201" s="33">
        <f t="shared" si="103"/>
        <v>0</v>
      </c>
      <c r="N201" s="33">
        <f t="shared" si="89"/>
        <v>0</v>
      </c>
      <c r="O201" s="34">
        <f t="shared" si="90"/>
        <v>0</v>
      </c>
      <c r="P201" s="55">
        <v>196</v>
      </c>
      <c r="Q201" s="33">
        <f t="shared" si="98"/>
        <v>0</v>
      </c>
      <c r="R201" s="33">
        <f t="shared" si="104"/>
        <v>0</v>
      </c>
      <c r="S201" s="33">
        <f t="shared" si="105"/>
        <v>0</v>
      </c>
      <c r="T201" s="33">
        <f t="shared" si="91"/>
        <v>0</v>
      </c>
      <c r="U201" s="33">
        <f t="shared" si="99"/>
        <v>0</v>
      </c>
      <c r="V201" s="33">
        <f t="shared" si="92"/>
        <v>0</v>
      </c>
      <c r="W201" s="33">
        <v>0</v>
      </c>
      <c r="X201" s="33">
        <f t="shared" si="93"/>
        <v>0</v>
      </c>
      <c r="Y201" s="38">
        <f t="shared" si="94"/>
        <v>0</v>
      </c>
      <c r="AA201" s="71">
        <v>196</v>
      </c>
      <c r="AB201" s="33">
        <f t="shared" si="95"/>
        <v>0</v>
      </c>
      <c r="AC201" s="308">
        <f t="shared" si="88"/>
        <v>0</v>
      </c>
      <c r="AD201" s="101">
        <f t="shared" si="96"/>
        <v>0</v>
      </c>
      <c r="AE201" s="101">
        <f t="shared" si="97"/>
        <v>0</v>
      </c>
      <c r="AF201" s="197">
        <f t="shared" si="84"/>
        <v>0</v>
      </c>
      <c r="AG201" s="197">
        <f t="shared" si="85"/>
        <v>0</v>
      </c>
      <c r="AH201" s="197">
        <f t="shared" si="86"/>
        <v>0</v>
      </c>
      <c r="AI201" s="202">
        <f t="shared" si="87"/>
        <v>0</v>
      </c>
      <c r="AK201" s="71">
        <v>196</v>
      </c>
      <c r="AL201" s="33"/>
      <c r="AM201" s="33"/>
      <c r="AN201" s="33"/>
      <c r="AO201" s="33"/>
      <c r="AP201" s="33"/>
      <c r="AQ201" s="197"/>
      <c r="AR201" s="197"/>
      <c r="AS201" s="197"/>
      <c r="AT201" s="197"/>
      <c r="AU201" s="33"/>
      <c r="AV201" s="33"/>
      <c r="AW201" s="33"/>
      <c r="AX201" s="33"/>
      <c r="AY201" s="76"/>
    </row>
    <row r="202" spans="3:51">
      <c r="E202" s="24"/>
      <c r="I202" s="55">
        <v>197</v>
      </c>
      <c r="J202" s="33">
        <f t="shared" si="100"/>
        <v>0</v>
      </c>
      <c r="K202" s="33">
        <f t="shared" si="101"/>
        <v>0</v>
      </c>
      <c r="L202" s="33">
        <f t="shared" si="102"/>
        <v>0</v>
      </c>
      <c r="M202" s="33">
        <f t="shared" si="103"/>
        <v>0</v>
      </c>
      <c r="N202" s="33">
        <f t="shared" si="89"/>
        <v>0</v>
      </c>
      <c r="O202" s="34">
        <f t="shared" si="90"/>
        <v>0</v>
      </c>
      <c r="P202" s="55">
        <v>197</v>
      </c>
      <c r="Q202" s="33">
        <f t="shared" si="98"/>
        <v>0</v>
      </c>
      <c r="R202" s="33">
        <f t="shared" si="104"/>
        <v>0</v>
      </c>
      <c r="S202" s="33">
        <f t="shared" si="105"/>
        <v>0</v>
      </c>
      <c r="T202" s="33">
        <f t="shared" si="91"/>
        <v>0</v>
      </c>
      <c r="U202" s="33">
        <f t="shared" si="99"/>
        <v>0</v>
      </c>
      <c r="V202" s="33">
        <f t="shared" si="92"/>
        <v>0</v>
      </c>
      <c r="W202" s="33">
        <v>0</v>
      </c>
      <c r="X202" s="33">
        <f t="shared" si="93"/>
        <v>0</v>
      </c>
      <c r="Y202" s="38">
        <f t="shared" si="94"/>
        <v>0</v>
      </c>
      <c r="AA202" s="71">
        <v>197</v>
      </c>
      <c r="AB202" s="33">
        <f t="shared" si="95"/>
        <v>0</v>
      </c>
      <c r="AC202" s="308">
        <f t="shared" si="88"/>
        <v>0</v>
      </c>
      <c r="AD202" s="101">
        <f t="shared" si="96"/>
        <v>0</v>
      </c>
      <c r="AE202" s="101">
        <f t="shared" si="97"/>
        <v>0</v>
      </c>
      <c r="AF202" s="197">
        <f t="shared" si="84"/>
        <v>0</v>
      </c>
      <c r="AG202" s="197">
        <f t="shared" si="85"/>
        <v>0</v>
      </c>
      <c r="AH202" s="197">
        <f t="shared" si="86"/>
        <v>0</v>
      </c>
      <c r="AI202" s="202">
        <f t="shared" si="87"/>
        <v>0</v>
      </c>
      <c r="AK202" s="71">
        <v>197</v>
      </c>
      <c r="AL202" s="33"/>
      <c r="AM202" s="33"/>
      <c r="AN202" s="33"/>
      <c r="AO202" s="33"/>
      <c r="AP202" s="33"/>
      <c r="AQ202" s="197"/>
      <c r="AR202" s="197"/>
      <c r="AS202" s="197"/>
      <c r="AT202" s="197"/>
      <c r="AU202" s="33"/>
      <c r="AV202" s="33"/>
      <c r="AW202" s="33"/>
      <c r="AX202" s="33"/>
      <c r="AY202" s="76"/>
    </row>
    <row r="203" spans="3:51">
      <c r="E203" s="24"/>
      <c r="I203" s="55">
        <v>198</v>
      </c>
      <c r="J203" s="33">
        <f t="shared" si="100"/>
        <v>0</v>
      </c>
      <c r="K203" s="33">
        <f t="shared" si="101"/>
        <v>0</v>
      </c>
      <c r="L203" s="33">
        <f t="shared" si="102"/>
        <v>0</v>
      </c>
      <c r="M203" s="33">
        <f t="shared" si="103"/>
        <v>0</v>
      </c>
      <c r="N203" s="33">
        <f t="shared" si="89"/>
        <v>0</v>
      </c>
      <c r="O203" s="34">
        <f t="shared" si="90"/>
        <v>0</v>
      </c>
      <c r="P203" s="55">
        <v>198</v>
      </c>
      <c r="Q203" s="33">
        <f t="shared" si="98"/>
        <v>0</v>
      </c>
      <c r="R203" s="33">
        <f t="shared" si="104"/>
        <v>0</v>
      </c>
      <c r="S203" s="33">
        <f t="shared" si="105"/>
        <v>0</v>
      </c>
      <c r="T203" s="33">
        <f t="shared" si="91"/>
        <v>0</v>
      </c>
      <c r="U203" s="33">
        <f t="shared" si="99"/>
        <v>0</v>
      </c>
      <c r="V203" s="33">
        <f t="shared" si="92"/>
        <v>0</v>
      </c>
      <c r="W203" s="33">
        <v>0</v>
      </c>
      <c r="X203" s="33">
        <f t="shared" si="93"/>
        <v>0</v>
      </c>
      <c r="Y203" s="38">
        <f t="shared" si="94"/>
        <v>0</v>
      </c>
      <c r="AA203" s="71">
        <v>198</v>
      </c>
      <c r="AB203" s="33">
        <f t="shared" si="95"/>
        <v>0</v>
      </c>
      <c r="AC203" s="308">
        <f t="shared" si="88"/>
        <v>0</v>
      </c>
      <c r="AD203" s="101">
        <f t="shared" si="96"/>
        <v>0</v>
      </c>
      <c r="AE203" s="101">
        <f t="shared" si="97"/>
        <v>0</v>
      </c>
      <c r="AF203" s="197">
        <f t="shared" si="84"/>
        <v>0</v>
      </c>
      <c r="AG203" s="197">
        <f t="shared" si="85"/>
        <v>0</v>
      </c>
      <c r="AH203" s="197">
        <f t="shared" si="86"/>
        <v>0</v>
      </c>
      <c r="AI203" s="202">
        <f t="shared" si="87"/>
        <v>0</v>
      </c>
      <c r="AK203" s="71">
        <v>198</v>
      </c>
      <c r="AL203" s="33"/>
      <c r="AM203" s="33"/>
      <c r="AN203" s="33"/>
      <c r="AO203" s="33"/>
      <c r="AP203" s="33"/>
      <c r="AQ203" s="197"/>
      <c r="AR203" s="197"/>
      <c r="AS203" s="197"/>
      <c r="AT203" s="197"/>
      <c r="AU203" s="33"/>
      <c r="AV203" s="33"/>
      <c r="AW203" s="33"/>
      <c r="AX203" s="33"/>
      <c r="AY203" s="76"/>
    </row>
    <row r="204" spans="3:51">
      <c r="E204" s="24"/>
      <c r="I204" s="55">
        <v>199</v>
      </c>
      <c r="J204" s="33">
        <f t="shared" si="100"/>
        <v>0</v>
      </c>
      <c r="K204" s="33">
        <f t="shared" si="101"/>
        <v>0</v>
      </c>
      <c r="L204" s="33">
        <f t="shared" si="102"/>
        <v>0</v>
      </c>
      <c r="M204" s="33">
        <f t="shared" si="103"/>
        <v>0</v>
      </c>
      <c r="N204" s="33">
        <f t="shared" si="89"/>
        <v>0</v>
      </c>
      <c r="O204" s="34">
        <f t="shared" si="90"/>
        <v>0</v>
      </c>
      <c r="P204" s="55">
        <v>199</v>
      </c>
      <c r="Q204" s="33">
        <f t="shared" si="98"/>
        <v>0</v>
      </c>
      <c r="R204" s="33">
        <f t="shared" si="104"/>
        <v>0</v>
      </c>
      <c r="S204" s="33">
        <f t="shared" si="105"/>
        <v>0</v>
      </c>
      <c r="T204" s="33">
        <f t="shared" si="91"/>
        <v>0</v>
      </c>
      <c r="U204" s="33">
        <f t="shared" si="99"/>
        <v>0</v>
      </c>
      <c r="V204" s="33">
        <f t="shared" si="92"/>
        <v>0</v>
      </c>
      <c r="W204" s="33">
        <v>0</v>
      </c>
      <c r="X204" s="33">
        <f t="shared" si="93"/>
        <v>0</v>
      </c>
      <c r="Y204" s="38">
        <f t="shared" si="94"/>
        <v>0</v>
      </c>
      <c r="AA204" s="71">
        <v>199</v>
      </c>
      <c r="AB204" s="33">
        <f t="shared" si="95"/>
        <v>0</v>
      </c>
      <c r="AC204" s="308">
        <f t="shared" si="88"/>
        <v>0</v>
      </c>
      <c r="AD204" s="101">
        <f t="shared" si="96"/>
        <v>0</v>
      </c>
      <c r="AE204" s="101">
        <f t="shared" si="97"/>
        <v>0</v>
      </c>
      <c r="AF204" s="197">
        <f t="shared" si="84"/>
        <v>0</v>
      </c>
      <c r="AG204" s="197">
        <f t="shared" si="85"/>
        <v>0</v>
      </c>
      <c r="AH204" s="197">
        <f t="shared" si="86"/>
        <v>0</v>
      </c>
      <c r="AI204" s="202">
        <f t="shared" si="87"/>
        <v>0</v>
      </c>
      <c r="AK204" s="71">
        <v>199</v>
      </c>
      <c r="AL204" s="33"/>
      <c r="AM204" s="33"/>
      <c r="AN204" s="33"/>
      <c r="AO204" s="33"/>
      <c r="AP204" s="33"/>
      <c r="AQ204" s="197"/>
      <c r="AR204" s="197"/>
      <c r="AS204" s="197"/>
      <c r="AT204" s="197"/>
      <c r="AU204" s="33"/>
      <c r="AV204" s="33"/>
      <c r="AW204" s="33"/>
      <c r="AX204" s="33"/>
      <c r="AY204" s="76"/>
    </row>
    <row r="205" spans="3:51">
      <c r="E205" s="24"/>
      <c r="I205" s="56">
        <v>200</v>
      </c>
      <c r="J205" s="33">
        <f t="shared" si="100"/>
        <v>0</v>
      </c>
      <c r="K205" s="33">
        <f t="shared" si="101"/>
        <v>0</v>
      </c>
      <c r="L205" s="33">
        <f t="shared" si="102"/>
        <v>0</v>
      </c>
      <c r="M205" s="33">
        <f t="shared" si="103"/>
        <v>0</v>
      </c>
      <c r="N205" s="35">
        <f>IF(F208&lt;=$F$18,0,)</f>
        <v>0</v>
      </c>
      <c r="O205" s="34">
        <f t="shared" si="90"/>
        <v>0</v>
      </c>
      <c r="P205" s="56">
        <v>200</v>
      </c>
      <c r="Q205" s="35">
        <f t="shared" si="98"/>
        <v>0</v>
      </c>
      <c r="R205" s="35">
        <f t="shared" si="104"/>
        <v>0</v>
      </c>
      <c r="S205" s="35">
        <f t="shared" si="105"/>
        <v>0</v>
      </c>
      <c r="T205" s="35">
        <f t="shared" si="91"/>
        <v>0</v>
      </c>
      <c r="U205" s="35">
        <f t="shared" si="99"/>
        <v>0</v>
      </c>
      <c r="V205" s="35">
        <f t="shared" si="92"/>
        <v>0</v>
      </c>
      <c r="W205" s="35">
        <v>0</v>
      </c>
      <c r="X205" s="158">
        <f t="shared" si="93"/>
        <v>0</v>
      </c>
      <c r="Y205" s="39">
        <f t="shared" si="94"/>
        <v>0</v>
      </c>
      <c r="AA205" s="72">
        <v>200</v>
      </c>
      <c r="AB205" s="146">
        <f t="shared" si="95"/>
        <v>0</v>
      </c>
      <c r="AC205" s="308">
        <f t="shared" si="88"/>
        <v>0</v>
      </c>
      <c r="AD205" s="102">
        <f t="shared" si="96"/>
        <v>0</v>
      </c>
      <c r="AE205" s="102">
        <f t="shared" si="97"/>
        <v>0</v>
      </c>
      <c r="AF205" s="199">
        <f t="shared" si="84"/>
        <v>0</v>
      </c>
      <c r="AG205" s="199">
        <f t="shared" si="85"/>
        <v>0</v>
      </c>
      <c r="AH205" s="199">
        <f t="shared" si="86"/>
        <v>0</v>
      </c>
      <c r="AI205" s="206">
        <f t="shared" si="87"/>
        <v>0</v>
      </c>
      <c r="AK205" s="72">
        <v>200</v>
      </c>
      <c r="AL205" s="146"/>
      <c r="AM205" s="35"/>
      <c r="AN205" s="35"/>
      <c r="AO205" s="35"/>
      <c r="AP205" s="35"/>
      <c r="AQ205" s="199"/>
      <c r="AR205" s="199"/>
      <c r="AS205" s="199"/>
      <c r="AT205" s="199"/>
      <c r="AU205" s="35"/>
      <c r="AV205" s="35"/>
      <c r="AW205" s="35"/>
      <c r="AX205" s="35"/>
      <c r="AY205" s="77"/>
    </row>
    <row r="206" spans="3:51">
      <c r="E206" s="24"/>
    </row>
    <row r="207" spans="3:51">
      <c r="E207" s="24"/>
    </row>
  </sheetData>
  <mergeCells count="29">
    <mergeCell ref="B80:G80"/>
    <mergeCell ref="AA3:AI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AK3:AY3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</mergeCells>
  <dataValidations count="5">
    <dataValidation type="list" allowBlank="1" showInputMessage="1" showErrorMessage="1" sqref="D8:E8 D5:E5 D15" xr:uid="{00000000-0002-0000-0700-000000000000}">
      <formula1>$B$97:$B$100</formula1>
    </dataValidation>
    <dataValidation type="list" allowBlank="1" showInputMessage="1" showErrorMessage="1" sqref="D81:G81" xr:uid="{00000000-0002-0000-0700-000001000000}">
      <formula1>$B$104:$B$108</formula1>
    </dataValidation>
    <dataValidation type="list" allowBlank="1" showInputMessage="1" showErrorMessage="1" sqref="F20" xr:uid="{00000000-0002-0000-0700-000002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F17" xr:uid="{00000000-0002-0000-0700-000003000000}">
      <formula1>$C$130:$C$195</formula1>
    </dataValidation>
    <dataValidation type="list" allowBlank="1" showInputMessage="1" showErrorMessage="1" sqref="F12" xr:uid="{00000000-0002-0000-0700-000004000000}">
      <formula1>$C$194:$C$195</formula1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F221"/>
  <sheetViews>
    <sheetView topLeftCell="A184" zoomScale="85" zoomScaleNormal="85" zoomScaleSheetLayoutView="25" workbookViewId="0">
      <selection activeCell="L222" sqref="L222"/>
    </sheetView>
  </sheetViews>
  <sheetFormatPr baseColWidth="10" defaultRowHeight="15"/>
  <cols>
    <col min="2" max="2" width="18.5" customWidth="1"/>
    <col min="3" max="3" width="22.5" customWidth="1"/>
    <col min="4" max="4" width="17" customWidth="1"/>
    <col min="6" max="6" width="13.1640625" bestFit="1" customWidth="1"/>
    <col min="12" max="12" width="15.5" style="256" customWidth="1"/>
    <col min="13" max="13" width="11.5" style="134"/>
    <col min="14" max="14" width="13.6640625" customWidth="1"/>
    <col min="15" max="15" width="12.1640625" style="7" customWidth="1"/>
    <col min="16" max="20" width="10.5" style="7" customWidth="1"/>
    <col min="21" max="21" width="14.6640625" style="7" customWidth="1"/>
    <col min="22" max="22" width="10.5" style="7" customWidth="1"/>
    <col min="23" max="23" width="12.5" customWidth="1"/>
    <col min="24" max="26" width="10.5" customWidth="1"/>
    <col min="27" max="27" width="14.6640625" customWidth="1"/>
    <col min="28" max="28" width="15.1640625" customWidth="1"/>
    <col min="29" max="30" width="10.5" customWidth="1"/>
    <col min="31" max="31" width="16.1640625" customWidth="1"/>
    <col min="32" max="32" width="12.6640625" customWidth="1"/>
    <col min="33" max="33" width="15.33203125" customWidth="1"/>
  </cols>
  <sheetData>
    <row r="2" spans="3:32" ht="16" thickBot="1"/>
    <row r="3" spans="3:32" ht="19">
      <c r="C3" s="409" t="s">
        <v>258</v>
      </c>
      <c r="D3" s="410"/>
      <c r="I3" s="406" t="s">
        <v>196</v>
      </c>
      <c r="J3" s="281"/>
      <c r="K3" s="281" t="s">
        <v>217</v>
      </c>
      <c r="L3" s="282"/>
      <c r="M3" s="283"/>
      <c r="N3" s="391" t="str">
        <f>'Chenes+Alisier - f. très forte'!F17</f>
        <v xml:space="preserve">Chênes indifférenciés </v>
      </c>
      <c r="O3" s="392"/>
      <c r="P3" s="393"/>
      <c r="Q3" s="392" t="str">
        <f>'Chenes+corm+merisier - f. forte'!F17</f>
        <v xml:space="preserve">Chênes indifférenciés </v>
      </c>
      <c r="R3" s="392"/>
      <c r="S3" s="392"/>
      <c r="T3" s="391" t="str">
        <f>'Charme - fertil.forte'!F17</f>
        <v xml:space="preserve">Charme </v>
      </c>
      <c r="U3" s="392"/>
      <c r="V3" s="393"/>
      <c r="W3" s="392" t="str">
        <f>'Pin maritime - très forte'!F17</f>
        <v xml:space="preserve">Pin maritime </v>
      </c>
      <c r="X3" s="392"/>
      <c r="Y3" s="392"/>
      <c r="Z3" s="391" t="str">
        <f>'P. sylv.+laricio+séquoia -forte'!F17</f>
        <v xml:space="preserve">Pin laricio </v>
      </c>
      <c r="AA3" s="392"/>
      <c r="AB3" s="393"/>
      <c r="AC3" s="392" t="str">
        <f>'Douglas - fertilité moyenne'!F17</f>
        <v xml:space="preserve">Douglas </v>
      </c>
      <c r="AD3" s="392"/>
      <c r="AE3" s="422"/>
    </row>
    <row r="4" spans="3:32" ht="19">
      <c r="C4" s="313" t="s">
        <v>262</v>
      </c>
      <c r="D4" s="314">
        <f>E9+SUM(AB21:AB221)</f>
        <v>-73168.472135232048</v>
      </c>
      <c r="I4" s="407"/>
      <c r="J4" s="284"/>
      <c r="K4" s="285" t="s">
        <v>215</v>
      </c>
      <c r="L4" s="288">
        <f>MAX(O4,R4,U4,X4,AA4,AD4)</f>
        <v>100</v>
      </c>
      <c r="M4" s="286"/>
      <c r="N4" s="318" t="s">
        <v>215</v>
      </c>
      <c r="O4" s="240">
        <f>'Chenes+Alisier - f. très forte'!F18</f>
        <v>100</v>
      </c>
      <c r="P4" s="319"/>
      <c r="Q4" s="284" t="s">
        <v>215</v>
      </c>
      <c r="R4" s="240">
        <f>'Chenes+corm+merisier - f. forte'!F18</f>
        <v>100</v>
      </c>
      <c r="S4" s="240"/>
      <c r="T4" s="318" t="s">
        <v>215</v>
      </c>
      <c r="U4" s="240">
        <f>'Charme - fertil.forte'!F18</f>
        <v>100</v>
      </c>
      <c r="V4" s="319"/>
      <c r="W4" s="284" t="s">
        <v>215</v>
      </c>
      <c r="X4" s="240">
        <f>'Pin maritime - très forte'!F18</f>
        <v>50</v>
      </c>
      <c r="Y4" s="240"/>
      <c r="Z4" s="318" t="s">
        <v>215</v>
      </c>
      <c r="AA4" s="240">
        <f>'P. sylv.+laricio+séquoia -forte'!F18</f>
        <v>50</v>
      </c>
      <c r="AB4" s="319"/>
      <c r="AC4" s="284" t="s">
        <v>215</v>
      </c>
      <c r="AD4" s="240">
        <f>'Douglas - fertilité moyenne'!F18</f>
        <v>50</v>
      </c>
      <c r="AE4" s="287"/>
    </row>
    <row r="5" spans="3:32" ht="19">
      <c r="C5" s="313" t="s">
        <v>254</v>
      </c>
      <c r="D5" s="315">
        <f>E9+(1*L4*E184-0)/((1+4.5%)^L4)</f>
        <v>73.539759573103353</v>
      </c>
      <c r="I5" s="407"/>
      <c r="J5" s="284"/>
      <c r="K5" s="285" t="s">
        <v>219</v>
      </c>
      <c r="L5" s="290">
        <f>SUM(O5,R5,U5,X5,AA5,AD5)</f>
        <v>37.600099999999998</v>
      </c>
      <c r="M5" s="286"/>
      <c r="N5" s="318" t="s">
        <v>174</v>
      </c>
      <c r="O5" s="289">
        <f>'Chenes+Alisier - f. très forte'!F21</f>
        <v>13.3</v>
      </c>
      <c r="P5" s="320"/>
      <c r="Q5" s="284" t="s">
        <v>174</v>
      </c>
      <c r="R5" s="289">
        <f>'Chenes+corm+merisier - f. forte'!F21</f>
        <v>6.0750000000000002</v>
      </c>
      <c r="S5" s="289"/>
      <c r="T5" s="318" t="s">
        <v>174</v>
      </c>
      <c r="U5" s="289">
        <f>'Charme - fertil.forte'!F21</f>
        <v>7.2</v>
      </c>
      <c r="V5" s="320"/>
      <c r="W5" s="284" t="s">
        <v>174</v>
      </c>
      <c r="X5" s="289">
        <f>'Pin maritime - très forte'!F21</f>
        <v>3.8285999999999998</v>
      </c>
      <c r="Y5" s="289"/>
      <c r="Z5" s="318" t="s">
        <v>174</v>
      </c>
      <c r="AA5" s="289">
        <f>'P. sylv.+laricio+séquoia -forte'!F21</f>
        <v>5.0536000000000003</v>
      </c>
      <c r="AB5" s="320"/>
      <c r="AC5" s="284" t="s">
        <v>174</v>
      </c>
      <c r="AD5" s="289">
        <f>'Douglas - fertilité moyenne'!F21</f>
        <v>2.1429</v>
      </c>
      <c r="AE5" s="287"/>
    </row>
    <row r="6" spans="3:32" ht="20" thickBot="1">
      <c r="C6" s="317" t="s">
        <v>255</v>
      </c>
      <c r="D6" s="316">
        <f>D4-D5</f>
        <v>-73242.011894805153</v>
      </c>
      <c r="I6" s="407"/>
      <c r="J6" s="284"/>
      <c r="M6" s="286"/>
      <c r="N6" s="318" t="s">
        <v>216</v>
      </c>
      <c r="O6" s="291">
        <v>70</v>
      </c>
      <c r="P6" s="319" t="s">
        <v>220</v>
      </c>
      <c r="Q6" s="284" t="s">
        <v>216</v>
      </c>
      <c r="R6" s="291">
        <f t="shared" ref="R6:R13" si="0">O6</f>
        <v>70</v>
      </c>
      <c r="S6" s="240" t="s">
        <v>220</v>
      </c>
      <c r="T6" s="318" t="s">
        <v>216</v>
      </c>
      <c r="U6" s="291">
        <f t="shared" ref="U6:U13" si="1">R6</f>
        <v>70</v>
      </c>
      <c r="V6" s="319" t="s">
        <v>220</v>
      </c>
      <c r="W6" s="284" t="s">
        <v>216</v>
      </c>
      <c r="X6" s="291">
        <f>U6</f>
        <v>70</v>
      </c>
      <c r="Y6" s="240" t="s">
        <v>220</v>
      </c>
      <c r="Z6" s="318" t="s">
        <v>216</v>
      </c>
      <c r="AA6" s="291">
        <f>X6</f>
        <v>70</v>
      </c>
      <c r="AB6" s="319" t="s">
        <v>220</v>
      </c>
      <c r="AC6" s="284" t="s">
        <v>216</v>
      </c>
      <c r="AD6" s="291">
        <f t="shared" ref="AD6:AD13" si="2">AA6</f>
        <v>70</v>
      </c>
      <c r="AE6" s="287" t="s">
        <v>220</v>
      </c>
    </row>
    <row r="7" spans="3:32">
      <c r="I7" s="407"/>
      <c r="J7" s="284"/>
      <c r="M7" s="286"/>
      <c r="N7" s="318" t="s">
        <v>198</v>
      </c>
      <c r="O7" s="293">
        <v>2412</v>
      </c>
      <c r="P7" s="319" t="s">
        <v>220</v>
      </c>
      <c r="Q7" s="284" t="s">
        <v>198</v>
      </c>
      <c r="R7" s="293">
        <f t="shared" si="0"/>
        <v>2412</v>
      </c>
      <c r="S7" s="240" t="s">
        <v>220</v>
      </c>
      <c r="T7" s="318" t="s">
        <v>198</v>
      </c>
      <c r="U7" s="293">
        <f t="shared" si="1"/>
        <v>2412</v>
      </c>
      <c r="V7" s="319" t="s">
        <v>220</v>
      </c>
      <c r="W7" s="284" t="s">
        <v>198</v>
      </c>
      <c r="X7" s="293">
        <f>U7</f>
        <v>2412</v>
      </c>
      <c r="Y7" s="240" t="s">
        <v>220</v>
      </c>
      <c r="Z7" s="318" t="s">
        <v>198</v>
      </c>
      <c r="AA7" s="293">
        <f>X7</f>
        <v>2412</v>
      </c>
      <c r="AB7" s="319" t="s">
        <v>220</v>
      </c>
      <c r="AC7" s="284" t="s">
        <v>198</v>
      </c>
      <c r="AD7" s="293">
        <f t="shared" si="2"/>
        <v>2412</v>
      </c>
      <c r="AE7" s="287" t="s">
        <v>220</v>
      </c>
    </row>
    <row r="8" spans="3:32" ht="16" thickBot="1">
      <c r="I8" s="407"/>
      <c r="J8" s="284"/>
      <c r="K8" s="285"/>
      <c r="L8" s="294"/>
      <c r="M8" s="286"/>
      <c r="N8" s="318" t="s">
        <v>266</v>
      </c>
      <c r="O8" s="291">
        <v>0</v>
      </c>
      <c r="P8" s="319" t="s">
        <v>220</v>
      </c>
      <c r="Q8" s="318" t="s">
        <v>266</v>
      </c>
      <c r="R8" s="293">
        <f t="shared" si="0"/>
        <v>0</v>
      </c>
      <c r="S8" s="240" t="s">
        <v>220</v>
      </c>
      <c r="T8" s="318" t="s">
        <v>266</v>
      </c>
      <c r="U8" s="293">
        <f t="shared" si="1"/>
        <v>0</v>
      </c>
      <c r="V8" s="319" t="s">
        <v>220</v>
      </c>
      <c r="W8" s="284" t="s">
        <v>203</v>
      </c>
      <c r="X8" s="291">
        <f t="shared" ref="X8:X13" si="3">U8</f>
        <v>0</v>
      </c>
      <c r="Y8" s="240" t="s">
        <v>220</v>
      </c>
      <c r="Z8" s="318" t="s">
        <v>203</v>
      </c>
      <c r="AA8" s="291">
        <f t="shared" ref="AA8:AA13" si="4">X8</f>
        <v>0</v>
      </c>
      <c r="AB8" s="319" t="s">
        <v>220</v>
      </c>
      <c r="AC8" s="284" t="s">
        <v>203</v>
      </c>
      <c r="AD8" s="291">
        <f t="shared" si="2"/>
        <v>0</v>
      </c>
      <c r="AE8" s="287" t="s">
        <v>220</v>
      </c>
    </row>
    <row r="9" spans="3:32" ht="15" customHeight="1" thickBot="1">
      <c r="C9" s="425" t="s">
        <v>264</v>
      </c>
      <c r="D9" s="426"/>
      <c r="E9" s="325">
        <v>0</v>
      </c>
      <c r="I9" s="407"/>
      <c r="J9" s="284"/>
      <c r="K9" s="285" t="s">
        <v>195</v>
      </c>
      <c r="L9" s="292">
        <v>0</v>
      </c>
      <c r="M9" s="286"/>
      <c r="N9" s="318" t="s">
        <v>204</v>
      </c>
      <c r="O9" s="291">
        <v>650</v>
      </c>
      <c r="P9" s="319" t="s">
        <v>220</v>
      </c>
      <c r="Q9" s="284" t="s">
        <v>221</v>
      </c>
      <c r="R9" s="291">
        <f t="shared" si="0"/>
        <v>650</v>
      </c>
      <c r="S9" s="240" t="s">
        <v>220</v>
      </c>
      <c r="T9" s="318" t="s">
        <v>221</v>
      </c>
      <c r="U9" s="291">
        <f t="shared" si="1"/>
        <v>650</v>
      </c>
      <c r="V9" s="319" t="s">
        <v>220</v>
      </c>
      <c r="W9" s="284" t="s">
        <v>221</v>
      </c>
      <c r="X9" s="291">
        <f t="shared" si="3"/>
        <v>650</v>
      </c>
      <c r="Y9" s="240" t="s">
        <v>220</v>
      </c>
      <c r="Z9" s="318" t="s">
        <v>221</v>
      </c>
      <c r="AA9" s="291">
        <f t="shared" si="4"/>
        <v>650</v>
      </c>
      <c r="AB9" s="319" t="s">
        <v>220</v>
      </c>
      <c r="AC9" s="284" t="s">
        <v>221</v>
      </c>
      <c r="AD9" s="291">
        <f t="shared" si="2"/>
        <v>650</v>
      </c>
      <c r="AE9" s="287" t="s">
        <v>220</v>
      </c>
    </row>
    <row r="10" spans="3:32" ht="15" customHeight="1">
      <c r="C10" s="423" t="s">
        <v>263</v>
      </c>
      <c r="D10" s="326">
        <v>0</v>
      </c>
      <c r="E10" s="327">
        <v>55161</v>
      </c>
      <c r="I10" s="407"/>
      <c r="J10" s="284"/>
      <c r="K10" s="285" t="s">
        <v>218</v>
      </c>
      <c r="L10" s="295">
        <v>2.0500000000000001E-2</v>
      </c>
      <c r="M10" s="286"/>
      <c r="N10" s="318" t="s">
        <v>205</v>
      </c>
      <c r="O10" s="291">
        <v>650</v>
      </c>
      <c r="P10" s="319" t="s">
        <v>220</v>
      </c>
      <c r="Q10" s="284" t="s">
        <v>222</v>
      </c>
      <c r="R10" s="291">
        <f t="shared" si="0"/>
        <v>650</v>
      </c>
      <c r="S10" s="240" t="s">
        <v>220</v>
      </c>
      <c r="T10" s="318" t="s">
        <v>222</v>
      </c>
      <c r="U10" s="291">
        <f t="shared" si="1"/>
        <v>650</v>
      </c>
      <c r="V10" s="319" t="s">
        <v>220</v>
      </c>
      <c r="W10" s="284" t="s">
        <v>222</v>
      </c>
      <c r="X10" s="291">
        <f t="shared" si="3"/>
        <v>650</v>
      </c>
      <c r="Y10" s="240" t="s">
        <v>220</v>
      </c>
      <c r="Z10" s="318" t="s">
        <v>222</v>
      </c>
      <c r="AA10" s="291">
        <f t="shared" si="4"/>
        <v>650</v>
      </c>
      <c r="AB10" s="319" t="s">
        <v>220</v>
      </c>
      <c r="AC10" s="284" t="s">
        <v>222</v>
      </c>
      <c r="AD10" s="291">
        <f t="shared" si="2"/>
        <v>650</v>
      </c>
      <c r="AE10" s="287" t="s">
        <v>220</v>
      </c>
    </row>
    <row r="11" spans="3:32" ht="15" customHeight="1">
      <c r="C11" s="423"/>
      <c r="D11" s="326">
        <v>1</v>
      </c>
      <c r="E11" s="327">
        <v>0</v>
      </c>
      <c r="I11" s="407"/>
      <c r="J11" s="284"/>
      <c r="K11" s="285" t="s">
        <v>201</v>
      </c>
      <c r="L11" s="296">
        <v>0</v>
      </c>
      <c r="M11" s="286"/>
      <c r="N11" s="318" t="s">
        <v>206</v>
      </c>
      <c r="O11" s="291">
        <v>650</v>
      </c>
      <c r="P11" s="319" t="s">
        <v>220</v>
      </c>
      <c r="Q11" s="284" t="s">
        <v>223</v>
      </c>
      <c r="R11" s="291">
        <f t="shared" si="0"/>
        <v>650</v>
      </c>
      <c r="S11" s="240" t="s">
        <v>220</v>
      </c>
      <c r="T11" s="318" t="s">
        <v>223</v>
      </c>
      <c r="U11" s="291">
        <f t="shared" si="1"/>
        <v>650</v>
      </c>
      <c r="V11" s="319" t="s">
        <v>220</v>
      </c>
      <c r="W11" s="284" t="s">
        <v>223</v>
      </c>
      <c r="X11" s="291">
        <f t="shared" si="3"/>
        <v>650</v>
      </c>
      <c r="Y11" s="240" t="s">
        <v>220</v>
      </c>
      <c r="Z11" s="318" t="s">
        <v>223</v>
      </c>
      <c r="AA11" s="291">
        <f t="shared" si="4"/>
        <v>650</v>
      </c>
      <c r="AB11" s="319" t="s">
        <v>220</v>
      </c>
      <c r="AC11" s="284" t="s">
        <v>223</v>
      </c>
      <c r="AD11" s="291">
        <f t="shared" si="2"/>
        <v>650</v>
      </c>
      <c r="AE11" s="287" t="s">
        <v>220</v>
      </c>
    </row>
    <row r="12" spans="3:32" ht="15" customHeight="1">
      <c r="C12" s="423"/>
      <c r="D12" s="326">
        <v>2</v>
      </c>
      <c r="E12" s="327">
        <v>0</v>
      </c>
      <c r="I12" s="407"/>
      <c r="J12" s="284"/>
      <c r="K12" s="285" t="s">
        <v>213</v>
      </c>
      <c r="L12" s="297">
        <v>5</v>
      </c>
      <c r="M12" s="286"/>
      <c r="N12" s="318" t="s">
        <v>207</v>
      </c>
      <c r="O12" s="291">
        <v>250</v>
      </c>
      <c r="P12" s="319" t="s">
        <v>220</v>
      </c>
      <c r="Q12" s="284" t="s">
        <v>224</v>
      </c>
      <c r="R12" s="291">
        <f t="shared" si="0"/>
        <v>250</v>
      </c>
      <c r="S12" s="240" t="s">
        <v>220</v>
      </c>
      <c r="T12" s="318" t="s">
        <v>224</v>
      </c>
      <c r="U12" s="291">
        <f t="shared" si="1"/>
        <v>250</v>
      </c>
      <c r="V12" s="319" t="s">
        <v>220</v>
      </c>
      <c r="W12" s="284" t="s">
        <v>224</v>
      </c>
      <c r="X12" s="291">
        <f t="shared" si="3"/>
        <v>250</v>
      </c>
      <c r="Y12" s="240" t="s">
        <v>220</v>
      </c>
      <c r="Z12" s="318" t="s">
        <v>224</v>
      </c>
      <c r="AA12" s="291">
        <f t="shared" si="4"/>
        <v>250</v>
      </c>
      <c r="AB12" s="319" t="s">
        <v>220</v>
      </c>
      <c r="AC12" s="284" t="s">
        <v>224</v>
      </c>
      <c r="AD12" s="291">
        <f t="shared" si="2"/>
        <v>250</v>
      </c>
      <c r="AE12" s="287" t="s">
        <v>220</v>
      </c>
    </row>
    <row r="13" spans="3:32" ht="15" customHeight="1">
      <c r="C13" s="423"/>
      <c r="D13" s="326">
        <v>3</v>
      </c>
      <c r="E13" s="327">
        <v>0</v>
      </c>
      <c r="I13" s="407"/>
      <c r="J13" s="284"/>
      <c r="K13" s="285" t="s">
        <v>214</v>
      </c>
      <c r="L13" s="297">
        <v>25</v>
      </c>
      <c r="M13" s="286"/>
      <c r="N13" s="318" t="s">
        <v>208</v>
      </c>
      <c r="O13" s="291">
        <v>850</v>
      </c>
      <c r="P13" s="319" t="s">
        <v>220</v>
      </c>
      <c r="Q13" s="284" t="s">
        <v>225</v>
      </c>
      <c r="R13" s="291">
        <f t="shared" si="0"/>
        <v>850</v>
      </c>
      <c r="S13" s="240" t="s">
        <v>220</v>
      </c>
      <c r="T13" s="318" t="s">
        <v>225</v>
      </c>
      <c r="U13" s="291">
        <f t="shared" si="1"/>
        <v>850</v>
      </c>
      <c r="V13" s="319" t="s">
        <v>220</v>
      </c>
      <c r="W13" s="284" t="s">
        <v>225</v>
      </c>
      <c r="X13" s="291">
        <f t="shared" si="3"/>
        <v>850</v>
      </c>
      <c r="Y13" s="240" t="s">
        <v>220</v>
      </c>
      <c r="Z13" s="318" t="s">
        <v>225</v>
      </c>
      <c r="AA13" s="291">
        <f t="shared" si="4"/>
        <v>850</v>
      </c>
      <c r="AB13" s="319" t="s">
        <v>220</v>
      </c>
      <c r="AC13" s="284" t="s">
        <v>225</v>
      </c>
      <c r="AD13" s="291">
        <f t="shared" si="2"/>
        <v>850</v>
      </c>
      <c r="AE13" s="287" t="s">
        <v>220</v>
      </c>
    </row>
    <row r="14" spans="3:32" ht="15" customHeight="1" thickBot="1">
      <c r="C14" s="423"/>
      <c r="D14" s="326">
        <v>4</v>
      </c>
      <c r="E14" s="327">
        <v>0</v>
      </c>
      <c r="I14" s="408"/>
      <c r="J14" s="298"/>
      <c r="K14" s="298"/>
      <c r="L14" s="299"/>
      <c r="M14" s="300"/>
      <c r="N14" s="321"/>
      <c r="O14" s="309"/>
      <c r="P14" s="323"/>
      <c r="Q14" s="300"/>
      <c r="R14" s="311"/>
      <c r="S14" s="310"/>
      <c r="T14" s="321"/>
      <c r="U14" s="300"/>
      <c r="V14" s="322"/>
      <c r="W14" s="310"/>
      <c r="X14" s="300"/>
      <c r="Y14" s="311"/>
      <c r="Z14" s="324"/>
      <c r="AA14" s="300"/>
      <c r="AB14" s="322"/>
      <c r="AC14" s="310"/>
      <c r="AD14" s="300"/>
      <c r="AE14" s="312"/>
    </row>
    <row r="15" spans="3:32" s="134" customFormat="1" ht="15" customHeight="1" thickBot="1">
      <c r="C15" s="424"/>
      <c r="D15" s="328">
        <v>5</v>
      </c>
      <c r="E15" s="329">
        <v>0</v>
      </c>
      <c r="L15" s="235"/>
      <c r="O15" s="209"/>
      <c r="P15" s="219"/>
      <c r="R15" s="163"/>
      <c r="S15" s="219"/>
      <c r="V15" s="163"/>
      <c r="W15" s="219"/>
      <c r="Y15" s="163"/>
      <c r="Z15" s="219"/>
      <c r="AB15" s="163"/>
      <c r="AC15" s="219"/>
      <c r="AE15" s="163"/>
      <c r="AF15" s="219"/>
    </row>
    <row r="16" spans="3:32" s="134" customFormat="1">
      <c r="L16" s="235"/>
      <c r="M16" s="189"/>
      <c r="O16" s="209"/>
      <c r="P16" s="219"/>
      <c r="R16" s="163"/>
      <c r="S16" s="219"/>
      <c r="V16" s="163"/>
      <c r="W16" s="219"/>
      <c r="Y16" s="163"/>
      <c r="Z16" s="219"/>
      <c r="AB16" s="163"/>
      <c r="AC16" s="219"/>
      <c r="AE16" s="163"/>
      <c r="AF16" s="219"/>
    </row>
    <row r="17" spans="2:30">
      <c r="M17" s="189"/>
    </row>
    <row r="18" spans="2:30" ht="19">
      <c r="M18" s="189"/>
      <c r="N18" s="400" t="s">
        <v>256</v>
      </c>
      <c r="O18" s="401"/>
      <c r="P18" s="401"/>
      <c r="Q18" s="401"/>
      <c r="R18" s="401"/>
      <c r="S18" s="401"/>
      <c r="T18" s="401"/>
      <c r="U18" s="401"/>
      <c r="V18" s="401"/>
      <c r="W18" s="401"/>
      <c r="X18" s="401"/>
      <c r="Y18" s="401"/>
      <c r="Z18" s="401"/>
      <c r="AA18" s="401"/>
      <c r="AB18" s="402"/>
    </row>
    <row r="19" spans="2:30" ht="17" thickBot="1">
      <c r="M19" s="189"/>
      <c r="N19" s="417" t="s">
        <v>76</v>
      </c>
      <c r="O19" s="419" t="s">
        <v>196</v>
      </c>
      <c r="P19" s="420"/>
      <c r="Q19" s="420"/>
      <c r="R19" s="420"/>
      <c r="S19" s="420"/>
      <c r="T19" s="421"/>
      <c r="U19" s="302"/>
      <c r="V19" s="373" t="s">
        <v>197</v>
      </c>
      <c r="W19" s="373"/>
      <c r="X19" s="373"/>
      <c r="Y19" s="373"/>
      <c r="Z19" s="373"/>
      <c r="AA19" s="373"/>
      <c r="AB19" s="236" t="s">
        <v>166</v>
      </c>
    </row>
    <row r="20" spans="2:30" ht="49" thickBot="1">
      <c r="B20" s="403" t="s">
        <v>257</v>
      </c>
      <c r="C20" s="404"/>
      <c r="D20" s="404"/>
      <c r="E20" s="404"/>
      <c r="F20" s="404"/>
      <c r="G20" s="404"/>
      <c r="H20" s="404"/>
      <c r="I20" s="404"/>
      <c r="J20" s="404"/>
      <c r="K20" s="404"/>
      <c r="L20" s="405"/>
      <c r="M20"/>
      <c r="N20" s="418"/>
      <c r="O20" s="237" t="s">
        <v>198</v>
      </c>
      <c r="P20" s="181" t="s">
        <v>199</v>
      </c>
      <c r="Q20" s="181" t="s">
        <v>226</v>
      </c>
      <c r="R20" s="181" t="s">
        <v>200</v>
      </c>
      <c r="S20" s="181" t="s">
        <v>201</v>
      </c>
      <c r="T20" s="238" t="s">
        <v>202</v>
      </c>
      <c r="U20" s="181" t="s">
        <v>263</v>
      </c>
      <c r="V20" s="183" t="s">
        <v>146</v>
      </c>
      <c r="W20" s="177" t="s">
        <v>209</v>
      </c>
      <c r="X20" s="68" t="s">
        <v>210</v>
      </c>
      <c r="Y20" s="64" t="s">
        <v>211</v>
      </c>
      <c r="Z20" s="64" t="s">
        <v>212</v>
      </c>
      <c r="AA20" s="64" t="s">
        <v>197</v>
      </c>
      <c r="AB20" s="75" t="s">
        <v>253</v>
      </c>
    </row>
    <row r="21" spans="2:30">
      <c r="B21" s="414" t="str">
        <f>'Chenes+Alisier - f. très forte'!F17</f>
        <v xml:space="preserve">Chênes indifférenciés </v>
      </c>
      <c r="C21" s="415"/>
      <c r="D21" s="415"/>
      <c r="E21" s="415"/>
      <c r="F21" s="415"/>
      <c r="G21" s="416"/>
      <c r="H21" s="394" t="s">
        <v>248</v>
      </c>
      <c r="I21" s="395"/>
      <c r="J21" s="395"/>
      <c r="K21" s="396"/>
      <c r="L21" s="301">
        <f>O5</f>
        <v>13.3</v>
      </c>
      <c r="N21" s="71">
        <v>0</v>
      </c>
      <c r="O21" s="239">
        <f>SUMPRODUCT(O6:AE6,O5:AE5)+SUMPRODUCT(O5:AE5,O7:AE7)+SUMPRODUCT(O5:AE5,O8:AE8)</f>
        <v>93323.448199999999</v>
      </c>
      <c r="P21" s="180"/>
      <c r="Q21" s="240"/>
      <c r="R21" s="180">
        <f t="shared" ref="R21:R84" si="5">$L$10*SUM(O21:Q21)</f>
        <v>1913.1306881</v>
      </c>
      <c r="S21" s="180">
        <f>$L$11*(1+$L$9)^N21*'Récapitulatif des résultats'!$I$11</f>
        <v>0</v>
      </c>
      <c r="T21" s="241"/>
      <c r="U21" s="338">
        <f t="shared" ref="U21:U26" si="6">VLOOKUP(N21,D9:E14,2,FALSE)</f>
        <v>55161</v>
      </c>
      <c r="V21" s="245">
        <f t="shared" ref="V21:V84" si="7">SUM(W21:Z21)</f>
        <v>0</v>
      </c>
      <c r="W21" s="246">
        <f>SUM('Chenes+Alisier - f. très forte'!AQ5*'Chenes+Alisier - f. très forte'!$F$21,'Chenes+corm+merisier - f. forte'!AQ5*'Chenes+corm+merisier - f. forte'!$F$21,'Charme - fertil.forte'!AQ5*'Charme - fertil.forte'!$F$21,'Pin maritime - très forte'!AQ5*'Pin maritime - très forte'!$F$21,'P. sylv.+laricio+séquoia -forte'!AQ5*'P. sylv.+laricio+séquoia -forte'!$F$21,'Douglas - fertilité moyenne'!AQ5*'Douglas - fertilité moyenne'!$F$21)</f>
        <v>0</v>
      </c>
      <c r="X21" s="246">
        <f>SUM('Chenes+Alisier - f. très forte'!AR5*'Chenes+Alisier - f. très forte'!$F$21,'Chenes+corm+merisier - f. forte'!AR5*'Chenes+corm+merisier - f. forte'!$F$21,'Charme - fertil.forte'!AR5*'Charme - fertil.forte'!$F$21,'Pin maritime - très forte'!AR5*'Pin maritime - très forte'!$F$21,'P. sylv.+laricio+séquoia -forte'!AR5*'P. sylv.+laricio+séquoia -forte'!$F$21,'Douglas - fertilité moyenne'!AR5*'Douglas - fertilité moyenne'!$F$21)</f>
        <v>0</v>
      </c>
      <c r="Y21" s="246">
        <f>SUM('Chenes+Alisier - f. très forte'!AS5*'Chenes+Alisier - f. très forte'!$F$21,'Chenes+corm+merisier - f. forte'!AS5*'Chenes+corm+merisier - f. forte'!$F$21,'Charme - fertil.forte'!AS5*'Charme - fertil.forte'!$F$21,'Pin maritime - très forte'!AS5*'Pin maritime - très forte'!$F$21,'P. sylv.+laricio+séquoia -forte'!AS5*'P. sylv.+laricio+séquoia -forte'!$F$21,'Douglas - fertilité moyenne'!AS5*'Douglas - fertilité moyenne'!$F$21)</f>
        <v>0</v>
      </c>
      <c r="Z21" s="330">
        <f>SUM('Chenes+Alisier - f. très forte'!AT5*'Chenes+Alisier - f. très forte'!$F$21,'Chenes+corm+merisier - f. forte'!AT5*'Chenes+corm+merisier - f. forte'!$F$21,'Charme - fertil.forte'!AT5*'Charme - fertil.forte'!$F$21,'Pin maritime - très forte'!AT5*'Pin maritime - très forte'!$F$21,'P. sylv.+laricio+séquoia -forte'!AT5*'P. sylv.+laricio+séquoia -forte'!$F$21,'Douglas - fertilité moyenne'!AT5*'Douglas - fertilité moyenne'!$F$21)</f>
        <v>0</v>
      </c>
      <c r="AA21" s="247">
        <f>SUMIF(B$23:B$115,N21,L$23:L$115)+U21</f>
        <v>55161</v>
      </c>
      <c r="AB21" s="248">
        <f t="shared" ref="AB21:AB84" si="8">IF(N21&lt;=$L$4,(AA21-SUM(O21:T21))/((1+4.5%)^N21),)</f>
        <v>-40075.578888100004</v>
      </c>
    </row>
    <row r="22" spans="2:30">
      <c r="B22" s="258" t="str">
        <f>'Chenes+Alisier - f. très forte'!B81</f>
        <v>Année</v>
      </c>
      <c r="C22" s="133" t="str">
        <f>'Chenes+Alisier - f. très forte'!C81</f>
        <v>Volume d'éclaircie</v>
      </c>
      <c r="D22" s="131" t="str">
        <f>'Chenes+Alisier - f. très forte'!D81</f>
        <v>BO</v>
      </c>
      <c r="E22" s="131" t="str">
        <f>'Chenes+Alisier - f. très forte'!E81</f>
        <v>BI - panneaux</v>
      </c>
      <c r="F22" s="131" t="str">
        <f>'Chenes+Alisier - f. très forte'!F81</f>
        <v>BI - papier</v>
      </c>
      <c r="G22" s="132" t="str">
        <f>'Chenes+Alisier - f. très forte'!G81</f>
        <v>BE</v>
      </c>
      <c r="H22" s="216" t="s">
        <v>78</v>
      </c>
      <c r="I22" s="217" t="s">
        <v>81</v>
      </c>
      <c r="J22" s="217" t="s">
        <v>80</v>
      </c>
      <c r="K22" s="218" t="s">
        <v>79</v>
      </c>
      <c r="L22" s="259" t="s">
        <v>252</v>
      </c>
      <c r="N22" s="71">
        <v>1</v>
      </c>
      <c r="O22" s="239"/>
      <c r="P22" s="180">
        <f>SUMPRODUCT($O$5:$AE$5,O9:AE9)</f>
        <v>24440.064999999999</v>
      </c>
      <c r="Q22" s="240"/>
      <c r="R22" s="180">
        <f t="shared" si="5"/>
        <v>501.02133249999997</v>
      </c>
      <c r="S22" s="180">
        <f>$L$11*(1+$L$9)^N22*'Récapitulatif des résultats'!$I$11</f>
        <v>0</v>
      </c>
      <c r="T22" s="241"/>
      <c r="U22" s="338">
        <f t="shared" si="6"/>
        <v>0</v>
      </c>
      <c r="V22" s="249">
        <f t="shared" si="7"/>
        <v>0</v>
      </c>
      <c r="W22" s="188">
        <f>SUM('Chenes+Alisier - f. très forte'!AQ6*'Chenes+Alisier - f. très forte'!$F$21,'Chenes+corm+merisier - f. forte'!AQ6*'Chenes+corm+merisier - f. forte'!$F$21,'Charme - fertil.forte'!AQ6*'Charme - fertil.forte'!$F$21,'Pin maritime - très forte'!AQ6*'Pin maritime - très forte'!$F$21,'P. sylv.+laricio+séquoia -forte'!AQ6*'P. sylv.+laricio+séquoia -forte'!$F$21,'Douglas - fertilité moyenne'!AQ6*'Douglas - fertilité moyenne'!$F$21)</f>
        <v>0</v>
      </c>
      <c r="X22" s="188">
        <f>SUM('Chenes+Alisier - f. très forte'!AR6*'Chenes+Alisier - f. très forte'!$F$21,'Chenes+corm+merisier - f. forte'!AR6*'Chenes+corm+merisier - f. forte'!$F$21,'Charme - fertil.forte'!AR6*'Charme - fertil.forte'!$F$21,'Pin maritime - très forte'!AR6*'Pin maritime - très forte'!$F$21,'P. sylv.+laricio+séquoia -forte'!AR6*'P. sylv.+laricio+séquoia -forte'!$F$21,'Douglas - fertilité moyenne'!AR6*'Douglas - fertilité moyenne'!$F$21)</f>
        <v>0</v>
      </c>
      <c r="Y22" s="188">
        <f>SUM('Chenes+Alisier - f. très forte'!AS6*'Chenes+Alisier - f. très forte'!$F$21,'Chenes+corm+merisier - f. forte'!AS6*'Chenes+corm+merisier - f. forte'!$F$21,'Charme - fertil.forte'!AS6*'Charme - fertil.forte'!$F$21,'Pin maritime - très forte'!AS6*'Pin maritime - très forte'!$F$21,'P. sylv.+laricio+séquoia -forte'!AS6*'P. sylv.+laricio+séquoia -forte'!$F$21,'Douglas - fertilité moyenne'!AS6*'Douglas - fertilité moyenne'!$F$21)</f>
        <v>0</v>
      </c>
      <c r="Z22" s="331">
        <f>SUM('Chenes+Alisier - f. très forte'!AT6*'Chenes+Alisier - f. très forte'!$F$21,'Chenes+corm+merisier - f. forte'!AT6*'Chenes+corm+merisier - f. forte'!$F$21,'Charme - fertil.forte'!AT6*'Charme - fertil.forte'!$F$21,'Pin maritime - très forte'!AT6*'Pin maritime - très forte'!$F$21,'P. sylv.+laricio+séquoia -forte'!AT6*'P. sylv.+laricio+séquoia -forte'!$F$21,'Douglas - fertilité moyenne'!AT6*'Douglas - fertilité moyenne'!$F$21)</f>
        <v>0</v>
      </c>
      <c r="AA22" s="178">
        <f t="shared" ref="AA22:AA85" si="9">SUMIF(B$23:B$115,N22,L$23:L$115)+U22</f>
        <v>0</v>
      </c>
      <c r="AB22" s="179">
        <f t="shared" si="8"/>
        <v>-23867.068260765551</v>
      </c>
      <c r="AC22" s="178"/>
      <c r="AD22" s="178"/>
    </row>
    <row r="23" spans="2:30">
      <c r="B23" s="260">
        <f>'Chenes+Alisier - f. très forte'!B82</f>
        <v>21</v>
      </c>
      <c r="C23" s="223">
        <f>'Chenes+Alisier - f. très forte'!C82</f>
        <v>6</v>
      </c>
      <c r="D23" s="220">
        <f>'Chenes+Alisier - f. très forte'!D82</f>
        <v>0</v>
      </c>
      <c r="E23" s="220">
        <f>'Chenes+Alisier - f. très forte'!E82</f>
        <v>0</v>
      </c>
      <c r="F23" s="220">
        <f>'Chenes+Alisier - f. très forte'!F82</f>
        <v>0</v>
      </c>
      <c r="G23" s="224">
        <f>'Chenes+Alisier - f. très forte'!G82</f>
        <v>1</v>
      </c>
      <c r="H23" s="231">
        <f>IFERROR(VLOOKUP($B$21,Tableau14582[],4,FALSE)*(1+$L$9)^$B23,0)</f>
        <v>150</v>
      </c>
      <c r="I23" s="232">
        <f>IFERROR(VLOOKUP($B$21,Tableau14582[],5,FALSE)*(1+$L$9)^$B23,0)</f>
        <v>13.75</v>
      </c>
      <c r="J23" s="232">
        <f>IFERROR(VLOOKUP($B$21,Tableau14582[],5,FALSE)*(1+$L$9)^$B23,0)</f>
        <v>13.75</v>
      </c>
      <c r="K23" s="233">
        <f>IFERROR(VLOOKUP($B$21,Tableau14582[],6,FALSE)*(1+$L$9)^$B23,0)</f>
        <v>10</v>
      </c>
      <c r="L23" s="261">
        <f>(C23*D23*H23+C23*E23*I23+C23*F23*J23+C23*G23*K23)*L$21</f>
        <v>798</v>
      </c>
      <c r="N23" s="71">
        <v>2</v>
      </c>
      <c r="O23" s="239"/>
      <c r="P23" s="180">
        <f>SUMPRODUCT($O$5:$AE$5,O10:AE10)</f>
        <v>24440.064999999999</v>
      </c>
      <c r="Q23" s="240"/>
      <c r="R23" s="180">
        <f t="shared" si="5"/>
        <v>501.02133249999997</v>
      </c>
      <c r="S23" s="180">
        <f>$L$11*(1+$L$9)^N23*'Récapitulatif des résultats'!$I$11</f>
        <v>0</v>
      </c>
      <c r="T23" s="241"/>
      <c r="U23" s="338">
        <f t="shared" si="6"/>
        <v>0</v>
      </c>
      <c r="V23" s="249">
        <f t="shared" si="7"/>
        <v>0</v>
      </c>
      <c r="W23" s="188">
        <f>SUM('Chenes+Alisier - f. très forte'!AQ7*'Chenes+Alisier - f. très forte'!$F$21,'Chenes+corm+merisier - f. forte'!AQ7*'Chenes+corm+merisier - f. forte'!$F$21,'Charme - fertil.forte'!AQ7*'Charme - fertil.forte'!$F$21,'Pin maritime - très forte'!AQ7*'Pin maritime - très forte'!$F$21,'P. sylv.+laricio+séquoia -forte'!AQ7*'P. sylv.+laricio+séquoia -forte'!$F$21,'Douglas - fertilité moyenne'!AQ7*'Douglas - fertilité moyenne'!$F$21)</f>
        <v>0</v>
      </c>
      <c r="X23" s="188">
        <f>SUM('Chenes+Alisier - f. très forte'!AR7*'Chenes+Alisier - f. très forte'!$F$21,'Chenes+corm+merisier - f. forte'!AR7*'Chenes+corm+merisier - f. forte'!$F$21,'Charme - fertil.forte'!AR7*'Charme - fertil.forte'!$F$21,'Pin maritime - très forte'!AR7*'Pin maritime - très forte'!$F$21,'P. sylv.+laricio+séquoia -forte'!AR7*'P. sylv.+laricio+séquoia -forte'!$F$21,'Douglas - fertilité moyenne'!AR7*'Douglas - fertilité moyenne'!$F$21)</f>
        <v>0</v>
      </c>
      <c r="Y23" s="188">
        <f>SUM('Chenes+Alisier - f. très forte'!AS7*'Chenes+Alisier - f. très forte'!$F$21,'Chenes+corm+merisier - f. forte'!AS7*'Chenes+corm+merisier - f. forte'!$F$21,'Charme - fertil.forte'!AS7*'Charme - fertil.forte'!$F$21,'Pin maritime - très forte'!AS7*'Pin maritime - très forte'!$F$21,'P. sylv.+laricio+séquoia -forte'!AS7*'P. sylv.+laricio+séquoia -forte'!$F$21,'Douglas - fertilité moyenne'!AS7*'Douglas - fertilité moyenne'!$F$21)</f>
        <v>0</v>
      </c>
      <c r="Z23" s="331">
        <f>SUM('Chenes+Alisier - f. très forte'!AT7*'Chenes+Alisier - f. très forte'!$F$21,'Chenes+corm+merisier - f. forte'!AT7*'Chenes+corm+merisier - f. forte'!$F$21,'Charme - fertil.forte'!AT7*'Charme - fertil.forte'!$F$21,'Pin maritime - très forte'!AT7*'Pin maritime - très forte'!$F$21,'P. sylv.+laricio+séquoia -forte'!AT7*'P. sylv.+laricio+séquoia -forte'!$F$21,'Douglas - fertilité moyenne'!AT7*'Douglas - fertilité moyenne'!$F$21)</f>
        <v>0</v>
      </c>
      <c r="AA23" s="178">
        <f t="shared" si="9"/>
        <v>0</v>
      </c>
      <c r="AB23" s="179">
        <f t="shared" si="8"/>
        <v>-22839.299771067515</v>
      </c>
      <c r="AC23" s="178"/>
      <c r="AD23" s="178"/>
    </row>
    <row r="24" spans="2:30">
      <c r="B24" s="262">
        <f>'Chenes+Alisier - f. très forte'!B83</f>
        <v>26</v>
      </c>
      <c r="C24" s="225">
        <f>'Chenes+Alisier - f. très forte'!C83</f>
        <v>28</v>
      </c>
      <c r="D24" s="226">
        <f>'Chenes+Alisier - f. très forte'!D83</f>
        <v>0</v>
      </c>
      <c r="E24" s="221">
        <f>'Chenes+Alisier - f. très forte'!E83</f>
        <v>0</v>
      </c>
      <c r="F24" s="221">
        <f>'Chenes+Alisier - f. très forte'!F83</f>
        <v>0</v>
      </c>
      <c r="G24" s="227">
        <f>'Chenes+Alisier - f. très forte'!G83</f>
        <v>1</v>
      </c>
      <c r="H24" s="210">
        <f>IFERROR(VLOOKUP($B$21,Tableau14582[],4,FALSE)*(1+$L$9)^$B24,0)</f>
        <v>150</v>
      </c>
      <c r="I24" s="211">
        <f>IFERROR(VLOOKUP($B$21,Tableau14582[],5,FALSE)*(1+$L$9)^$B24,0)</f>
        <v>13.75</v>
      </c>
      <c r="J24" s="211">
        <f>IFERROR(VLOOKUP($B$21,Tableau14582[],5,FALSE)*(1+$L$9)^$B24,0)</f>
        <v>13.75</v>
      </c>
      <c r="K24" s="212">
        <f>IFERROR(VLOOKUP($B$21,Tableau14582[],6,FALSE)*(1+$L$9)^$B24,0)</f>
        <v>10</v>
      </c>
      <c r="L24" s="263">
        <f t="shared" ref="L24:L35" si="10">(C24*D24*H24+C24*E24*I24+C24*F24*J24+C24*G24*K24)*L$21</f>
        <v>3724</v>
      </c>
      <c r="N24" s="71">
        <v>3</v>
      </c>
      <c r="O24" s="239"/>
      <c r="P24" s="180">
        <f>SUMPRODUCT($O$5:$AE$5,O11:AE11)</f>
        <v>24440.064999999999</v>
      </c>
      <c r="Q24" s="240"/>
      <c r="R24" s="180">
        <f t="shared" si="5"/>
        <v>501.02133249999997</v>
      </c>
      <c r="S24" s="180">
        <f>$L$11*(1+$L$9)^N24*'Récapitulatif des résultats'!$I$11</f>
        <v>0</v>
      </c>
      <c r="T24" s="241"/>
      <c r="U24" s="338">
        <f t="shared" si="6"/>
        <v>0</v>
      </c>
      <c r="V24" s="249">
        <f t="shared" si="7"/>
        <v>0</v>
      </c>
      <c r="W24" s="188">
        <f>SUM('Chenes+Alisier - f. très forte'!AQ8*'Chenes+Alisier - f. très forte'!$F$21,'Chenes+corm+merisier - f. forte'!AQ8*'Chenes+corm+merisier - f. forte'!$F$21,'Charme - fertil.forte'!AQ8*'Charme - fertil.forte'!$F$21,'Pin maritime - très forte'!AQ8*'Pin maritime - très forte'!$F$21,'P. sylv.+laricio+séquoia -forte'!AQ8*'P. sylv.+laricio+séquoia -forte'!$F$21,'Douglas - fertilité moyenne'!AQ8*'Douglas - fertilité moyenne'!$F$21)</f>
        <v>0</v>
      </c>
      <c r="X24" s="188">
        <f>SUM('Chenes+Alisier - f. très forte'!AR8*'Chenes+Alisier - f. très forte'!$F$21,'Chenes+corm+merisier - f. forte'!AR8*'Chenes+corm+merisier - f. forte'!$F$21,'Charme - fertil.forte'!AR8*'Charme - fertil.forte'!$F$21,'Pin maritime - très forte'!AR8*'Pin maritime - très forte'!$F$21,'P. sylv.+laricio+séquoia -forte'!AR8*'P. sylv.+laricio+séquoia -forte'!$F$21,'Douglas - fertilité moyenne'!AR8*'Douglas - fertilité moyenne'!$F$21)</f>
        <v>0</v>
      </c>
      <c r="Y24" s="188">
        <f>SUM('Chenes+Alisier - f. très forte'!AS8*'Chenes+Alisier - f. très forte'!$F$21,'Chenes+corm+merisier - f. forte'!AS8*'Chenes+corm+merisier - f. forte'!$F$21,'Charme - fertil.forte'!AS8*'Charme - fertil.forte'!$F$21,'Pin maritime - très forte'!AS8*'Pin maritime - très forte'!$F$21,'P. sylv.+laricio+séquoia -forte'!AS8*'P. sylv.+laricio+séquoia -forte'!$F$21,'Douglas - fertilité moyenne'!AS8*'Douglas - fertilité moyenne'!$F$21)</f>
        <v>0</v>
      </c>
      <c r="Z24" s="331">
        <f>SUM('Chenes+Alisier - f. très forte'!AT8*'Chenes+Alisier - f. très forte'!$F$21,'Chenes+corm+merisier - f. forte'!AT8*'Chenes+corm+merisier - f. forte'!$F$21,'Charme - fertil.forte'!AT8*'Charme - fertil.forte'!$F$21,'Pin maritime - très forte'!AT8*'Pin maritime - très forte'!$F$21,'P. sylv.+laricio+séquoia -forte'!AT8*'P. sylv.+laricio+séquoia -forte'!$F$21,'Douglas - fertilité moyenne'!AT8*'Douglas - fertilité moyenne'!$F$21)</f>
        <v>0</v>
      </c>
      <c r="AA24" s="178">
        <f t="shared" si="9"/>
        <v>0</v>
      </c>
      <c r="AB24" s="179">
        <f t="shared" si="8"/>
        <v>-21855.789254610063</v>
      </c>
      <c r="AC24" s="178"/>
      <c r="AD24" s="178"/>
    </row>
    <row r="25" spans="2:30">
      <c r="B25" s="262">
        <f>'Chenes+Alisier - f. très forte'!B84</f>
        <v>31</v>
      </c>
      <c r="C25" s="225">
        <f>'Chenes+Alisier - f. très forte'!C84</f>
        <v>28</v>
      </c>
      <c r="D25" s="226">
        <f>'Chenes+Alisier - f. très forte'!D84</f>
        <v>0</v>
      </c>
      <c r="E25" s="221">
        <f>'Chenes+Alisier - f. très forte'!E84</f>
        <v>0</v>
      </c>
      <c r="F25" s="221">
        <f>'Chenes+Alisier - f. très forte'!F84</f>
        <v>0</v>
      </c>
      <c r="G25" s="227">
        <f>'Chenes+Alisier - f. très forte'!G84</f>
        <v>1</v>
      </c>
      <c r="H25" s="210">
        <f>IFERROR(VLOOKUP($B$21,Tableau14582[],4,FALSE)*(1+$L$9)^$B25,0)</f>
        <v>150</v>
      </c>
      <c r="I25" s="211">
        <f>IFERROR(VLOOKUP($B$21,Tableau14582[],5,FALSE)*(1+$L$9)^$B25,0)</f>
        <v>13.75</v>
      </c>
      <c r="J25" s="211">
        <f>IFERROR(VLOOKUP($B$21,Tableau14582[],5,FALSE)*(1+$L$9)^$B25,0)</f>
        <v>13.75</v>
      </c>
      <c r="K25" s="212">
        <f>IFERROR(VLOOKUP($B$21,Tableau14582[],6,FALSE)*(1+$L$9)^$B25,0)</f>
        <v>10</v>
      </c>
      <c r="L25" s="263">
        <f t="shared" si="10"/>
        <v>3724</v>
      </c>
      <c r="N25" s="71">
        <v>4</v>
      </c>
      <c r="O25" s="239"/>
      <c r="P25" s="180">
        <f>SUMPRODUCT($O$5:$AE$5,O12:AE12)</f>
        <v>9400.0249999999996</v>
      </c>
      <c r="Q25" s="240"/>
      <c r="R25" s="180">
        <f t="shared" si="5"/>
        <v>192.7005125</v>
      </c>
      <c r="S25" s="180">
        <f>$L$11*(1+$L$9)^N25*'Récapitulatif des résultats'!$I$11</f>
        <v>0</v>
      </c>
      <c r="T25" s="241"/>
      <c r="U25" s="338">
        <f t="shared" si="6"/>
        <v>0</v>
      </c>
      <c r="V25" s="249">
        <f t="shared" si="7"/>
        <v>0</v>
      </c>
      <c r="W25" s="188">
        <f>SUM('Chenes+Alisier - f. très forte'!AQ9*'Chenes+Alisier - f. très forte'!$F$21,'Chenes+corm+merisier - f. forte'!AQ9*'Chenes+corm+merisier - f. forte'!$F$21,'Charme - fertil.forte'!AQ9*'Charme - fertil.forte'!$F$21,'Pin maritime - très forte'!AQ9*'Pin maritime - très forte'!$F$21,'P. sylv.+laricio+séquoia -forte'!AQ9*'P. sylv.+laricio+séquoia -forte'!$F$21,'Douglas - fertilité moyenne'!AQ9*'Douglas - fertilité moyenne'!$F$21)</f>
        <v>0</v>
      </c>
      <c r="X25" s="188">
        <f>SUM('Chenes+Alisier - f. très forte'!AR9*'Chenes+Alisier - f. très forte'!$F$21,'Chenes+corm+merisier - f. forte'!AR9*'Chenes+corm+merisier - f. forte'!$F$21,'Charme - fertil.forte'!AR9*'Charme - fertil.forte'!$F$21,'Pin maritime - très forte'!AR9*'Pin maritime - très forte'!$F$21,'P. sylv.+laricio+séquoia -forte'!AR9*'P. sylv.+laricio+séquoia -forte'!$F$21,'Douglas - fertilité moyenne'!AR9*'Douglas - fertilité moyenne'!$F$21)</f>
        <v>0</v>
      </c>
      <c r="Y25" s="188">
        <f>SUM('Chenes+Alisier - f. très forte'!AS9*'Chenes+Alisier - f. très forte'!$F$21,'Chenes+corm+merisier - f. forte'!AS9*'Chenes+corm+merisier - f. forte'!$F$21,'Charme - fertil.forte'!AS9*'Charme - fertil.forte'!$F$21,'Pin maritime - très forte'!AS9*'Pin maritime - très forte'!$F$21,'P. sylv.+laricio+séquoia -forte'!AS9*'P. sylv.+laricio+séquoia -forte'!$F$21,'Douglas - fertilité moyenne'!AS9*'Douglas - fertilité moyenne'!$F$21)</f>
        <v>0</v>
      </c>
      <c r="Z25" s="331">
        <f>SUM('Chenes+Alisier - f. très forte'!AT9*'Chenes+Alisier - f. très forte'!$F$21,'Chenes+corm+merisier - f. forte'!AT9*'Chenes+corm+merisier - f. forte'!$F$21,'Charme - fertil.forte'!AT9*'Charme - fertil.forte'!$F$21,'Pin maritime - très forte'!AT9*'Pin maritime - très forte'!$F$21,'P. sylv.+laricio+séquoia -forte'!AT9*'P. sylv.+laricio+séquoia -forte'!$F$21,'Douglas - fertilité moyenne'!AT9*'Douglas - fertilité moyenne'!$F$21)</f>
        <v>0</v>
      </c>
      <c r="AA25" s="178">
        <f t="shared" si="9"/>
        <v>0</v>
      </c>
      <c r="AB25" s="179">
        <f t="shared" si="8"/>
        <v>-8044.0887944829101</v>
      </c>
      <c r="AC25" s="178"/>
      <c r="AD25" s="178"/>
    </row>
    <row r="26" spans="2:30">
      <c r="B26" s="262">
        <f>'Chenes+Alisier - f. très forte'!B85</f>
        <v>36</v>
      </c>
      <c r="C26" s="225">
        <f>'Chenes+Alisier - f. très forte'!C85</f>
        <v>28</v>
      </c>
      <c r="D26" s="226">
        <f>'Chenes+Alisier - f. très forte'!D85</f>
        <v>0.1</v>
      </c>
      <c r="E26" s="221">
        <f>'Chenes+Alisier - f. très forte'!E85</f>
        <v>0</v>
      </c>
      <c r="F26" s="221">
        <f>'Chenes+Alisier - f. très forte'!F85</f>
        <v>0</v>
      </c>
      <c r="G26" s="227">
        <f>'Chenes+Alisier - f. très forte'!G85</f>
        <v>0.9</v>
      </c>
      <c r="H26" s="210">
        <f>IFERROR(VLOOKUP($B$21,Tableau14582[],4,FALSE)*(1+$L$9)^$B26,0)</f>
        <v>150</v>
      </c>
      <c r="I26" s="211">
        <f>IFERROR(VLOOKUP($B$21,Tableau14582[],5,FALSE)*(1+$L$9)^$B26,0)</f>
        <v>13.75</v>
      </c>
      <c r="J26" s="211">
        <f>IFERROR(VLOOKUP($B$21,Tableau14582[],5,FALSE)*(1+$L$9)^$B26,0)</f>
        <v>13.75</v>
      </c>
      <c r="K26" s="212">
        <f>IFERROR(VLOOKUP($B$21,Tableau14582[],6,FALSE)*(1+$L$9)^$B26,0)</f>
        <v>10</v>
      </c>
      <c r="L26" s="263">
        <f t="shared" si="10"/>
        <v>8937.6</v>
      </c>
      <c r="N26" s="71">
        <v>5</v>
      </c>
      <c r="O26" s="239"/>
      <c r="P26" s="180">
        <f>SUMPRODUCT($O$5:$AE$5,O13:AE13)</f>
        <v>31960.085000000003</v>
      </c>
      <c r="Q26" s="240"/>
      <c r="R26" s="180">
        <f t="shared" si="5"/>
        <v>655.18174250000004</v>
      </c>
      <c r="S26" s="180">
        <f>$L$11*(1+$L$9)^N26*'Récapitulatif des résultats'!$I$11</f>
        <v>0</v>
      </c>
      <c r="T26" s="241"/>
      <c r="U26" s="338">
        <f t="shared" si="6"/>
        <v>0</v>
      </c>
      <c r="V26" s="249">
        <f t="shared" si="7"/>
        <v>0</v>
      </c>
      <c r="W26" s="188">
        <f>SUM('Chenes+Alisier - f. très forte'!AQ10*'Chenes+Alisier - f. très forte'!$F$21,'Chenes+corm+merisier - f. forte'!AQ10*'Chenes+corm+merisier - f. forte'!$F$21,'Charme - fertil.forte'!AQ10*'Charme - fertil.forte'!$F$21,'Pin maritime - très forte'!AQ10*'Pin maritime - très forte'!$F$21,'P. sylv.+laricio+séquoia -forte'!AQ10*'P. sylv.+laricio+séquoia -forte'!$F$21,'Douglas - fertilité moyenne'!AQ10*'Douglas - fertilité moyenne'!$F$21)</f>
        <v>0</v>
      </c>
      <c r="X26" s="188">
        <f>SUM('Chenes+Alisier - f. très forte'!AR10*'Chenes+Alisier - f. très forte'!$F$21,'Chenes+corm+merisier - f. forte'!AR10*'Chenes+corm+merisier - f. forte'!$F$21,'Charme - fertil.forte'!AR10*'Charme - fertil.forte'!$F$21,'Pin maritime - très forte'!AR10*'Pin maritime - très forte'!$F$21,'P. sylv.+laricio+séquoia -forte'!AR10*'P. sylv.+laricio+séquoia -forte'!$F$21,'Douglas - fertilité moyenne'!AR10*'Douglas - fertilité moyenne'!$F$21)</f>
        <v>0</v>
      </c>
      <c r="Y26" s="188">
        <f>SUM('Chenes+Alisier - f. très forte'!AS10*'Chenes+Alisier - f. très forte'!$F$21,'Chenes+corm+merisier - f. forte'!AS10*'Chenes+corm+merisier - f. forte'!$F$21,'Charme - fertil.forte'!AS10*'Charme - fertil.forte'!$F$21,'Pin maritime - très forte'!AS10*'Pin maritime - très forte'!$F$21,'P. sylv.+laricio+séquoia -forte'!AS10*'P. sylv.+laricio+séquoia -forte'!$F$21,'Douglas - fertilité moyenne'!AS10*'Douglas - fertilité moyenne'!$F$21)</f>
        <v>0</v>
      </c>
      <c r="Z26" s="331">
        <f>SUM('Chenes+Alisier - f. très forte'!AT10*'Chenes+Alisier - f. très forte'!$F$21,'Chenes+corm+merisier - f. forte'!AT10*'Chenes+corm+merisier - f. forte'!$F$21,'Charme - fertil.forte'!AT10*'Charme - fertil.forte'!$F$21,'Pin maritime - très forte'!AT10*'Pin maritime - très forte'!$F$21,'P. sylv.+laricio+séquoia -forte'!AT10*'P. sylv.+laricio+séquoia -forte'!$F$21,'Douglas - fertilité moyenne'!AT10*'Douglas - fertilité moyenne'!$F$21)</f>
        <v>0</v>
      </c>
      <c r="AA26" s="178">
        <f t="shared" si="9"/>
        <v>0</v>
      </c>
      <c r="AB26" s="179">
        <f t="shared" si="8"/>
        <v>-26172.154929418088</v>
      </c>
      <c r="AC26" s="178"/>
      <c r="AD26" s="178"/>
    </row>
    <row r="27" spans="2:30">
      <c r="B27" s="262">
        <f>'Chenes+Alisier - f. très forte'!B86</f>
        <v>41</v>
      </c>
      <c r="C27" s="225">
        <f>'Chenes+Alisier - f. très forte'!C86</f>
        <v>28</v>
      </c>
      <c r="D27" s="226">
        <f>'Chenes+Alisier - f. très forte'!D86</f>
        <v>0.1</v>
      </c>
      <c r="E27" s="221">
        <f>'Chenes+Alisier - f. très forte'!E86</f>
        <v>0</v>
      </c>
      <c r="F27" s="221">
        <f>'Chenes+Alisier - f. très forte'!F86</f>
        <v>0</v>
      </c>
      <c r="G27" s="227">
        <f>'Chenes+Alisier - f. très forte'!G86</f>
        <v>0.9</v>
      </c>
      <c r="H27" s="210">
        <f>IFERROR(VLOOKUP($B$21,Tableau14582[],4,FALSE)*(1+$L$9)^$B27,0)</f>
        <v>150</v>
      </c>
      <c r="I27" s="211">
        <f>IFERROR(VLOOKUP($B$21,Tableau14582[],5,FALSE)*(1+$L$9)^$B27,0)</f>
        <v>13.75</v>
      </c>
      <c r="J27" s="211">
        <f>IFERROR(VLOOKUP($B$21,Tableau14582[],5,FALSE)*(1+$L$9)^$B27,0)</f>
        <v>13.75</v>
      </c>
      <c r="K27" s="212">
        <f>IFERROR(VLOOKUP($B$21,Tableau14582[],6,FALSE)*(1+$L$9)^$B27,0)</f>
        <v>10</v>
      </c>
      <c r="L27" s="263">
        <f t="shared" si="10"/>
        <v>8937.6</v>
      </c>
      <c r="N27" s="71">
        <v>6</v>
      </c>
      <c r="O27" s="239"/>
      <c r="P27" s="180"/>
      <c r="Q27" s="240">
        <f t="shared" ref="Q27:Q58" si="11">$L$13*(1+$L$9)^N27*$L$5</f>
        <v>940.00249999999994</v>
      </c>
      <c r="R27" s="180">
        <f t="shared" si="5"/>
        <v>19.270051249999998</v>
      </c>
      <c r="S27" s="180">
        <f>$L$11*(1+$L$9)^N27*'Récapitulatif des résultats'!$I$11</f>
        <v>0</v>
      </c>
      <c r="T27" s="241"/>
      <c r="U27" s="180"/>
      <c r="V27" s="249">
        <f t="shared" si="7"/>
        <v>0</v>
      </c>
      <c r="W27" s="188">
        <f>SUM('Chenes+Alisier - f. très forte'!AQ11*'Chenes+Alisier - f. très forte'!$F$21,'Chenes+corm+merisier - f. forte'!AQ11*'Chenes+corm+merisier - f. forte'!$F$21,'Charme - fertil.forte'!AQ11*'Charme - fertil.forte'!$F$21,'Pin maritime - très forte'!AQ11*'Pin maritime - très forte'!$F$21,'P. sylv.+laricio+séquoia -forte'!AQ11*'P. sylv.+laricio+séquoia -forte'!$F$21,'Douglas - fertilité moyenne'!AQ11*'Douglas - fertilité moyenne'!$F$21)</f>
        <v>0</v>
      </c>
      <c r="X27" s="188">
        <f>SUM('Chenes+Alisier - f. très forte'!AR11*'Chenes+Alisier - f. très forte'!$F$21,'Chenes+corm+merisier - f. forte'!AR11*'Chenes+corm+merisier - f. forte'!$F$21,'Charme - fertil.forte'!AR11*'Charme - fertil.forte'!$F$21,'Pin maritime - très forte'!AR11*'Pin maritime - très forte'!$F$21,'P. sylv.+laricio+séquoia -forte'!AR11*'P. sylv.+laricio+séquoia -forte'!$F$21,'Douglas - fertilité moyenne'!AR11*'Douglas - fertilité moyenne'!$F$21)</f>
        <v>0</v>
      </c>
      <c r="Y27" s="188">
        <f>SUM('Chenes+Alisier - f. très forte'!AS11*'Chenes+Alisier - f. très forte'!$F$21,'Chenes+corm+merisier - f. forte'!AS11*'Chenes+corm+merisier - f. forte'!$F$21,'Charme - fertil.forte'!AS11*'Charme - fertil.forte'!$F$21,'Pin maritime - très forte'!AS11*'Pin maritime - très forte'!$F$21,'P. sylv.+laricio+séquoia -forte'!AS11*'P. sylv.+laricio+séquoia -forte'!$F$21,'Douglas - fertilité moyenne'!AS11*'Douglas - fertilité moyenne'!$F$21)</f>
        <v>0</v>
      </c>
      <c r="Z27" s="331">
        <f>SUM('Chenes+Alisier - f. très forte'!AT11*'Chenes+Alisier - f. très forte'!$F$21,'Chenes+corm+merisier - f. forte'!AT11*'Chenes+corm+merisier - f. forte'!$F$21,'Charme - fertil.forte'!AT11*'Charme - fertil.forte'!$F$21,'Pin maritime - très forte'!AT11*'Pin maritime - très forte'!$F$21,'P. sylv.+laricio+séquoia -forte'!AT11*'P. sylv.+laricio+séquoia -forte'!$F$21,'Douglas - fertilité moyenne'!AT11*'Douglas - fertilité moyenne'!$F$21)</f>
        <v>0</v>
      </c>
      <c r="AA27" s="178">
        <f t="shared" si="9"/>
        <v>0</v>
      </c>
      <c r="AB27" s="179">
        <f t="shared" si="8"/>
        <v>-736.62130395209931</v>
      </c>
      <c r="AC27" s="178"/>
      <c r="AD27" s="178"/>
    </row>
    <row r="28" spans="2:30">
      <c r="B28" s="262">
        <f>'Chenes+Alisier - f. très forte'!B87</f>
        <v>46</v>
      </c>
      <c r="C28" s="225">
        <f>'Chenes+Alisier - f. très forte'!C87</f>
        <v>28</v>
      </c>
      <c r="D28" s="226">
        <f>'Chenes+Alisier - f. très forte'!D87</f>
        <v>0.2</v>
      </c>
      <c r="E28" s="221">
        <f>'Chenes+Alisier - f. très forte'!E87</f>
        <v>0</v>
      </c>
      <c r="F28" s="221">
        <f>'Chenes+Alisier - f. très forte'!F87</f>
        <v>0</v>
      </c>
      <c r="G28" s="227">
        <f>'Chenes+Alisier - f. très forte'!G87</f>
        <v>0.8</v>
      </c>
      <c r="H28" s="210">
        <f>IFERROR(VLOOKUP($B$21,Tableau14582[],4,FALSE)*(1+$L$9)^$B28,0)</f>
        <v>150</v>
      </c>
      <c r="I28" s="211">
        <f>IFERROR(VLOOKUP($B$21,Tableau14582[],5,FALSE)*(1+$L$9)^$B28,0)</f>
        <v>13.75</v>
      </c>
      <c r="J28" s="211">
        <f>IFERROR(VLOOKUP($B$21,Tableau14582[],5,FALSE)*(1+$L$9)^$B28,0)</f>
        <v>13.75</v>
      </c>
      <c r="K28" s="212">
        <f>IFERROR(VLOOKUP($B$21,Tableau14582[],6,FALSE)*(1+$L$9)^$B28,0)</f>
        <v>10</v>
      </c>
      <c r="L28" s="263">
        <f t="shared" si="10"/>
        <v>14151.200000000004</v>
      </c>
      <c r="N28" s="71">
        <v>7</v>
      </c>
      <c r="O28" s="239"/>
      <c r="P28" s="180"/>
      <c r="Q28" s="240">
        <f t="shared" si="11"/>
        <v>940.00249999999994</v>
      </c>
      <c r="R28" s="180">
        <f t="shared" si="5"/>
        <v>19.270051249999998</v>
      </c>
      <c r="S28" s="180">
        <f>$L$11*(1+$L$9)^N28*'Récapitulatif des résultats'!$I$11</f>
        <v>0</v>
      </c>
      <c r="T28" s="241"/>
      <c r="U28" s="180"/>
      <c r="V28" s="249">
        <f t="shared" si="7"/>
        <v>0</v>
      </c>
      <c r="W28" s="188">
        <f>SUM('Chenes+Alisier - f. très forte'!AQ12*'Chenes+Alisier - f. très forte'!$F$21,'Chenes+corm+merisier - f. forte'!AQ12*'Chenes+corm+merisier - f. forte'!$F$21,'Charme - fertil.forte'!AQ12*'Charme - fertil.forte'!$F$21,'Pin maritime - très forte'!AQ12*'Pin maritime - très forte'!$F$21,'P. sylv.+laricio+séquoia -forte'!AQ12*'P. sylv.+laricio+séquoia -forte'!$F$21,'Douglas - fertilité moyenne'!AQ12*'Douglas - fertilité moyenne'!$F$21)</f>
        <v>0</v>
      </c>
      <c r="X28" s="188">
        <f>SUM('Chenes+Alisier - f. très forte'!AR12*'Chenes+Alisier - f. très forte'!$F$21,'Chenes+corm+merisier - f. forte'!AR12*'Chenes+corm+merisier - f. forte'!$F$21,'Charme - fertil.forte'!AR12*'Charme - fertil.forte'!$F$21,'Pin maritime - très forte'!AR12*'Pin maritime - très forte'!$F$21,'P. sylv.+laricio+séquoia -forte'!AR12*'P. sylv.+laricio+séquoia -forte'!$F$21,'Douglas - fertilité moyenne'!AR12*'Douglas - fertilité moyenne'!$F$21)</f>
        <v>0</v>
      </c>
      <c r="Y28" s="188">
        <f>SUM('Chenes+Alisier - f. très forte'!AS12*'Chenes+Alisier - f. très forte'!$F$21,'Chenes+corm+merisier - f. forte'!AS12*'Chenes+corm+merisier - f. forte'!$F$21,'Charme - fertil.forte'!AS12*'Charme - fertil.forte'!$F$21,'Pin maritime - très forte'!AS12*'Pin maritime - très forte'!$F$21,'P. sylv.+laricio+séquoia -forte'!AS12*'P. sylv.+laricio+séquoia -forte'!$F$21,'Douglas - fertilité moyenne'!AS12*'Douglas - fertilité moyenne'!$F$21)</f>
        <v>0</v>
      </c>
      <c r="Z28" s="331">
        <f>SUM('Chenes+Alisier - f. très forte'!AT12*'Chenes+Alisier - f. très forte'!$F$21,'Chenes+corm+merisier - f. forte'!AT12*'Chenes+corm+merisier - f. forte'!$F$21,'Charme - fertil.forte'!AT12*'Charme - fertil.forte'!$F$21,'Pin maritime - très forte'!AT12*'Pin maritime - très forte'!$F$21,'P. sylv.+laricio+séquoia -forte'!AT12*'P. sylv.+laricio+séquoia -forte'!$F$21,'Douglas - fertilité moyenne'!AT12*'Douglas - fertilité moyenne'!$F$21)</f>
        <v>0</v>
      </c>
      <c r="AA28" s="178">
        <f t="shared" si="9"/>
        <v>0</v>
      </c>
      <c r="AB28" s="179">
        <f t="shared" si="8"/>
        <v>-704.90076933215244</v>
      </c>
      <c r="AC28" s="178"/>
      <c r="AD28" s="178"/>
    </row>
    <row r="29" spans="2:30">
      <c r="B29" s="262">
        <f>'Chenes+Alisier - f. très forte'!B88</f>
        <v>51</v>
      </c>
      <c r="C29" s="225">
        <f>'Chenes+Alisier - f. très forte'!C88</f>
        <v>28</v>
      </c>
      <c r="D29" s="226">
        <f>'Chenes+Alisier - f. très forte'!D88</f>
        <v>0.2</v>
      </c>
      <c r="E29" s="221">
        <f>'Chenes+Alisier - f. très forte'!E88</f>
        <v>0</v>
      </c>
      <c r="F29" s="221">
        <f>'Chenes+Alisier - f. très forte'!F88</f>
        <v>0</v>
      </c>
      <c r="G29" s="227">
        <f>'Chenes+Alisier - f. très forte'!G88</f>
        <v>0.8</v>
      </c>
      <c r="H29" s="210">
        <f>IFERROR(VLOOKUP($B$21,Tableau14582[],4,FALSE)*(1+$L$9)^$B29,0)</f>
        <v>150</v>
      </c>
      <c r="I29" s="211">
        <f>IFERROR(VLOOKUP($B$21,Tableau14582[],5,FALSE)*(1+$L$9)^$B29,0)</f>
        <v>13.75</v>
      </c>
      <c r="J29" s="211">
        <f>IFERROR(VLOOKUP($B$21,Tableau14582[],5,FALSE)*(1+$L$9)^$B29,0)</f>
        <v>13.75</v>
      </c>
      <c r="K29" s="212">
        <f>IFERROR(VLOOKUP($B$21,Tableau14582[],6,FALSE)*(1+$L$9)^$B29,0)</f>
        <v>10</v>
      </c>
      <c r="L29" s="263">
        <f t="shared" si="10"/>
        <v>14151.200000000004</v>
      </c>
      <c r="N29" s="71">
        <v>8</v>
      </c>
      <c r="O29" s="239"/>
      <c r="P29" s="180"/>
      <c r="Q29" s="240">
        <f t="shared" si="11"/>
        <v>940.00249999999994</v>
      </c>
      <c r="R29" s="180">
        <f t="shared" si="5"/>
        <v>19.270051249999998</v>
      </c>
      <c r="S29" s="180">
        <f>$L$11*(1+$L$9)^N29*'Récapitulatif des résultats'!$I$11</f>
        <v>0</v>
      </c>
      <c r="T29" s="241"/>
      <c r="U29" s="180"/>
      <c r="V29" s="249">
        <f t="shared" si="7"/>
        <v>0</v>
      </c>
      <c r="W29" s="188">
        <f>SUM('Chenes+Alisier - f. très forte'!AQ13*'Chenes+Alisier - f. très forte'!$F$21,'Chenes+corm+merisier - f. forte'!AQ13*'Chenes+corm+merisier - f. forte'!$F$21,'Charme - fertil.forte'!AQ13*'Charme - fertil.forte'!$F$21,'Pin maritime - très forte'!AQ13*'Pin maritime - très forte'!$F$21,'P. sylv.+laricio+séquoia -forte'!AQ13*'P. sylv.+laricio+séquoia -forte'!$F$21,'Douglas - fertilité moyenne'!AQ13*'Douglas - fertilité moyenne'!$F$21)</f>
        <v>0</v>
      </c>
      <c r="X29" s="188">
        <f>SUM('Chenes+Alisier - f. très forte'!AR13*'Chenes+Alisier - f. très forte'!$F$21,'Chenes+corm+merisier - f. forte'!AR13*'Chenes+corm+merisier - f. forte'!$F$21,'Charme - fertil.forte'!AR13*'Charme - fertil.forte'!$F$21,'Pin maritime - très forte'!AR13*'Pin maritime - très forte'!$F$21,'P. sylv.+laricio+séquoia -forte'!AR13*'P. sylv.+laricio+séquoia -forte'!$F$21,'Douglas - fertilité moyenne'!AR13*'Douglas - fertilité moyenne'!$F$21)</f>
        <v>0</v>
      </c>
      <c r="Y29" s="188">
        <f>SUM('Chenes+Alisier - f. très forte'!AS13*'Chenes+Alisier - f. très forte'!$F$21,'Chenes+corm+merisier - f. forte'!AS13*'Chenes+corm+merisier - f. forte'!$F$21,'Charme - fertil.forte'!AS13*'Charme - fertil.forte'!$F$21,'Pin maritime - très forte'!AS13*'Pin maritime - très forte'!$F$21,'P. sylv.+laricio+séquoia -forte'!AS13*'P. sylv.+laricio+séquoia -forte'!$F$21,'Douglas - fertilité moyenne'!AS13*'Douglas - fertilité moyenne'!$F$21)</f>
        <v>0</v>
      </c>
      <c r="Z29" s="331">
        <f>SUM('Chenes+Alisier - f. très forte'!AT13*'Chenes+Alisier - f. très forte'!$F$21,'Chenes+corm+merisier - f. forte'!AT13*'Chenes+corm+merisier - f. forte'!$F$21,'Charme - fertil.forte'!AT13*'Charme - fertil.forte'!$F$21,'Pin maritime - très forte'!AT13*'Pin maritime - très forte'!$F$21,'P. sylv.+laricio+séquoia -forte'!AT13*'P. sylv.+laricio+séquoia -forte'!$F$21,'Douglas - fertilité moyenne'!AT13*'Douglas - fertilité moyenne'!$F$21)</f>
        <v>0</v>
      </c>
      <c r="AA29" s="178">
        <f t="shared" si="9"/>
        <v>0</v>
      </c>
      <c r="AB29" s="179">
        <f t="shared" si="8"/>
        <v>-674.54619074847142</v>
      </c>
      <c r="AC29" s="178"/>
      <c r="AD29" s="178"/>
    </row>
    <row r="30" spans="2:30">
      <c r="B30" s="262">
        <f>'Chenes+Alisier - f. très forte'!B89</f>
        <v>56</v>
      </c>
      <c r="C30" s="225">
        <f>'Chenes+Alisier - f. très forte'!C89</f>
        <v>28</v>
      </c>
      <c r="D30" s="226">
        <f>'Chenes+Alisier - f. très forte'!D89</f>
        <v>0.3</v>
      </c>
      <c r="E30" s="221">
        <f>'Chenes+Alisier - f. très forte'!E89</f>
        <v>0</v>
      </c>
      <c r="F30" s="221">
        <f>'Chenes+Alisier - f. très forte'!F89</f>
        <v>0</v>
      </c>
      <c r="G30" s="227">
        <f>'Chenes+Alisier - f. très forte'!G89</f>
        <v>0.7</v>
      </c>
      <c r="H30" s="210">
        <f>IFERROR(VLOOKUP($B$21,Tableau14582[],4,FALSE)*(1+$L$9)^$B30,0)</f>
        <v>150</v>
      </c>
      <c r="I30" s="211">
        <f>IFERROR(VLOOKUP($B$21,Tableau14582[],5,FALSE)*(1+$L$9)^$B30,0)</f>
        <v>13.75</v>
      </c>
      <c r="J30" s="211">
        <f>IFERROR(VLOOKUP($B$21,Tableau14582[],5,FALSE)*(1+$L$9)^$B30,0)</f>
        <v>13.75</v>
      </c>
      <c r="K30" s="212">
        <f>IFERROR(VLOOKUP($B$21,Tableau14582[],6,FALSE)*(1+$L$9)^$B30,0)</f>
        <v>10</v>
      </c>
      <c r="L30" s="263">
        <f t="shared" si="10"/>
        <v>19364.8</v>
      </c>
      <c r="N30" s="71">
        <v>9</v>
      </c>
      <c r="O30" s="239"/>
      <c r="P30" s="180"/>
      <c r="Q30" s="240">
        <f t="shared" si="11"/>
        <v>940.00249999999994</v>
      </c>
      <c r="R30" s="180">
        <f t="shared" si="5"/>
        <v>19.270051249999998</v>
      </c>
      <c r="S30" s="180">
        <f>$L$11*(1+$L$9)^N30*'Récapitulatif des résultats'!$I$11</f>
        <v>0</v>
      </c>
      <c r="T30" s="241"/>
      <c r="U30" s="180"/>
      <c r="V30" s="249">
        <f t="shared" si="7"/>
        <v>0</v>
      </c>
      <c r="W30" s="188">
        <f>SUM('Chenes+Alisier - f. très forte'!AQ14*'Chenes+Alisier - f. très forte'!$F$21,'Chenes+corm+merisier - f. forte'!AQ14*'Chenes+corm+merisier - f. forte'!$F$21,'Charme - fertil.forte'!AQ14*'Charme - fertil.forte'!$F$21,'Pin maritime - très forte'!AQ14*'Pin maritime - très forte'!$F$21,'P. sylv.+laricio+séquoia -forte'!AQ14*'P. sylv.+laricio+séquoia -forte'!$F$21,'Douglas - fertilité moyenne'!AQ14*'Douglas - fertilité moyenne'!$F$21)</f>
        <v>0</v>
      </c>
      <c r="X30" s="188">
        <f>SUM('Chenes+Alisier - f. très forte'!AR14*'Chenes+Alisier - f. très forte'!$F$21,'Chenes+corm+merisier - f. forte'!AR14*'Chenes+corm+merisier - f. forte'!$F$21,'Charme - fertil.forte'!AR14*'Charme - fertil.forte'!$F$21,'Pin maritime - très forte'!AR14*'Pin maritime - très forte'!$F$21,'P. sylv.+laricio+séquoia -forte'!AR14*'P. sylv.+laricio+séquoia -forte'!$F$21,'Douglas - fertilité moyenne'!AR14*'Douglas - fertilité moyenne'!$F$21)</f>
        <v>0</v>
      </c>
      <c r="Y30" s="188">
        <f>SUM('Chenes+Alisier - f. très forte'!AS14*'Chenes+Alisier - f. très forte'!$F$21,'Chenes+corm+merisier - f. forte'!AS14*'Chenes+corm+merisier - f. forte'!$F$21,'Charme - fertil.forte'!AS14*'Charme - fertil.forte'!$F$21,'Pin maritime - très forte'!AS14*'Pin maritime - très forte'!$F$21,'P. sylv.+laricio+séquoia -forte'!AS14*'P. sylv.+laricio+séquoia -forte'!$F$21,'Douglas - fertilité moyenne'!AS14*'Douglas - fertilité moyenne'!$F$21)</f>
        <v>0</v>
      </c>
      <c r="Z30" s="331">
        <f>SUM('Chenes+Alisier - f. très forte'!AT14*'Chenes+Alisier - f. très forte'!$F$21,'Chenes+corm+merisier - f. forte'!AT14*'Chenes+corm+merisier - f. forte'!$F$21,'Charme - fertil.forte'!AT14*'Charme - fertil.forte'!$F$21,'Pin maritime - très forte'!AT14*'Pin maritime - très forte'!$F$21,'P. sylv.+laricio+séquoia -forte'!AT14*'P. sylv.+laricio+séquoia -forte'!$F$21,'Douglas - fertilité moyenne'!AT14*'Douglas - fertilité moyenne'!$F$21)</f>
        <v>0</v>
      </c>
      <c r="AA30" s="178">
        <f t="shared" si="9"/>
        <v>0</v>
      </c>
      <c r="AB30" s="179">
        <f t="shared" si="8"/>
        <v>-645.49874712772385</v>
      </c>
      <c r="AC30" s="178"/>
      <c r="AD30" s="178"/>
    </row>
    <row r="31" spans="2:30">
      <c r="B31" s="262">
        <f>'Chenes+Alisier - f. très forte'!B90</f>
        <v>61</v>
      </c>
      <c r="C31" s="225">
        <f>'Chenes+Alisier - f. très forte'!C90</f>
        <v>28</v>
      </c>
      <c r="D31" s="226">
        <f>'Chenes+Alisier - f. très forte'!D90</f>
        <v>0.3</v>
      </c>
      <c r="E31" s="221">
        <f>'Chenes+Alisier - f. très forte'!E90</f>
        <v>0</v>
      </c>
      <c r="F31" s="221">
        <f>'Chenes+Alisier - f. très forte'!F90</f>
        <v>0</v>
      </c>
      <c r="G31" s="227">
        <f>'Chenes+Alisier - f. très forte'!G90</f>
        <v>0.7</v>
      </c>
      <c r="H31" s="210">
        <f>IFERROR(VLOOKUP($B$21,Tableau14582[],4,FALSE)*(1+$L$9)^$B31,0)</f>
        <v>150</v>
      </c>
      <c r="I31" s="211">
        <f>IFERROR(VLOOKUP($B$21,Tableau14582[],5,FALSE)*(1+$L$9)^$B31,0)</f>
        <v>13.75</v>
      </c>
      <c r="J31" s="211">
        <f>IFERROR(VLOOKUP($B$21,Tableau14582[],5,FALSE)*(1+$L$9)^$B31,0)</f>
        <v>13.75</v>
      </c>
      <c r="K31" s="212">
        <f>IFERROR(VLOOKUP($B$21,Tableau14582[],6,FALSE)*(1+$L$9)^$B31,0)</f>
        <v>10</v>
      </c>
      <c r="L31" s="263">
        <f t="shared" si="10"/>
        <v>19364.8</v>
      </c>
      <c r="N31" s="71">
        <v>10</v>
      </c>
      <c r="O31" s="239"/>
      <c r="P31" s="180"/>
      <c r="Q31" s="240">
        <f t="shared" si="11"/>
        <v>940.00249999999994</v>
      </c>
      <c r="R31" s="180">
        <f t="shared" si="5"/>
        <v>19.270051249999998</v>
      </c>
      <c r="S31" s="180">
        <f>$L$11*(1+$L$9)^N31*'Récapitulatif des résultats'!$I$11</f>
        <v>0</v>
      </c>
      <c r="T31" s="241"/>
      <c r="U31" s="180"/>
      <c r="V31" s="249">
        <f t="shared" si="7"/>
        <v>0</v>
      </c>
      <c r="W31" s="188">
        <f>SUM('Chenes+Alisier - f. très forte'!AQ15*'Chenes+Alisier - f. très forte'!$F$21,'Chenes+corm+merisier - f. forte'!AQ15*'Chenes+corm+merisier - f. forte'!$F$21,'Charme - fertil.forte'!AQ15*'Charme - fertil.forte'!$F$21,'Pin maritime - très forte'!AQ15*'Pin maritime - très forte'!$F$21,'P. sylv.+laricio+séquoia -forte'!AQ15*'P. sylv.+laricio+séquoia -forte'!$F$21,'Douglas - fertilité moyenne'!AQ15*'Douglas - fertilité moyenne'!$F$21)</f>
        <v>0</v>
      </c>
      <c r="X31" s="188">
        <f>SUM('Chenes+Alisier - f. très forte'!AR15*'Chenes+Alisier - f. très forte'!$F$21,'Chenes+corm+merisier - f. forte'!AR15*'Chenes+corm+merisier - f. forte'!$F$21,'Charme - fertil.forte'!AR15*'Charme - fertil.forte'!$F$21,'Pin maritime - très forte'!AR15*'Pin maritime - très forte'!$F$21,'P. sylv.+laricio+séquoia -forte'!AR15*'P. sylv.+laricio+séquoia -forte'!$F$21,'Douglas - fertilité moyenne'!AR15*'Douglas - fertilité moyenne'!$F$21)</f>
        <v>0</v>
      </c>
      <c r="Y31" s="188">
        <f>SUM('Chenes+Alisier - f. très forte'!AS15*'Chenes+Alisier - f. très forte'!$F$21,'Chenes+corm+merisier - f. forte'!AS15*'Chenes+corm+merisier - f. forte'!$F$21,'Charme - fertil.forte'!AS15*'Charme - fertil.forte'!$F$21,'Pin maritime - très forte'!AS15*'Pin maritime - très forte'!$F$21,'P. sylv.+laricio+séquoia -forte'!AS15*'P. sylv.+laricio+séquoia -forte'!$F$21,'Douglas - fertilité moyenne'!AS15*'Douglas - fertilité moyenne'!$F$21)</f>
        <v>0</v>
      </c>
      <c r="Z31" s="331">
        <f>SUM('Chenes+Alisier - f. très forte'!AT15*'Chenes+Alisier - f. très forte'!$F$21,'Chenes+corm+merisier - f. forte'!AT15*'Chenes+corm+merisier - f. forte'!$F$21,'Charme - fertil.forte'!AT15*'Charme - fertil.forte'!$F$21,'Pin maritime - très forte'!AT15*'Pin maritime - très forte'!$F$21,'P. sylv.+laricio+séquoia -forte'!AT15*'P. sylv.+laricio+séquoia -forte'!$F$21,'Douglas - fertilité moyenne'!AT15*'Douglas - fertilité moyenne'!$F$21)</f>
        <v>0</v>
      </c>
      <c r="AA31" s="178">
        <f t="shared" si="9"/>
        <v>0</v>
      </c>
      <c r="AB31" s="179">
        <f t="shared" si="8"/>
        <v>-617.70215036145839</v>
      </c>
      <c r="AC31" s="178"/>
      <c r="AD31" s="178"/>
    </row>
    <row r="32" spans="2:30">
      <c r="B32" s="262">
        <f>'Chenes+Alisier - f. très forte'!B91</f>
        <v>66</v>
      </c>
      <c r="C32" s="225">
        <f>'Chenes+Alisier - f. très forte'!C91</f>
        <v>28</v>
      </c>
      <c r="D32" s="226">
        <f>'Chenes+Alisier - f. très forte'!D91</f>
        <v>0.4</v>
      </c>
      <c r="E32" s="221">
        <f>'Chenes+Alisier - f. très forte'!E91</f>
        <v>0</v>
      </c>
      <c r="F32" s="221">
        <f>'Chenes+Alisier - f. très forte'!F91</f>
        <v>0</v>
      </c>
      <c r="G32" s="227">
        <f>'Chenes+Alisier - f. très forte'!G91</f>
        <v>0.6</v>
      </c>
      <c r="H32" s="210">
        <f>IFERROR(VLOOKUP($B$21,Tableau14582[],4,FALSE)*(1+$L$9)^$B32,0)</f>
        <v>150</v>
      </c>
      <c r="I32" s="211">
        <f>IFERROR(VLOOKUP($B$21,Tableau14582[],5,FALSE)*(1+$L$9)^$B32,0)</f>
        <v>13.75</v>
      </c>
      <c r="J32" s="211">
        <f>IFERROR(VLOOKUP($B$21,Tableau14582[],5,FALSE)*(1+$L$9)^$B32,0)</f>
        <v>13.75</v>
      </c>
      <c r="K32" s="212">
        <f>IFERROR(VLOOKUP($B$21,Tableau14582[],6,FALSE)*(1+$L$9)^$B32,0)</f>
        <v>10</v>
      </c>
      <c r="L32" s="263">
        <f t="shared" si="10"/>
        <v>24578.400000000005</v>
      </c>
      <c r="N32" s="71">
        <v>11</v>
      </c>
      <c r="O32" s="239"/>
      <c r="P32" s="180"/>
      <c r="Q32" s="240">
        <f t="shared" si="11"/>
        <v>940.00249999999994</v>
      </c>
      <c r="R32" s="180">
        <f t="shared" si="5"/>
        <v>19.270051249999998</v>
      </c>
      <c r="S32" s="180">
        <f>$L$11*(1+$L$9)^N32*'Récapitulatif des résultats'!$I$11</f>
        <v>0</v>
      </c>
      <c r="T32" s="241"/>
      <c r="U32" s="180"/>
      <c r="V32" s="249">
        <f t="shared" si="7"/>
        <v>0</v>
      </c>
      <c r="W32" s="188">
        <f>SUM('Chenes+Alisier - f. très forte'!AQ16*'Chenes+Alisier - f. très forte'!$F$21,'Chenes+corm+merisier - f. forte'!AQ16*'Chenes+corm+merisier - f. forte'!$F$21,'Charme - fertil.forte'!AQ16*'Charme - fertil.forte'!$F$21,'Pin maritime - très forte'!AQ16*'Pin maritime - très forte'!$F$21,'P. sylv.+laricio+séquoia -forte'!AQ16*'P. sylv.+laricio+séquoia -forte'!$F$21,'Douglas - fertilité moyenne'!AQ16*'Douglas - fertilité moyenne'!$F$21)</f>
        <v>0</v>
      </c>
      <c r="X32" s="188">
        <f>SUM('Chenes+Alisier - f. très forte'!AR16*'Chenes+Alisier - f. très forte'!$F$21,'Chenes+corm+merisier - f. forte'!AR16*'Chenes+corm+merisier - f. forte'!$F$21,'Charme - fertil.forte'!AR16*'Charme - fertil.forte'!$F$21,'Pin maritime - très forte'!AR16*'Pin maritime - très forte'!$F$21,'P. sylv.+laricio+séquoia -forte'!AR16*'P. sylv.+laricio+séquoia -forte'!$F$21,'Douglas - fertilité moyenne'!AR16*'Douglas - fertilité moyenne'!$F$21)</f>
        <v>0</v>
      </c>
      <c r="Y32" s="188">
        <f>SUM('Chenes+Alisier - f. très forte'!AS16*'Chenes+Alisier - f. très forte'!$F$21,'Chenes+corm+merisier - f. forte'!AS16*'Chenes+corm+merisier - f. forte'!$F$21,'Charme - fertil.forte'!AS16*'Charme - fertil.forte'!$F$21,'Pin maritime - très forte'!AS16*'Pin maritime - très forte'!$F$21,'P. sylv.+laricio+séquoia -forte'!AS16*'P. sylv.+laricio+séquoia -forte'!$F$21,'Douglas - fertilité moyenne'!AS16*'Douglas - fertilité moyenne'!$F$21)</f>
        <v>0</v>
      </c>
      <c r="Z32" s="331">
        <f>SUM('Chenes+Alisier - f. très forte'!AT16*'Chenes+Alisier - f. très forte'!$F$21,'Chenes+corm+merisier - f. forte'!AT16*'Chenes+corm+merisier - f. forte'!$F$21,'Charme - fertil.forte'!AT16*'Charme - fertil.forte'!$F$21,'Pin maritime - très forte'!AT16*'Pin maritime - très forte'!$F$21,'P. sylv.+laricio+séquoia -forte'!AT16*'P. sylv.+laricio+séquoia -forte'!$F$21,'Douglas - fertilité moyenne'!AT16*'Douglas - fertilité moyenne'!$F$21)</f>
        <v>0</v>
      </c>
      <c r="AA32" s="178">
        <f t="shared" si="9"/>
        <v>0</v>
      </c>
      <c r="AB32" s="179">
        <f t="shared" si="8"/>
        <v>-591.10253623106064</v>
      </c>
      <c r="AC32" s="178"/>
      <c r="AD32" s="178"/>
    </row>
    <row r="33" spans="1:30">
      <c r="B33" s="262">
        <f>'Chenes+Alisier - f. très forte'!B92</f>
        <v>71</v>
      </c>
      <c r="C33" s="225">
        <f>'Chenes+Alisier - f. très forte'!C92</f>
        <v>28</v>
      </c>
      <c r="D33" s="226">
        <f>'Chenes+Alisier - f. très forte'!D92</f>
        <v>0.4</v>
      </c>
      <c r="E33" s="221">
        <f>'Chenes+Alisier - f. très forte'!E92</f>
        <v>0</v>
      </c>
      <c r="F33" s="221">
        <f>'Chenes+Alisier - f. très forte'!F92</f>
        <v>0</v>
      </c>
      <c r="G33" s="227">
        <f>'Chenes+Alisier - f. très forte'!G92</f>
        <v>0.6</v>
      </c>
      <c r="H33" s="210">
        <f>IFERROR(VLOOKUP($B$21,Tableau14582[],4,FALSE)*(1+$L$9)^$B33,0)</f>
        <v>150</v>
      </c>
      <c r="I33" s="211">
        <f>IFERROR(VLOOKUP($B$21,Tableau14582[],5,FALSE)*(1+$L$9)^$B33,0)</f>
        <v>13.75</v>
      </c>
      <c r="J33" s="211">
        <f>IFERROR(VLOOKUP($B$21,Tableau14582[],5,FALSE)*(1+$L$9)^$B33,0)</f>
        <v>13.75</v>
      </c>
      <c r="K33" s="212">
        <f>IFERROR(VLOOKUP($B$21,Tableau14582[],6,FALSE)*(1+$L$9)^$B33,0)</f>
        <v>10</v>
      </c>
      <c r="L33" s="263">
        <f t="shared" si="10"/>
        <v>24578.400000000005</v>
      </c>
      <c r="N33" s="71">
        <v>12</v>
      </c>
      <c r="O33" s="239"/>
      <c r="P33" s="180"/>
      <c r="Q33" s="240">
        <f t="shared" si="11"/>
        <v>940.00249999999994</v>
      </c>
      <c r="R33" s="180">
        <f t="shared" si="5"/>
        <v>19.270051249999998</v>
      </c>
      <c r="S33" s="180">
        <f>$L$11*(1+$L$9)^N33*'Récapitulatif des résultats'!$I$11</f>
        <v>0</v>
      </c>
      <c r="T33" s="241"/>
      <c r="U33" s="180"/>
      <c r="V33" s="249">
        <f t="shared" si="7"/>
        <v>0</v>
      </c>
      <c r="W33" s="188">
        <f>SUM('Chenes+Alisier - f. très forte'!AQ17*'Chenes+Alisier - f. très forte'!$F$21,'Chenes+corm+merisier - f. forte'!AQ17*'Chenes+corm+merisier - f. forte'!$F$21,'Charme - fertil.forte'!AQ17*'Charme - fertil.forte'!$F$21,'Pin maritime - très forte'!AQ17*'Pin maritime - très forte'!$F$21,'P. sylv.+laricio+séquoia -forte'!AQ17*'P. sylv.+laricio+séquoia -forte'!$F$21,'Douglas - fertilité moyenne'!AQ17*'Douglas - fertilité moyenne'!$F$21)</f>
        <v>0</v>
      </c>
      <c r="X33" s="188">
        <f>SUM('Chenes+Alisier - f. très forte'!AR17*'Chenes+Alisier - f. très forte'!$F$21,'Chenes+corm+merisier - f. forte'!AR17*'Chenes+corm+merisier - f. forte'!$F$21,'Charme - fertil.forte'!AR17*'Charme - fertil.forte'!$F$21,'Pin maritime - très forte'!AR17*'Pin maritime - très forte'!$F$21,'P. sylv.+laricio+séquoia -forte'!AR17*'P. sylv.+laricio+séquoia -forte'!$F$21,'Douglas - fertilité moyenne'!AR17*'Douglas - fertilité moyenne'!$F$21)</f>
        <v>0</v>
      </c>
      <c r="Y33" s="188">
        <f>SUM('Chenes+Alisier - f. très forte'!AS17*'Chenes+Alisier - f. très forte'!$F$21,'Chenes+corm+merisier - f. forte'!AS17*'Chenes+corm+merisier - f. forte'!$F$21,'Charme - fertil.forte'!AS17*'Charme - fertil.forte'!$F$21,'Pin maritime - très forte'!AS17*'Pin maritime - très forte'!$F$21,'P. sylv.+laricio+séquoia -forte'!AS17*'P. sylv.+laricio+séquoia -forte'!$F$21,'Douglas - fertilité moyenne'!AS17*'Douglas - fertilité moyenne'!$F$21)</f>
        <v>0</v>
      </c>
      <c r="Z33" s="331">
        <f>SUM('Chenes+Alisier - f. très forte'!AT17*'Chenes+Alisier - f. très forte'!$F$21,'Chenes+corm+merisier - f. forte'!AT17*'Chenes+corm+merisier - f. forte'!$F$21,'Charme - fertil.forte'!AT17*'Charme - fertil.forte'!$F$21,'Pin maritime - très forte'!AT17*'Pin maritime - très forte'!$F$21,'P. sylv.+laricio+séquoia -forte'!AT17*'P. sylv.+laricio+séquoia -forte'!$F$21,'Douglas - fertilité moyenne'!AT17*'Douglas - fertilité moyenne'!$F$21)</f>
        <v>0</v>
      </c>
      <c r="AA33" s="178">
        <f t="shared" si="9"/>
        <v>0</v>
      </c>
      <c r="AB33" s="179">
        <f t="shared" si="8"/>
        <v>-565.64836002972322</v>
      </c>
      <c r="AC33" s="178"/>
      <c r="AD33" s="178"/>
    </row>
    <row r="34" spans="1:30">
      <c r="B34" s="262">
        <f>'Chenes+Alisier - f. très forte'!B93</f>
        <v>76</v>
      </c>
      <c r="C34" s="225">
        <f>'Chenes+Alisier - f. très forte'!C93</f>
        <v>28</v>
      </c>
      <c r="D34" s="226">
        <f>'Chenes+Alisier - f. très forte'!D93</f>
        <v>0.5</v>
      </c>
      <c r="E34" s="221">
        <f>'Chenes+Alisier - f. très forte'!E93</f>
        <v>0</v>
      </c>
      <c r="F34" s="221">
        <f>'Chenes+Alisier - f. très forte'!F93</f>
        <v>0</v>
      </c>
      <c r="G34" s="227">
        <f>'Chenes+Alisier - f. très forte'!G93</f>
        <v>0.5</v>
      </c>
      <c r="H34" s="210">
        <f>IFERROR(VLOOKUP($B$21,Tableau14582[],4,FALSE)*(1+$L$9)^$B34,0)</f>
        <v>150</v>
      </c>
      <c r="I34" s="211">
        <f>IFERROR(VLOOKUP($B$21,Tableau14582[],5,FALSE)*(1+$L$9)^$B34,0)</f>
        <v>13.75</v>
      </c>
      <c r="J34" s="211">
        <f>IFERROR(VLOOKUP($B$21,Tableau14582[],5,FALSE)*(1+$L$9)^$B34,0)</f>
        <v>13.75</v>
      </c>
      <c r="K34" s="212">
        <f>IFERROR(VLOOKUP($B$21,Tableau14582[],6,FALSE)*(1+$L$9)^$B34,0)</f>
        <v>10</v>
      </c>
      <c r="L34" s="263">
        <f t="shared" si="10"/>
        <v>29792</v>
      </c>
      <c r="N34" s="71">
        <v>13</v>
      </c>
      <c r="O34" s="239"/>
      <c r="P34" s="180"/>
      <c r="Q34" s="240">
        <f t="shared" si="11"/>
        <v>940.00249999999994</v>
      </c>
      <c r="R34" s="180">
        <f t="shared" si="5"/>
        <v>19.270051249999998</v>
      </c>
      <c r="S34" s="180">
        <f>$L$11*(1+$L$9)^N34*'Récapitulatif des résultats'!$I$11</f>
        <v>0</v>
      </c>
      <c r="T34" s="241"/>
      <c r="U34" s="180"/>
      <c r="V34" s="249">
        <f t="shared" si="7"/>
        <v>0</v>
      </c>
      <c r="W34" s="188">
        <f>SUM('Chenes+Alisier - f. très forte'!AQ18*'Chenes+Alisier - f. très forte'!$F$21,'Chenes+corm+merisier - f. forte'!AQ18*'Chenes+corm+merisier - f. forte'!$F$21,'Charme - fertil.forte'!AQ18*'Charme - fertil.forte'!$F$21,'Pin maritime - très forte'!AQ18*'Pin maritime - très forte'!$F$21,'P. sylv.+laricio+séquoia -forte'!AQ18*'P. sylv.+laricio+séquoia -forte'!$F$21,'Douglas - fertilité moyenne'!AQ18*'Douglas - fertilité moyenne'!$F$21)</f>
        <v>0</v>
      </c>
      <c r="X34" s="188">
        <f>SUM('Chenes+Alisier - f. très forte'!AR18*'Chenes+Alisier - f. très forte'!$F$21,'Chenes+corm+merisier - f. forte'!AR18*'Chenes+corm+merisier - f. forte'!$F$21,'Charme - fertil.forte'!AR18*'Charme - fertil.forte'!$F$21,'Pin maritime - très forte'!AR18*'Pin maritime - très forte'!$F$21,'P. sylv.+laricio+séquoia -forte'!AR18*'P. sylv.+laricio+séquoia -forte'!$F$21,'Douglas - fertilité moyenne'!AR18*'Douglas - fertilité moyenne'!$F$21)</f>
        <v>0</v>
      </c>
      <c r="Y34" s="188">
        <f>SUM('Chenes+Alisier - f. très forte'!AS18*'Chenes+Alisier - f. très forte'!$F$21,'Chenes+corm+merisier - f. forte'!AS18*'Chenes+corm+merisier - f. forte'!$F$21,'Charme - fertil.forte'!AS18*'Charme - fertil.forte'!$F$21,'Pin maritime - très forte'!AS18*'Pin maritime - très forte'!$F$21,'P. sylv.+laricio+séquoia -forte'!AS18*'P. sylv.+laricio+séquoia -forte'!$F$21,'Douglas - fertilité moyenne'!AS18*'Douglas - fertilité moyenne'!$F$21)</f>
        <v>0</v>
      </c>
      <c r="Z34" s="331">
        <f>SUM('Chenes+Alisier - f. très forte'!AT18*'Chenes+Alisier - f. très forte'!$F$21,'Chenes+corm+merisier - f. forte'!AT18*'Chenes+corm+merisier - f. forte'!$F$21,'Charme - fertil.forte'!AT18*'Charme - fertil.forte'!$F$21,'Pin maritime - très forte'!AT18*'Pin maritime - très forte'!$F$21,'P. sylv.+laricio+séquoia -forte'!AT18*'P. sylv.+laricio+séquoia -forte'!$F$21,'Douglas - fertilité moyenne'!AT18*'Douglas - fertilité moyenne'!$F$21)</f>
        <v>0</v>
      </c>
      <c r="AA34" s="178">
        <f t="shared" si="9"/>
        <v>0</v>
      </c>
      <c r="AB34" s="179">
        <f t="shared" si="8"/>
        <v>-541.29029667916097</v>
      </c>
      <c r="AC34" s="178"/>
      <c r="AD34" s="178"/>
    </row>
    <row r="35" spans="1:30">
      <c r="B35" s="264">
        <f>'Chenes+Alisier - f. très forte'!B95</f>
        <v>100</v>
      </c>
      <c r="C35" s="228">
        <f>'Chenes+Alisier - f. très forte'!C95</f>
        <v>333</v>
      </c>
      <c r="D35" s="222">
        <f>'Chenes+Alisier - f. très forte'!D95</f>
        <v>0.9</v>
      </c>
      <c r="E35" s="234">
        <f>'Chenes+Alisier - f. très forte'!E95</f>
        <v>0</v>
      </c>
      <c r="F35" s="234">
        <f>'Chenes+Alisier - f. très forte'!F95</f>
        <v>0</v>
      </c>
      <c r="G35" s="229">
        <f>'Chenes+Alisier - f. très forte'!G95</f>
        <v>9.9999999999999978E-2</v>
      </c>
      <c r="H35" s="213">
        <f>IFERROR(VLOOKUP($B$21,Tableau14582[],4,FALSE)*(1+$L$9)^$B35,0)</f>
        <v>150</v>
      </c>
      <c r="I35" s="214">
        <f>IFERROR(VLOOKUP($B$21,Tableau14582[],5,FALSE)*(1+$L$9)^$B35,0)</f>
        <v>13.75</v>
      </c>
      <c r="J35" s="214">
        <f>IFERROR(VLOOKUP($B$21,Tableau14582[],5,FALSE)*(1+$L$9)^$B35,0)</f>
        <v>13.75</v>
      </c>
      <c r="K35" s="215">
        <f>IFERROR(VLOOKUP($B$21,Tableau14582[],6,FALSE)*(1+$L$9)^$B35,0)</f>
        <v>10</v>
      </c>
      <c r="L35" s="265">
        <f t="shared" si="10"/>
        <v>602330.4</v>
      </c>
      <c r="N35" s="71">
        <v>14</v>
      </c>
      <c r="O35" s="239"/>
      <c r="P35" s="180"/>
      <c r="Q35" s="240">
        <f t="shared" si="11"/>
        <v>940.00249999999994</v>
      </c>
      <c r="R35" s="180">
        <f t="shared" si="5"/>
        <v>19.270051249999998</v>
      </c>
      <c r="S35" s="180">
        <f>$L$11*(1+$L$9)^N35*'Récapitulatif des résultats'!$I$11</f>
        <v>0</v>
      </c>
      <c r="T35" s="241"/>
      <c r="U35" s="180"/>
      <c r="V35" s="249">
        <f t="shared" si="7"/>
        <v>0</v>
      </c>
      <c r="W35" s="188">
        <f>SUM('Chenes+Alisier - f. très forte'!AQ19*'Chenes+Alisier - f. très forte'!$F$21,'Chenes+corm+merisier - f. forte'!AQ19*'Chenes+corm+merisier - f. forte'!$F$21,'Charme - fertil.forte'!AQ19*'Charme - fertil.forte'!$F$21,'Pin maritime - très forte'!AQ19*'Pin maritime - très forte'!$F$21,'P. sylv.+laricio+séquoia -forte'!AQ19*'P. sylv.+laricio+séquoia -forte'!$F$21,'Douglas - fertilité moyenne'!AQ19*'Douglas - fertilité moyenne'!$F$21)</f>
        <v>0</v>
      </c>
      <c r="X35" s="188">
        <f>SUM('Chenes+Alisier - f. très forte'!AR19*'Chenes+Alisier - f. très forte'!$F$21,'Chenes+corm+merisier - f. forte'!AR19*'Chenes+corm+merisier - f. forte'!$F$21,'Charme - fertil.forte'!AR19*'Charme - fertil.forte'!$F$21,'Pin maritime - très forte'!AR19*'Pin maritime - très forte'!$F$21,'P. sylv.+laricio+séquoia -forte'!AR19*'P. sylv.+laricio+séquoia -forte'!$F$21,'Douglas - fertilité moyenne'!AR19*'Douglas - fertilité moyenne'!$F$21)</f>
        <v>0</v>
      </c>
      <c r="Y35" s="188">
        <f>SUM('Chenes+Alisier - f. très forte'!AS19*'Chenes+Alisier - f. très forte'!$F$21,'Chenes+corm+merisier - f. forte'!AS19*'Chenes+corm+merisier - f. forte'!$F$21,'Charme - fertil.forte'!AS19*'Charme - fertil.forte'!$F$21,'Pin maritime - très forte'!AS19*'Pin maritime - très forte'!$F$21,'P. sylv.+laricio+séquoia -forte'!AS19*'P. sylv.+laricio+séquoia -forte'!$F$21,'Douglas - fertilité moyenne'!AS19*'Douglas - fertilité moyenne'!$F$21)</f>
        <v>0</v>
      </c>
      <c r="Z35" s="331">
        <f>SUM('Chenes+Alisier - f. très forte'!AT19*'Chenes+Alisier - f. très forte'!$F$21,'Chenes+corm+merisier - f. forte'!AT19*'Chenes+corm+merisier - f. forte'!$F$21,'Charme - fertil.forte'!AT19*'Charme - fertil.forte'!$F$21,'Pin maritime - très forte'!AT19*'Pin maritime - très forte'!$F$21,'P. sylv.+laricio+séquoia -forte'!AT19*'P. sylv.+laricio+séquoia -forte'!$F$21,'Douglas - fertilité moyenne'!AT19*'Douglas - fertilité moyenne'!$F$21)</f>
        <v>0</v>
      </c>
      <c r="AA35" s="178">
        <f t="shared" si="9"/>
        <v>0</v>
      </c>
      <c r="AB35" s="179">
        <f t="shared" si="8"/>
        <v>-517.98114514752262</v>
      </c>
      <c r="AC35" s="178"/>
      <c r="AD35" s="178"/>
    </row>
    <row r="36" spans="1:30">
      <c r="B36" s="266"/>
      <c r="C36" s="267"/>
      <c r="D36" s="267"/>
      <c r="E36" s="267"/>
      <c r="F36" s="267"/>
      <c r="G36" s="267"/>
      <c r="H36" s="267"/>
      <c r="I36" s="267"/>
      <c r="J36" s="267"/>
      <c r="K36" s="267"/>
      <c r="L36" s="268"/>
      <c r="N36" s="71">
        <v>15</v>
      </c>
      <c r="O36" s="239"/>
      <c r="P36" s="180"/>
      <c r="Q36" s="240">
        <f t="shared" si="11"/>
        <v>940.00249999999994</v>
      </c>
      <c r="R36" s="180">
        <f t="shared" si="5"/>
        <v>19.270051249999998</v>
      </c>
      <c r="S36" s="180">
        <f>$L$11*(1+$L$9)^N36*'Récapitulatif des résultats'!$I$11</f>
        <v>0</v>
      </c>
      <c r="T36" s="241"/>
      <c r="U36" s="180"/>
      <c r="V36" s="249">
        <f t="shared" si="7"/>
        <v>0</v>
      </c>
      <c r="W36" s="188">
        <f>SUM('Chenes+Alisier - f. très forte'!AQ20*'Chenes+Alisier - f. très forte'!$F$21,'Chenes+corm+merisier - f. forte'!AQ20*'Chenes+corm+merisier - f. forte'!$F$21,'Charme - fertil.forte'!AQ20*'Charme - fertil.forte'!$F$21,'Pin maritime - très forte'!AQ20*'Pin maritime - très forte'!$F$21,'P. sylv.+laricio+séquoia -forte'!AQ20*'P. sylv.+laricio+séquoia -forte'!$F$21,'Douglas - fertilité moyenne'!AQ20*'Douglas - fertilité moyenne'!$F$21)</f>
        <v>0</v>
      </c>
      <c r="X36" s="188">
        <f>SUM('Chenes+Alisier - f. très forte'!AR20*'Chenes+Alisier - f. très forte'!$F$21,'Chenes+corm+merisier - f. forte'!AR20*'Chenes+corm+merisier - f. forte'!$F$21,'Charme - fertil.forte'!AR20*'Charme - fertil.forte'!$F$21,'Pin maritime - très forte'!AR20*'Pin maritime - très forte'!$F$21,'P. sylv.+laricio+séquoia -forte'!AR20*'P. sylv.+laricio+séquoia -forte'!$F$21,'Douglas - fertilité moyenne'!AR20*'Douglas - fertilité moyenne'!$F$21)</f>
        <v>0</v>
      </c>
      <c r="Y36" s="188">
        <f>SUM('Chenes+Alisier - f. très forte'!AS20*'Chenes+Alisier - f. très forte'!$F$21,'Chenes+corm+merisier - f. forte'!AS20*'Chenes+corm+merisier - f. forte'!$F$21,'Charme - fertil.forte'!AS20*'Charme - fertil.forte'!$F$21,'Pin maritime - très forte'!AS20*'Pin maritime - très forte'!$F$21,'P. sylv.+laricio+séquoia -forte'!AS20*'P. sylv.+laricio+séquoia -forte'!$F$21,'Douglas - fertilité moyenne'!AS20*'Douglas - fertilité moyenne'!$F$21)</f>
        <v>0</v>
      </c>
      <c r="Z36" s="331">
        <f>SUM('Chenes+Alisier - f. très forte'!AT20*'Chenes+Alisier - f. très forte'!$F$21,'Chenes+corm+merisier - f. forte'!AT20*'Chenes+corm+merisier - f. forte'!$F$21,'Charme - fertil.forte'!AT20*'Charme - fertil.forte'!$F$21,'Pin maritime - très forte'!AT20*'Pin maritime - très forte'!$F$21,'P. sylv.+laricio+séquoia -forte'!AT20*'P. sylv.+laricio+séquoia -forte'!$F$21,'Douglas - fertilité moyenne'!AT20*'Douglas - fertilité moyenne'!$F$21)</f>
        <v>0</v>
      </c>
      <c r="AA36" s="178">
        <f t="shared" si="9"/>
        <v>0</v>
      </c>
      <c r="AB36" s="179">
        <f t="shared" si="8"/>
        <v>-495.67573698327516</v>
      </c>
      <c r="AC36" s="178"/>
      <c r="AD36" s="178"/>
    </row>
    <row r="37" spans="1:30">
      <c r="B37" s="411" t="str">
        <f>'Chenes+corm+merisier - f. forte'!F17</f>
        <v xml:space="preserve">Chênes indifférenciés </v>
      </c>
      <c r="C37" s="412">
        <f>'Chenes+corm+merisier - f. forte'!C80</f>
        <v>0</v>
      </c>
      <c r="D37" s="412">
        <f>'Chenes+corm+merisier - f. forte'!D80</f>
        <v>0</v>
      </c>
      <c r="E37" s="412">
        <f>'Chenes+corm+merisier - f. forte'!E80</f>
        <v>0</v>
      </c>
      <c r="F37" s="412">
        <f>'Chenes+corm+merisier - f. forte'!F80</f>
        <v>0</v>
      </c>
      <c r="G37" s="413">
        <f>'Chenes+corm+merisier - f. forte'!G80</f>
        <v>0</v>
      </c>
      <c r="H37" s="397" t="s">
        <v>248</v>
      </c>
      <c r="I37" s="398"/>
      <c r="J37" s="398"/>
      <c r="K37" s="399"/>
      <c r="L37" s="257">
        <f>R5</f>
        <v>6.0750000000000002</v>
      </c>
      <c r="N37" s="71">
        <v>16</v>
      </c>
      <c r="O37" s="239"/>
      <c r="P37" s="180"/>
      <c r="Q37" s="240">
        <f t="shared" si="11"/>
        <v>940.00249999999994</v>
      </c>
      <c r="R37" s="180">
        <f t="shared" si="5"/>
        <v>19.270051249999998</v>
      </c>
      <c r="S37" s="180">
        <f>$L$11*(1+$L$9)^N37*'Récapitulatif des résultats'!$I$11</f>
        <v>0</v>
      </c>
      <c r="T37" s="241"/>
      <c r="U37" s="180"/>
      <c r="V37" s="249">
        <f t="shared" si="7"/>
        <v>88.815100000000001</v>
      </c>
      <c r="W37" s="188">
        <f>SUM('Chenes+Alisier - f. très forte'!AQ21*'Chenes+Alisier - f. très forte'!$F$21,'Chenes+corm+merisier - f. forte'!AQ21*'Chenes+corm+merisier - f. forte'!$F$21,'Charme - fertil.forte'!AQ21*'Charme - fertil.forte'!$F$21,'Pin maritime - très forte'!AQ21*'Pin maritime - très forte'!$F$21,'P. sylv.+laricio+séquoia -forte'!AQ21*'P. sylv.+laricio+séquoia -forte'!$F$21,'Douglas - fertilité moyenne'!AQ21*'Douglas - fertilité moyenne'!$F$21)</f>
        <v>0</v>
      </c>
      <c r="X37" s="188">
        <f>SUM('Chenes+Alisier - f. très forte'!AR21*'Chenes+Alisier - f. très forte'!$F$21,'Chenes+corm+merisier - f. forte'!AR21*'Chenes+corm+merisier - f. forte'!$F$21,'Charme - fertil.forte'!AR21*'Charme - fertil.forte'!$F$21,'Pin maritime - très forte'!AR21*'Pin maritime - très forte'!$F$21,'P. sylv.+laricio+séquoia -forte'!AR21*'P. sylv.+laricio+séquoia -forte'!$F$21,'Douglas - fertilité moyenne'!AR21*'Douglas - fertilité moyenne'!$F$21)</f>
        <v>49.736456000000004</v>
      </c>
      <c r="Y37" s="188">
        <f>SUM('Chenes+Alisier - f. très forte'!AS21*'Chenes+Alisier - f. très forte'!$F$21,'Chenes+corm+merisier - f. forte'!AS21*'Chenes+corm+merisier - f. forte'!$F$21,'Charme - fertil.forte'!AS21*'Charme - fertil.forte'!$F$21,'Pin maritime - très forte'!AS21*'Pin maritime - très forte'!$F$21,'P. sylv.+laricio+séquoia -forte'!AS21*'P. sylv.+laricio+séquoia -forte'!$F$21,'Douglas - fertilité moyenne'!AS21*'Douglas - fertilité moyenne'!$F$21)</f>
        <v>39.078644000000004</v>
      </c>
      <c r="Z37" s="331">
        <f>SUM('Chenes+Alisier - f. très forte'!AT21*'Chenes+Alisier - f. très forte'!$F$21,'Chenes+corm+merisier - f. forte'!AT21*'Chenes+corm+merisier - f. forte'!$F$21,'Charme - fertil.forte'!AT21*'Charme - fertil.forte'!$F$21,'Pin maritime - très forte'!AT21*'Pin maritime - très forte'!$F$21,'P. sylv.+laricio+séquoia -forte'!AT21*'P. sylv.+laricio+séquoia -forte'!$F$21,'Douglas - fertilité moyenne'!AT21*'Douglas - fertilité moyenne'!$F$21)</f>
        <v>0</v>
      </c>
      <c r="AA37" s="178">
        <f t="shared" si="9"/>
        <v>1720.7925625</v>
      </c>
      <c r="AB37" s="179">
        <f t="shared" si="8"/>
        <v>376.54828425397966</v>
      </c>
      <c r="AC37" s="178"/>
      <c r="AD37" s="178"/>
    </row>
    <row r="38" spans="1:30">
      <c r="B38" s="269" t="str">
        <f>'Chenes+corm+merisier - f. forte'!B81</f>
        <v>Année</v>
      </c>
      <c r="C38" s="230" t="str">
        <f>'Chenes+corm+merisier - f. forte'!C81</f>
        <v>Volume d'éclaircie</v>
      </c>
      <c r="D38" s="217" t="str">
        <f>'Chenes+corm+merisier - f. forte'!D81</f>
        <v>BO</v>
      </c>
      <c r="E38" s="217" t="str">
        <f>'Chenes+corm+merisier - f. forte'!E81</f>
        <v>BI - panneaux</v>
      </c>
      <c r="F38" s="217" t="str">
        <f>'Chenes+corm+merisier - f. forte'!F81</f>
        <v>BI - papier</v>
      </c>
      <c r="G38" s="218" t="str">
        <f>'Chenes+corm+merisier - f. forte'!G81</f>
        <v>BE</v>
      </c>
      <c r="H38" s="216" t="s">
        <v>78</v>
      </c>
      <c r="I38" s="217" t="s">
        <v>81</v>
      </c>
      <c r="J38" s="217" t="s">
        <v>80</v>
      </c>
      <c r="K38" s="218" t="s">
        <v>79</v>
      </c>
      <c r="L38" s="259" t="s">
        <v>252</v>
      </c>
      <c r="N38" s="71">
        <v>17</v>
      </c>
      <c r="O38" s="239"/>
      <c r="P38" s="180"/>
      <c r="Q38" s="240">
        <f t="shared" si="11"/>
        <v>940.00249999999994</v>
      </c>
      <c r="R38" s="180">
        <f t="shared" si="5"/>
        <v>19.270051249999998</v>
      </c>
      <c r="S38" s="180">
        <f>$L$11*(1+$L$9)^N38*'Récapitulatif des résultats'!$I$11</f>
        <v>0</v>
      </c>
      <c r="T38" s="241"/>
      <c r="U38" s="180"/>
      <c r="V38" s="249">
        <f t="shared" si="7"/>
        <v>0</v>
      </c>
      <c r="W38" s="188">
        <f>SUM('Chenes+Alisier - f. très forte'!AQ22*'Chenes+Alisier - f. très forte'!$F$21,'Chenes+corm+merisier - f. forte'!AQ22*'Chenes+corm+merisier - f. forte'!$F$21,'Charme - fertil.forte'!AQ22*'Charme - fertil.forte'!$F$21,'Pin maritime - très forte'!AQ22*'Pin maritime - très forte'!$F$21,'P. sylv.+laricio+séquoia -forte'!AQ22*'P. sylv.+laricio+séquoia -forte'!$F$21,'Douglas - fertilité moyenne'!AQ22*'Douglas - fertilité moyenne'!$F$21)</f>
        <v>0</v>
      </c>
      <c r="X38" s="188">
        <f>SUM('Chenes+Alisier - f. très forte'!AR22*'Chenes+Alisier - f. très forte'!$F$21,'Chenes+corm+merisier - f. forte'!AR22*'Chenes+corm+merisier - f. forte'!$F$21,'Charme - fertil.forte'!AR22*'Charme - fertil.forte'!$F$21,'Pin maritime - très forte'!AR22*'Pin maritime - très forte'!$F$21,'P. sylv.+laricio+séquoia -forte'!AR22*'P. sylv.+laricio+séquoia -forte'!$F$21,'Douglas - fertilité moyenne'!AR22*'Douglas - fertilité moyenne'!$F$21)</f>
        <v>0</v>
      </c>
      <c r="Y38" s="188">
        <f>SUM('Chenes+Alisier - f. très forte'!AS22*'Chenes+Alisier - f. très forte'!$F$21,'Chenes+corm+merisier - f. forte'!AS22*'Chenes+corm+merisier - f. forte'!$F$21,'Charme - fertil.forte'!AS22*'Charme - fertil.forte'!$F$21,'Pin maritime - très forte'!AS22*'Pin maritime - très forte'!$F$21,'P. sylv.+laricio+séquoia -forte'!AS22*'P. sylv.+laricio+séquoia -forte'!$F$21,'Douglas - fertilité moyenne'!AS22*'Douglas - fertilité moyenne'!$F$21)</f>
        <v>0</v>
      </c>
      <c r="Z38" s="331">
        <f>SUM('Chenes+Alisier - f. très forte'!AT22*'Chenes+Alisier - f. très forte'!$F$21,'Chenes+corm+merisier - f. forte'!AT22*'Chenes+corm+merisier - f. forte'!$F$21,'Charme - fertil.forte'!AT22*'Charme - fertil.forte'!$F$21,'Pin maritime - très forte'!AT22*'Pin maritime - très forte'!$F$21,'P. sylv.+laricio+séquoia -forte'!AT22*'P. sylv.+laricio+séquoia -forte'!$F$21,'Douglas - fertilité moyenne'!AT22*'Douglas - fertilité moyenne'!$F$21)</f>
        <v>0</v>
      </c>
      <c r="AA38" s="178">
        <f t="shared" si="9"/>
        <v>0</v>
      </c>
      <c r="AB38" s="179">
        <f t="shared" si="8"/>
        <v>-453.90511845724717</v>
      </c>
      <c r="AC38" s="178"/>
      <c r="AD38" s="178"/>
    </row>
    <row r="39" spans="1:30">
      <c r="B39" s="260">
        <f>'Chenes+corm+merisier - f. forte'!B82</f>
        <v>21</v>
      </c>
      <c r="C39" s="223">
        <f>'Chenes+corm+merisier - f. forte'!C82</f>
        <v>0</v>
      </c>
      <c r="D39" s="220">
        <f>'Chenes+corm+merisier - f. forte'!D82</f>
        <v>0</v>
      </c>
      <c r="E39" s="220">
        <f>'Chenes+corm+merisier - f. forte'!E82</f>
        <v>0</v>
      </c>
      <c r="F39" s="220">
        <f>'Chenes+corm+merisier - f. forte'!F82</f>
        <v>0</v>
      </c>
      <c r="G39" s="224">
        <f>'Chenes+corm+merisier - f. forte'!G82</f>
        <v>1</v>
      </c>
      <c r="H39" s="231">
        <f>IFERROR(VLOOKUP($B$37,Tableau14582[],4,FALSE)*(1+$L$9)^$B39,0)</f>
        <v>150</v>
      </c>
      <c r="I39" s="232">
        <f>IFERROR(VLOOKUP($B$37,Tableau14582[],5,FALSE)*(1+$L$9)^$B39,0)</f>
        <v>13.75</v>
      </c>
      <c r="J39" s="232">
        <f>IFERROR(VLOOKUP($B$37,Tableau14582[],5,FALSE)*(1+$L$9)^$B39,0)</f>
        <v>13.75</v>
      </c>
      <c r="K39" s="233">
        <f>IFERROR(VLOOKUP($B$37,Tableau14582[],6,FALSE)*(1+$L$9)^$B39,0)</f>
        <v>10</v>
      </c>
      <c r="L39" s="261">
        <f>(C39*D39*H39+C39*E39*I39+C39*F39*J39+C39*G39*K39)*L$37</f>
        <v>0</v>
      </c>
      <c r="N39" s="71">
        <v>18</v>
      </c>
      <c r="O39" s="239"/>
      <c r="P39" s="180"/>
      <c r="Q39" s="240">
        <f t="shared" si="11"/>
        <v>940.00249999999994</v>
      </c>
      <c r="R39" s="180">
        <f t="shared" si="5"/>
        <v>19.270051249999998</v>
      </c>
      <c r="S39" s="180">
        <f>$L$11*(1+$L$9)^N39*'Récapitulatif des résultats'!$I$11</f>
        <v>0</v>
      </c>
      <c r="T39" s="241"/>
      <c r="U39" s="180"/>
      <c r="V39" s="249">
        <f t="shared" si="7"/>
        <v>0</v>
      </c>
      <c r="W39" s="188">
        <f>SUM('Chenes+Alisier - f. très forte'!AQ23*'Chenes+Alisier - f. très forte'!$F$21,'Chenes+corm+merisier - f. forte'!AQ23*'Chenes+corm+merisier - f. forte'!$F$21,'Charme - fertil.forte'!AQ23*'Charme - fertil.forte'!$F$21,'Pin maritime - très forte'!AQ23*'Pin maritime - très forte'!$F$21,'P. sylv.+laricio+séquoia -forte'!AQ23*'P. sylv.+laricio+séquoia -forte'!$F$21,'Douglas - fertilité moyenne'!AQ23*'Douglas - fertilité moyenne'!$F$21)</f>
        <v>0</v>
      </c>
      <c r="X39" s="188">
        <f>SUM('Chenes+Alisier - f. très forte'!AR23*'Chenes+Alisier - f. très forte'!$F$21,'Chenes+corm+merisier - f. forte'!AR23*'Chenes+corm+merisier - f. forte'!$F$21,'Charme - fertil.forte'!AR23*'Charme - fertil.forte'!$F$21,'Pin maritime - très forte'!AR23*'Pin maritime - très forte'!$F$21,'P. sylv.+laricio+séquoia -forte'!AR23*'P. sylv.+laricio+séquoia -forte'!$F$21,'Douglas - fertilité moyenne'!AR23*'Douglas - fertilité moyenne'!$F$21)</f>
        <v>0</v>
      </c>
      <c r="Y39" s="188">
        <f>SUM('Chenes+Alisier - f. très forte'!AS23*'Chenes+Alisier - f. très forte'!$F$21,'Chenes+corm+merisier - f. forte'!AS23*'Chenes+corm+merisier - f. forte'!$F$21,'Charme - fertil.forte'!AS23*'Charme - fertil.forte'!$F$21,'Pin maritime - très forte'!AS23*'Pin maritime - très forte'!$F$21,'P. sylv.+laricio+séquoia -forte'!AS23*'P. sylv.+laricio+séquoia -forte'!$F$21,'Douglas - fertilité moyenne'!AS23*'Douglas - fertilité moyenne'!$F$21)</f>
        <v>0</v>
      </c>
      <c r="Z39" s="331">
        <f>SUM('Chenes+Alisier - f. très forte'!AT23*'Chenes+Alisier - f. très forte'!$F$21,'Chenes+corm+merisier - f. forte'!AT23*'Chenes+corm+merisier - f. forte'!$F$21,'Charme - fertil.forte'!AT23*'Charme - fertil.forte'!$F$21,'Pin maritime - très forte'!AT23*'Pin maritime - très forte'!$F$21,'P. sylv.+laricio+séquoia -forte'!AT23*'P. sylv.+laricio+séquoia -forte'!$F$21,'Douglas - fertilité moyenne'!AT23*'Douglas - fertilité moyenne'!$F$21)</f>
        <v>0</v>
      </c>
      <c r="AA39" s="178">
        <f t="shared" si="9"/>
        <v>0</v>
      </c>
      <c r="AB39" s="179">
        <f t="shared" si="8"/>
        <v>-434.35896503085866</v>
      </c>
      <c r="AC39" s="178"/>
      <c r="AD39" s="178"/>
    </row>
    <row r="40" spans="1:30">
      <c r="A40" s="390"/>
      <c r="B40" s="262">
        <f>'Chenes+corm+merisier - f. forte'!B83</f>
        <v>26</v>
      </c>
      <c r="C40" s="225">
        <f>'Chenes+corm+merisier - f. forte'!C83</f>
        <v>8</v>
      </c>
      <c r="D40" s="226">
        <f>'Chenes+corm+merisier - f. forte'!D83</f>
        <v>0</v>
      </c>
      <c r="E40" s="221">
        <f>'Chenes+corm+merisier - f. forte'!E83</f>
        <v>0</v>
      </c>
      <c r="F40" s="221">
        <f>'Chenes+corm+merisier - f. forte'!F83</f>
        <v>0</v>
      </c>
      <c r="G40" s="227">
        <f>'Chenes+corm+merisier - f. forte'!G83</f>
        <v>1</v>
      </c>
      <c r="H40" s="210">
        <f>IFERROR(VLOOKUP($B$37,Tableau14582[],4,FALSE)*(1+$L$9)^$B40,0)</f>
        <v>150</v>
      </c>
      <c r="I40" s="211">
        <f>IFERROR(VLOOKUP($B$37,Tableau14582[],5,FALSE)*(1+$L$9)^$B40,0)</f>
        <v>13.75</v>
      </c>
      <c r="J40" s="211">
        <f>IFERROR(VLOOKUP($B$37,Tableau14582[],5,FALSE)*(1+$L$9)^$B40,0)</f>
        <v>13.75</v>
      </c>
      <c r="K40" s="212">
        <f>IFERROR(VLOOKUP($B$37,Tableau14582[],6,FALSE)*(1+$L$9)^$B40,0)</f>
        <v>10</v>
      </c>
      <c r="L40" s="263">
        <f t="shared" ref="L40:L51" si="12">(C40*D40*H40+C40*E40*I40+C40*F40*J40+C40*G40*K40)*L$37</f>
        <v>486</v>
      </c>
      <c r="N40" s="71">
        <v>19</v>
      </c>
      <c r="O40" s="239"/>
      <c r="P40" s="180"/>
      <c r="Q40" s="240">
        <f t="shared" si="11"/>
        <v>940.00249999999994</v>
      </c>
      <c r="R40" s="180">
        <f t="shared" si="5"/>
        <v>19.270051249999998</v>
      </c>
      <c r="S40" s="180">
        <f>$L$11*(1+$L$9)^N40*'Récapitulatif des résultats'!$I$11</f>
        <v>0</v>
      </c>
      <c r="T40" s="241"/>
      <c r="U40" s="180"/>
      <c r="V40" s="249">
        <f t="shared" si="7"/>
        <v>0</v>
      </c>
      <c r="W40" s="188">
        <f>SUM('Chenes+Alisier - f. très forte'!AQ24*'Chenes+Alisier - f. très forte'!$F$21,'Chenes+corm+merisier - f. forte'!AQ24*'Chenes+corm+merisier - f. forte'!$F$21,'Charme - fertil.forte'!AQ24*'Charme - fertil.forte'!$F$21,'Pin maritime - très forte'!AQ24*'Pin maritime - très forte'!$F$21,'P. sylv.+laricio+séquoia -forte'!AQ24*'P. sylv.+laricio+séquoia -forte'!$F$21,'Douglas - fertilité moyenne'!AQ24*'Douglas - fertilité moyenne'!$F$21)</f>
        <v>0</v>
      </c>
      <c r="X40" s="188">
        <f>SUM('Chenes+Alisier - f. très forte'!AR24*'Chenes+Alisier - f. très forte'!$F$21,'Chenes+corm+merisier - f. forte'!AR24*'Chenes+corm+merisier - f. forte'!$F$21,'Charme - fertil.forte'!AR24*'Charme - fertil.forte'!$F$21,'Pin maritime - très forte'!AR24*'Pin maritime - très forte'!$F$21,'P. sylv.+laricio+séquoia -forte'!AR24*'P. sylv.+laricio+séquoia -forte'!$F$21,'Douglas - fertilité moyenne'!AR24*'Douglas - fertilité moyenne'!$F$21)</f>
        <v>0</v>
      </c>
      <c r="Y40" s="188">
        <f>SUM('Chenes+Alisier - f. très forte'!AS24*'Chenes+Alisier - f. très forte'!$F$21,'Chenes+corm+merisier - f. forte'!AS24*'Chenes+corm+merisier - f. forte'!$F$21,'Charme - fertil.forte'!AS24*'Charme - fertil.forte'!$F$21,'Pin maritime - très forte'!AS24*'Pin maritime - très forte'!$F$21,'P. sylv.+laricio+séquoia -forte'!AS24*'P. sylv.+laricio+séquoia -forte'!$F$21,'Douglas - fertilité moyenne'!AS24*'Douglas - fertilité moyenne'!$F$21)</f>
        <v>0</v>
      </c>
      <c r="Z40" s="331">
        <f>SUM('Chenes+Alisier - f. très forte'!AT24*'Chenes+Alisier - f. très forte'!$F$21,'Chenes+corm+merisier - f. forte'!AT24*'Chenes+corm+merisier - f. forte'!$F$21,'Charme - fertil.forte'!AT24*'Charme - fertil.forte'!$F$21,'Pin maritime - très forte'!AT24*'Pin maritime - très forte'!$F$21,'P. sylv.+laricio+séquoia -forte'!AT24*'P. sylv.+laricio+séquoia -forte'!$F$21,'Douglas - fertilité moyenne'!AT24*'Douglas - fertilité moyenne'!$F$21)</f>
        <v>0</v>
      </c>
      <c r="AA40" s="178">
        <f t="shared" si="9"/>
        <v>0</v>
      </c>
      <c r="AB40" s="179">
        <f t="shared" si="8"/>
        <v>-415.65451199125232</v>
      </c>
      <c r="AC40" s="178"/>
      <c r="AD40" s="178"/>
    </row>
    <row r="41" spans="1:30">
      <c r="A41" s="390"/>
      <c r="B41" s="262">
        <f>'Chenes+corm+merisier - f. forte'!B84</f>
        <v>31</v>
      </c>
      <c r="C41" s="225">
        <f>'Chenes+corm+merisier - f. forte'!C84</f>
        <v>21</v>
      </c>
      <c r="D41" s="226">
        <f>'Chenes+corm+merisier - f. forte'!D84</f>
        <v>0</v>
      </c>
      <c r="E41" s="221">
        <f>'Chenes+corm+merisier - f. forte'!E84</f>
        <v>0</v>
      </c>
      <c r="F41" s="221">
        <f>'Chenes+corm+merisier - f. forte'!F84</f>
        <v>0</v>
      </c>
      <c r="G41" s="227">
        <f>'Chenes+corm+merisier - f. forte'!G84</f>
        <v>1</v>
      </c>
      <c r="H41" s="210">
        <f>IFERROR(VLOOKUP($B$37,Tableau14582[],4,FALSE)*(1+$L$9)^$B41,0)</f>
        <v>150</v>
      </c>
      <c r="I41" s="211">
        <f>IFERROR(VLOOKUP($B$37,Tableau14582[],5,FALSE)*(1+$L$9)^$B41,0)</f>
        <v>13.75</v>
      </c>
      <c r="J41" s="211">
        <f>IFERROR(VLOOKUP($B$37,Tableau14582[],5,FALSE)*(1+$L$9)^$B41,0)</f>
        <v>13.75</v>
      </c>
      <c r="K41" s="212">
        <f>IFERROR(VLOOKUP($B$37,Tableau14582[],6,FALSE)*(1+$L$9)^$B41,0)</f>
        <v>10</v>
      </c>
      <c r="L41" s="263">
        <f t="shared" si="12"/>
        <v>1275.75</v>
      </c>
      <c r="N41" s="71">
        <v>20</v>
      </c>
      <c r="O41" s="239"/>
      <c r="P41" s="180"/>
      <c r="Q41" s="240">
        <f t="shared" si="11"/>
        <v>940.00249999999994</v>
      </c>
      <c r="R41" s="180">
        <f t="shared" si="5"/>
        <v>19.270051249999998</v>
      </c>
      <c r="S41" s="180">
        <f>$L$11*(1+$L$9)^N41*'Récapitulatif des résultats'!$I$11</f>
        <v>0</v>
      </c>
      <c r="T41" s="241"/>
      <c r="U41" s="180"/>
      <c r="V41" s="249">
        <f>SUM(W41:Z41)</f>
        <v>0</v>
      </c>
      <c r="W41" s="188">
        <f>SUM('Chenes+Alisier - f. très forte'!AQ25*'Chenes+Alisier - f. très forte'!$F$21,'Chenes+corm+merisier - f. forte'!AQ25*'Chenes+corm+merisier - f. forte'!$F$21,'Charme - fertil.forte'!AQ25*'Charme - fertil.forte'!$F$21,'Pin maritime - très forte'!AQ25*'Pin maritime - très forte'!$F$21,'P. sylv.+laricio+séquoia -forte'!AQ25*'P. sylv.+laricio+séquoia -forte'!$F$21,'Douglas - fertilité moyenne'!AQ25*'Douglas - fertilité moyenne'!$F$21)</f>
        <v>0</v>
      </c>
      <c r="X41" s="188">
        <f>SUM('Chenes+Alisier - f. très forte'!AR25*'Chenes+Alisier - f. très forte'!$F$21,'Chenes+corm+merisier - f. forte'!AR25*'Chenes+corm+merisier - f. forte'!$F$21,'Charme - fertil.forte'!AR25*'Charme - fertil.forte'!$F$21,'Pin maritime - très forte'!AR25*'Pin maritime - très forte'!$F$21,'P. sylv.+laricio+séquoia -forte'!AR25*'P. sylv.+laricio+séquoia -forte'!$F$21,'Douglas - fertilité moyenne'!AR25*'Douglas - fertilité moyenne'!$F$21)</f>
        <v>0</v>
      </c>
      <c r="Y41" s="188">
        <f>SUM('Chenes+Alisier - f. très forte'!AS25*'Chenes+Alisier - f. très forte'!$F$21,'Chenes+corm+merisier - f. forte'!AS25*'Chenes+corm+merisier - f. forte'!$F$21,'Charme - fertil.forte'!AS25*'Charme - fertil.forte'!$F$21,'Pin maritime - très forte'!AS25*'Pin maritime - très forte'!$F$21,'P. sylv.+laricio+séquoia -forte'!AS25*'P. sylv.+laricio+séquoia -forte'!$F$21,'Douglas - fertilité moyenne'!AS25*'Douglas - fertilité moyenne'!$F$21)</f>
        <v>0</v>
      </c>
      <c r="Z41" s="331">
        <f>SUM('Chenes+Alisier - f. très forte'!AT25*'Chenes+Alisier - f. très forte'!$F$21,'Chenes+corm+merisier - f. forte'!AT25*'Chenes+corm+merisier - f. forte'!$F$21,'Charme - fertil.forte'!AT25*'Charme - fertil.forte'!$F$21,'Pin maritime - très forte'!AT25*'Pin maritime - très forte'!$F$21,'P. sylv.+laricio+séquoia -forte'!AT25*'P. sylv.+laricio+séquoia -forte'!$F$21,'Douglas - fertilité moyenne'!AT25*'Douglas - fertilité moyenne'!$F$21)</f>
        <v>0</v>
      </c>
      <c r="AA41" s="178">
        <f t="shared" si="9"/>
        <v>0</v>
      </c>
      <c r="AB41" s="179">
        <f t="shared" si="8"/>
        <v>-397.75551386722719</v>
      </c>
      <c r="AC41" s="178"/>
      <c r="AD41" s="178"/>
    </row>
    <row r="42" spans="1:30">
      <c r="A42" s="390"/>
      <c r="B42" s="262">
        <f>'Chenes+corm+merisier - f. forte'!B85</f>
        <v>36</v>
      </c>
      <c r="C42" s="225">
        <f>'Chenes+corm+merisier - f. forte'!C85</f>
        <v>21</v>
      </c>
      <c r="D42" s="226">
        <f>'Chenes+corm+merisier - f. forte'!D85</f>
        <v>0</v>
      </c>
      <c r="E42" s="221">
        <f>'Chenes+corm+merisier - f. forte'!E85</f>
        <v>0</v>
      </c>
      <c r="F42" s="221">
        <f>'Chenes+corm+merisier - f. forte'!F85</f>
        <v>0</v>
      </c>
      <c r="G42" s="227">
        <f>'Chenes+corm+merisier - f. forte'!G85</f>
        <v>1</v>
      </c>
      <c r="H42" s="210">
        <f>IFERROR(VLOOKUP($B$37,Tableau14582[],4,FALSE)*(1+$L$9)^$B42,0)</f>
        <v>150</v>
      </c>
      <c r="I42" s="211">
        <f>IFERROR(VLOOKUP($B$37,Tableau14582[],5,FALSE)*(1+$L$9)^$B42,0)</f>
        <v>13.75</v>
      </c>
      <c r="J42" s="211">
        <f>IFERROR(VLOOKUP($B$37,Tableau14582[],5,FALSE)*(1+$L$9)^$B42,0)</f>
        <v>13.75</v>
      </c>
      <c r="K42" s="212">
        <f>IFERROR(VLOOKUP($B$37,Tableau14582[],6,FALSE)*(1+$L$9)^$B42,0)</f>
        <v>10</v>
      </c>
      <c r="L42" s="263">
        <f t="shared" si="12"/>
        <v>1275.75</v>
      </c>
      <c r="N42" s="71">
        <v>21</v>
      </c>
      <c r="O42" s="239"/>
      <c r="P42" s="180"/>
      <c r="Q42" s="240">
        <f t="shared" si="11"/>
        <v>940.00249999999994</v>
      </c>
      <c r="R42" s="180">
        <f t="shared" si="5"/>
        <v>19.270051249999998</v>
      </c>
      <c r="S42" s="180">
        <f>$L$11*(1+$L$9)^N42*'Récapitulatif des résultats'!$I$11</f>
        <v>0</v>
      </c>
      <c r="T42" s="241"/>
      <c r="U42" s="180"/>
      <c r="V42" s="249">
        <f t="shared" si="7"/>
        <v>670.4054000000001</v>
      </c>
      <c r="W42" s="188">
        <f>SUM('Chenes+Alisier - f. très forte'!AQ26*'Chenes+Alisier - f. très forte'!$F$21,'Chenes+corm+merisier - f. forte'!AQ26*'Chenes+corm+merisier - f. forte'!$F$21,'Charme - fertil.forte'!AQ26*'Charme - fertil.forte'!$F$21,'Pin maritime - très forte'!AQ26*'Pin maritime - très forte'!$F$21,'P. sylv.+laricio+séquoia -forte'!AQ26*'P. sylv.+laricio+séquoia -forte'!$F$21,'Douglas - fertilité moyenne'!AQ26*'Douglas - fertilité moyenne'!$F$21)</f>
        <v>0</v>
      </c>
      <c r="X42" s="188">
        <f>SUM('Chenes+Alisier - f. très forte'!AR26*'Chenes+Alisier - f. très forte'!$F$21,'Chenes+corm+merisier - f. forte'!AR26*'Chenes+corm+merisier - f. forte'!$F$21,'Charme - fertil.forte'!AR26*'Charme - fertil.forte'!$F$21,'Pin maritime - très forte'!AR26*'Pin maritime - très forte'!$F$21,'P. sylv.+laricio+séquoia -forte'!AR26*'P. sylv.+laricio+séquoia -forte'!$F$21,'Douglas - fertilité moyenne'!AR26*'Douglas - fertilité moyenne'!$F$21)</f>
        <v>330.73902400000003</v>
      </c>
      <c r="Y42" s="188">
        <f>SUM('Chenes+Alisier - f. très forte'!AS26*'Chenes+Alisier - f. très forte'!$F$21,'Chenes+corm+merisier - f. forte'!AS26*'Chenes+corm+merisier - f. forte'!$F$21,'Charme - fertil.forte'!AS26*'Charme - fertil.forte'!$F$21,'Pin maritime - très forte'!AS26*'Pin maritime - très forte'!$F$21,'P. sylv.+laricio+séquoia -forte'!AS26*'P. sylv.+laricio+séquoia -forte'!$F$21,'Douglas - fertilité moyenne'!AS26*'Douglas - fertilité moyenne'!$F$21)</f>
        <v>259.866376</v>
      </c>
      <c r="Z42" s="331">
        <f>SUM('Chenes+Alisier - f. très forte'!AT26*'Chenes+Alisier - f. très forte'!$F$21,'Chenes+corm+merisier - f. forte'!AT26*'Chenes+corm+merisier - f. forte'!$F$21,'Charme - fertil.forte'!AT26*'Charme - fertil.forte'!$F$21,'Pin maritime - très forte'!AT26*'Pin maritime - très forte'!$F$21,'P. sylv.+laricio+séquoia -forte'!AT26*'P. sylv.+laricio+séquoia -forte'!$F$21,'Douglas - fertilité moyenne'!AT26*'Douglas - fertilité moyenne'!$F$21)</f>
        <v>79.800000000000011</v>
      </c>
      <c r="AA42" s="178">
        <f t="shared" si="9"/>
        <v>12240.979625</v>
      </c>
      <c r="AB42" s="179">
        <f t="shared" si="8"/>
        <v>4476.4395054387614</v>
      </c>
      <c r="AC42" s="178"/>
      <c r="AD42" s="178"/>
    </row>
    <row r="43" spans="1:30">
      <c r="A43" s="390"/>
      <c r="B43" s="262">
        <f>'Chenes+corm+merisier - f. forte'!B86</f>
        <v>41</v>
      </c>
      <c r="C43" s="225">
        <f>'Chenes+corm+merisier - f. forte'!C86</f>
        <v>21</v>
      </c>
      <c r="D43" s="226">
        <f>'Chenes+corm+merisier - f. forte'!D86</f>
        <v>0.3</v>
      </c>
      <c r="E43" s="221">
        <f>'Chenes+corm+merisier - f. forte'!E86</f>
        <v>0</v>
      </c>
      <c r="F43" s="221">
        <f>'Chenes+corm+merisier - f. forte'!F86</f>
        <v>0</v>
      </c>
      <c r="G43" s="227">
        <f>'Chenes+corm+merisier - f. forte'!G86</f>
        <v>0.7</v>
      </c>
      <c r="H43" s="210">
        <f>IFERROR(VLOOKUP($B$37,Tableau14582[],4,FALSE)*(1+$L$9)^$B43,0)</f>
        <v>150</v>
      </c>
      <c r="I43" s="211">
        <f>IFERROR(VLOOKUP($B$37,Tableau14582[],5,FALSE)*(1+$L$9)^$B43,0)</f>
        <v>13.75</v>
      </c>
      <c r="J43" s="211">
        <f>IFERROR(VLOOKUP($B$37,Tableau14582[],5,FALSE)*(1+$L$9)^$B43,0)</f>
        <v>13.75</v>
      </c>
      <c r="K43" s="212">
        <f>IFERROR(VLOOKUP($B$37,Tableau14582[],6,FALSE)*(1+$L$9)^$B43,0)</f>
        <v>10</v>
      </c>
      <c r="L43" s="263">
        <f t="shared" si="12"/>
        <v>6633.9000000000005</v>
      </c>
      <c r="N43" s="71">
        <v>22</v>
      </c>
      <c r="O43" s="239"/>
      <c r="P43" s="180"/>
      <c r="Q43" s="240">
        <f t="shared" si="11"/>
        <v>940.00249999999994</v>
      </c>
      <c r="R43" s="180">
        <f t="shared" si="5"/>
        <v>19.270051249999998</v>
      </c>
      <c r="S43" s="180">
        <f>$L$11*(1+$L$9)^N43*'Récapitulatif des résultats'!$I$11</f>
        <v>0</v>
      </c>
      <c r="T43" s="241"/>
      <c r="U43" s="180"/>
      <c r="V43" s="249">
        <f t="shared" si="7"/>
        <v>0</v>
      </c>
      <c r="W43" s="188">
        <f>SUM('Chenes+Alisier - f. très forte'!AQ27*'Chenes+Alisier - f. très forte'!$F$21,'Chenes+corm+merisier - f. forte'!AQ27*'Chenes+corm+merisier - f. forte'!$F$21,'Charme - fertil.forte'!AQ27*'Charme - fertil.forte'!$F$21,'Pin maritime - très forte'!AQ27*'Pin maritime - très forte'!$F$21,'P. sylv.+laricio+séquoia -forte'!AQ27*'P. sylv.+laricio+séquoia -forte'!$F$21,'Douglas - fertilité moyenne'!AQ27*'Douglas - fertilité moyenne'!$F$21)</f>
        <v>0</v>
      </c>
      <c r="X43" s="188">
        <f>SUM('Chenes+Alisier - f. très forte'!AR27*'Chenes+Alisier - f. très forte'!$F$21,'Chenes+corm+merisier - f. forte'!AR27*'Chenes+corm+merisier - f. forte'!$F$21,'Charme - fertil.forte'!AR27*'Charme - fertil.forte'!$F$21,'Pin maritime - très forte'!AR27*'Pin maritime - très forte'!$F$21,'P. sylv.+laricio+séquoia -forte'!AR27*'P. sylv.+laricio+séquoia -forte'!$F$21,'Douglas - fertilité moyenne'!AR27*'Douglas - fertilité moyenne'!$F$21)</f>
        <v>0</v>
      </c>
      <c r="Y43" s="188">
        <f>SUM('Chenes+Alisier - f. très forte'!AS27*'Chenes+Alisier - f. très forte'!$F$21,'Chenes+corm+merisier - f. forte'!AS27*'Chenes+corm+merisier - f. forte'!$F$21,'Charme - fertil.forte'!AS27*'Charme - fertil.forte'!$F$21,'Pin maritime - très forte'!AS27*'Pin maritime - très forte'!$F$21,'P. sylv.+laricio+séquoia -forte'!AS27*'P. sylv.+laricio+séquoia -forte'!$F$21,'Douglas - fertilité moyenne'!AS27*'Douglas - fertilité moyenne'!$F$21)</f>
        <v>0</v>
      </c>
      <c r="Z43" s="331">
        <f>SUM('Chenes+Alisier - f. très forte'!AT27*'Chenes+Alisier - f. très forte'!$F$21,'Chenes+corm+merisier - f. forte'!AT27*'Chenes+corm+merisier - f. forte'!$F$21,'Charme - fertil.forte'!AT27*'Charme - fertil.forte'!$F$21,'Pin maritime - très forte'!AT27*'Pin maritime - très forte'!$F$21,'P. sylv.+laricio+séquoia -forte'!AT27*'P. sylv.+laricio+séquoia -forte'!$F$21,'Douglas - fertilité moyenne'!AT27*'Douglas - fertilité moyenne'!$F$21)</f>
        <v>0</v>
      </c>
      <c r="AA43" s="178">
        <f t="shared" si="9"/>
        <v>0</v>
      </c>
      <c r="AB43" s="179">
        <f t="shared" si="8"/>
        <v>-364.23663731803509</v>
      </c>
      <c r="AC43" s="178"/>
      <c r="AD43" s="178"/>
    </row>
    <row r="44" spans="1:30">
      <c r="A44" s="390"/>
      <c r="B44" s="262">
        <f>'Chenes+corm+merisier - f. forte'!B87</f>
        <v>46</v>
      </c>
      <c r="C44" s="225">
        <f>'Chenes+corm+merisier - f. forte'!C87</f>
        <v>21</v>
      </c>
      <c r="D44" s="226">
        <f>'Chenes+corm+merisier - f. forte'!D87</f>
        <v>0.5</v>
      </c>
      <c r="E44" s="221">
        <f>'Chenes+corm+merisier - f. forte'!E87</f>
        <v>0</v>
      </c>
      <c r="F44" s="221">
        <f>'Chenes+corm+merisier - f. forte'!F87</f>
        <v>0</v>
      </c>
      <c r="G44" s="227">
        <f>'Chenes+corm+merisier - f. forte'!G87</f>
        <v>0.5</v>
      </c>
      <c r="H44" s="210">
        <f>IFERROR(VLOOKUP($B$37,Tableau14582[],4,FALSE)*(1+$L$9)^$B44,0)</f>
        <v>150</v>
      </c>
      <c r="I44" s="211">
        <f>IFERROR(VLOOKUP($B$37,Tableau14582[],5,FALSE)*(1+$L$9)^$B44,0)</f>
        <v>13.75</v>
      </c>
      <c r="J44" s="211">
        <f>IFERROR(VLOOKUP($B$37,Tableau14582[],5,FALSE)*(1+$L$9)^$B44,0)</f>
        <v>13.75</v>
      </c>
      <c r="K44" s="212">
        <f>IFERROR(VLOOKUP($B$37,Tableau14582[],6,FALSE)*(1+$L$9)^$B44,0)</f>
        <v>10</v>
      </c>
      <c r="L44" s="263">
        <f t="shared" si="12"/>
        <v>10206</v>
      </c>
      <c r="N44" s="71">
        <v>23</v>
      </c>
      <c r="O44" s="239"/>
      <c r="P44" s="180"/>
      <c r="Q44" s="240">
        <f t="shared" si="11"/>
        <v>940.00249999999994</v>
      </c>
      <c r="R44" s="180">
        <f t="shared" si="5"/>
        <v>19.270051249999998</v>
      </c>
      <c r="S44" s="180">
        <f>$L$11*(1+$L$9)^N44*'Récapitulatif des résultats'!$I$11</f>
        <v>0</v>
      </c>
      <c r="T44" s="241"/>
      <c r="U44" s="180"/>
      <c r="V44" s="249">
        <f t="shared" si="7"/>
        <v>0</v>
      </c>
      <c r="W44" s="188">
        <f>SUM('Chenes+Alisier - f. très forte'!AQ28*'Chenes+Alisier - f. très forte'!$F$21,'Chenes+corm+merisier - f. forte'!AQ28*'Chenes+corm+merisier - f. forte'!$F$21,'Charme - fertil.forte'!AQ28*'Charme - fertil.forte'!$F$21,'Pin maritime - très forte'!AQ28*'Pin maritime - très forte'!$F$21,'P. sylv.+laricio+séquoia -forte'!AQ28*'P. sylv.+laricio+séquoia -forte'!$F$21,'Douglas - fertilité moyenne'!AQ28*'Douglas - fertilité moyenne'!$F$21)</f>
        <v>0</v>
      </c>
      <c r="X44" s="188">
        <f>SUM('Chenes+Alisier - f. très forte'!AR28*'Chenes+Alisier - f. très forte'!$F$21,'Chenes+corm+merisier - f. forte'!AR28*'Chenes+corm+merisier - f. forte'!$F$21,'Charme - fertil.forte'!AR28*'Charme - fertil.forte'!$F$21,'Pin maritime - très forte'!AR28*'Pin maritime - très forte'!$F$21,'P. sylv.+laricio+séquoia -forte'!AR28*'P. sylv.+laricio+séquoia -forte'!$F$21,'Douglas - fertilité moyenne'!AR28*'Douglas - fertilité moyenne'!$F$21)</f>
        <v>0</v>
      </c>
      <c r="Y44" s="188">
        <f>SUM('Chenes+Alisier - f. très forte'!AS28*'Chenes+Alisier - f. très forte'!$F$21,'Chenes+corm+merisier - f. forte'!AS28*'Chenes+corm+merisier - f. forte'!$F$21,'Charme - fertil.forte'!AS28*'Charme - fertil.forte'!$F$21,'Pin maritime - très forte'!AS28*'Pin maritime - très forte'!$F$21,'P. sylv.+laricio+séquoia -forte'!AS28*'P. sylv.+laricio+séquoia -forte'!$F$21,'Douglas - fertilité moyenne'!AS28*'Douglas - fertilité moyenne'!$F$21)</f>
        <v>0</v>
      </c>
      <c r="Z44" s="331">
        <f>SUM('Chenes+Alisier - f. très forte'!AT28*'Chenes+Alisier - f. très forte'!$F$21,'Chenes+corm+merisier - f. forte'!AT28*'Chenes+corm+merisier - f. forte'!$F$21,'Charme - fertil.forte'!AT28*'Charme - fertil.forte'!$F$21,'Pin maritime - très forte'!AT28*'Pin maritime - très forte'!$F$21,'P. sylv.+laricio+séquoia -forte'!AT28*'P. sylv.+laricio+séquoia -forte'!$F$21,'Douglas - fertilité moyenne'!AT28*'Douglas - fertilité moyenne'!$F$21)</f>
        <v>0</v>
      </c>
      <c r="AA44" s="178">
        <f t="shared" si="9"/>
        <v>0</v>
      </c>
      <c r="AB44" s="179">
        <f t="shared" si="8"/>
        <v>-348.5518060459666</v>
      </c>
      <c r="AC44" s="178"/>
      <c r="AD44" s="178"/>
    </row>
    <row r="45" spans="1:30">
      <c r="A45" s="390"/>
      <c r="B45" s="262">
        <f>'Chenes+corm+merisier - f. forte'!B88</f>
        <v>51</v>
      </c>
      <c r="C45" s="225">
        <f>'Chenes+corm+merisier - f. forte'!C88</f>
        <v>21</v>
      </c>
      <c r="D45" s="226">
        <f>'Chenes+corm+merisier - f. forte'!D88</f>
        <v>0.6</v>
      </c>
      <c r="E45" s="221">
        <f>'Chenes+corm+merisier - f. forte'!E88</f>
        <v>0</v>
      </c>
      <c r="F45" s="221">
        <f>'Chenes+corm+merisier - f. forte'!F88</f>
        <v>0</v>
      </c>
      <c r="G45" s="227">
        <f>'Chenes+corm+merisier - f. forte'!G88</f>
        <v>0.4</v>
      </c>
      <c r="H45" s="210">
        <f>IFERROR(VLOOKUP($B$37,Tableau14582[],4,FALSE)*(1+$L$9)^$B45,0)</f>
        <v>150</v>
      </c>
      <c r="I45" s="211">
        <f>IFERROR(VLOOKUP($B$37,Tableau14582[],5,FALSE)*(1+$L$9)^$B45,0)</f>
        <v>13.75</v>
      </c>
      <c r="J45" s="211">
        <f>IFERROR(VLOOKUP($B$37,Tableau14582[],5,FALSE)*(1+$L$9)^$B45,0)</f>
        <v>13.75</v>
      </c>
      <c r="K45" s="212">
        <f>IFERROR(VLOOKUP($B$37,Tableau14582[],6,FALSE)*(1+$L$9)^$B45,0)</f>
        <v>10</v>
      </c>
      <c r="L45" s="263">
        <f t="shared" si="12"/>
        <v>11992.050000000001</v>
      </c>
      <c r="N45" s="71">
        <v>24</v>
      </c>
      <c r="O45" s="239"/>
      <c r="P45" s="180"/>
      <c r="Q45" s="240">
        <f t="shared" si="11"/>
        <v>940.00249999999994</v>
      </c>
      <c r="R45" s="180">
        <f t="shared" si="5"/>
        <v>19.270051249999998</v>
      </c>
      <c r="S45" s="180">
        <f>$L$11*(1+$L$9)^N45*'Récapitulatif des résultats'!$I$11</f>
        <v>0</v>
      </c>
      <c r="T45" s="241"/>
      <c r="U45" s="180"/>
      <c r="V45" s="249">
        <f t="shared" si="7"/>
        <v>0</v>
      </c>
      <c r="W45" s="188">
        <f>SUM('Chenes+Alisier - f. très forte'!AQ29*'Chenes+Alisier - f. très forte'!$F$21,'Chenes+corm+merisier - f. forte'!AQ29*'Chenes+corm+merisier - f. forte'!$F$21,'Charme - fertil.forte'!AQ29*'Charme - fertil.forte'!$F$21,'Pin maritime - très forte'!AQ29*'Pin maritime - très forte'!$F$21,'P. sylv.+laricio+séquoia -forte'!AQ29*'P. sylv.+laricio+séquoia -forte'!$F$21,'Douglas - fertilité moyenne'!AQ29*'Douglas - fertilité moyenne'!$F$21)</f>
        <v>0</v>
      </c>
      <c r="X45" s="188">
        <f>SUM('Chenes+Alisier - f. très forte'!AR29*'Chenes+Alisier - f. très forte'!$F$21,'Chenes+corm+merisier - f. forte'!AR29*'Chenes+corm+merisier - f. forte'!$F$21,'Charme - fertil.forte'!AR29*'Charme - fertil.forte'!$F$21,'Pin maritime - très forte'!AR29*'Pin maritime - très forte'!$F$21,'P. sylv.+laricio+séquoia -forte'!AR29*'P. sylv.+laricio+séquoia -forte'!$F$21,'Douglas - fertilité moyenne'!AR29*'Douglas - fertilité moyenne'!$F$21)</f>
        <v>0</v>
      </c>
      <c r="Y45" s="188">
        <f>SUM('Chenes+Alisier - f. très forte'!AS29*'Chenes+Alisier - f. très forte'!$F$21,'Chenes+corm+merisier - f. forte'!AS29*'Chenes+corm+merisier - f. forte'!$F$21,'Charme - fertil.forte'!AS29*'Charme - fertil.forte'!$F$21,'Pin maritime - très forte'!AS29*'Pin maritime - très forte'!$F$21,'P. sylv.+laricio+séquoia -forte'!AS29*'P. sylv.+laricio+séquoia -forte'!$F$21,'Douglas - fertilité moyenne'!AS29*'Douglas - fertilité moyenne'!$F$21)</f>
        <v>0</v>
      </c>
      <c r="Z45" s="331">
        <f>SUM('Chenes+Alisier - f. très forte'!AT29*'Chenes+Alisier - f. très forte'!$F$21,'Chenes+corm+merisier - f. forte'!AT29*'Chenes+corm+merisier - f. forte'!$F$21,'Charme - fertil.forte'!AT29*'Charme - fertil.forte'!$F$21,'Pin maritime - très forte'!AT29*'Pin maritime - très forte'!$F$21,'P. sylv.+laricio+séquoia -forte'!AT29*'P. sylv.+laricio+séquoia -forte'!$F$21,'Douglas - fertilité moyenne'!AT29*'Douglas - fertilité moyenne'!$F$21)</f>
        <v>0</v>
      </c>
      <c r="AA45" s="178">
        <f t="shared" si="9"/>
        <v>0</v>
      </c>
      <c r="AB45" s="179">
        <f t="shared" si="8"/>
        <v>-333.54239813011162</v>
      </c>
      <c r="AC45" s="178"/>
      <c r="AD45" s="178"/>
    </row>
    <row r="46" spans="1:30">
      <c r="A46" s="390"/>
      <c r="B46" s="262">
        <f>'Chenes+corm+merisier - f. forte'!B89</f>
        <v>56</v>
      </c>
      <c r="C46" s="225">
        <f>'Chenes+corm+merisier - f. forte'!C89</f>
        <v>21</v>
      </c>
      <c r="D46" s="226">
        <f>'Chenes+corm+merisier - f. forte'!D89</f>
        <v>0.7</v>
      </c>
      <c r="E46" s="221">
        <f>'Chenes+corm+merisier - f. forte'!E89</f>
        <v>0</v>
      </c>
      <c r="F46" s="221">
        <f>'Chenes+corm+merisier - f. forte'!F89</f>
        <v>0</v>
      </c>
      <c r="G46" s="227">
        <f>'Chenes+corm+merisier - f. forte'!G89</f>
        <v>0.30000000000000004</v>
      </c>
      <c r="H46" s="210">
        <f>IFERROR(VLOOKUP($B$37,Tableau14582[],4,FALSE)*(1+$L$9)^$B46,0)</f>
        <v>150</v>
      </c>
      <c r="I46" s="211">
        <f>IFERROR(VLOOKUP($B$37,Tableau14582[],5,FALSE)*(1+$L$9)^$B46,0)</f>
        <v>13.75</v>
      </c>
      <c r="J46" s="211">
        <f>IFERROR(VLOOKUP($B$37,Tableau14582[],5,FALSE)*(1+$L$9)^$B46,0)</f>
        <v>13.75</v>
      </c>
      <c r="K46" s="212">
        <f>IFERROR(VLOOKUP($B$37,Tableau14582[],6,FALSE)*(1+$L$9)^$B46,0)</f>
        <v>10</v>
      </c>
      <c r="L46" s="263">
        <f t="shared" si="12"/>
        <v>13778.1</v>
      </c>
      <c r="N46" s="71">
        <v>25</v>
      </c>
      <c r="O46" s="239"/>
      <c r="P46" s="180"/>
      <c r="Q46" s="240">
        <f t="shared" si="11"/>
        <v>940.00249999999994</v>
      </c>
      <c r="R46" s="180">
        <f t="shared" si="5"/>
        <v>19.270051249999998</v>
      </c>
      <c r="S46" s="180">
        <f>$L$11*(1+$L$9)^N46*'Récapitulatif des résultats'!$I$11</f>
        <v>0</v>
      </c>
      <c r="T46" s="241"/>
      <c r="U46" s="180"/>
      <c r="V46" s="249">
        <f t="shared" si="7"/>
        <v>0</v>
      </c>
      <c r="W46" s="188">
        <f>SUM('Chenes+Alisier - f. très forte'!AQ30*'Chenes+Alisier - f. très forte'!$F$21,'Chenes+corm+merisier - f. forte'!AQ30*'Chenes+corm+merisier - f. forte'!$F$21,'Charme - fertil.forte'!AQ30*'Charme - fertil.forte'!$F$21,'Pin maritime - très forte'!AQ30*'Pin maritime - très forte'!$F$21,'P. sylv.+laricio+séquoia -forte'!AQ30*'P. sylv.+laricio+séquoia -forte'!$F$21,'Douglas - fertilité moyenne'!AQ30*'Douglas - fertilité moyenne'!$F$21)</f>
        <v>0</v>
      </c>
      <c r="X46" s="188">
        <f>SUM('Chenes+Alisier - f. très forte'!AR30*'Chenes+Alisier - f. très forte'!$F$21,'Chenes+corm+merisier - f. forte'!AR30*'Chenes+corm+merisier - f. forte'!$F$21,'Charme - fertil.forte'!AR30*'Charme - fertil.forte'!$F$21,'Pin maritime - très forte'!AR30*'Pin maritime - très forte'!$F$21,'P. sylv.+laricio+séquoia -forte'!AR30*'P. sylv.+laricio+séquoia -forte'!$F$21,'Douglas - fertilité moyenne'!AR30*'Douglas - fertilité moyenne'!$F$21)</f>
        <v>0</v>
      </c>
      <c r="Y46" s="188">
        <f>SUM('Chenes+Alisier - f. très forte'!AS30*'Chenes+Alisier - f. très forte'!$F$21,'Chenes+corm+merisier - f. forte'!AS30*'Chenes+corm+merisier - f. forte'!$F$21,'Charme - fertil.forte'!AS30*'Charme - fertil.forte'!$F$21,'Pin maritime - très forte'!AS30*'Pin maritime - très forte'!$F$21,'P. sylv.+laricio+séquoia -forte'!AS30*'P. sylv.+laricio+séquoia -forte'!$F$21,'Douglas - fertilité moyenne'!AS30*'Douglas - fertilité moyenne'!$F$21)</f>
        <v>0</v>
      </c>
      <c r="Z46" s="331">
        <f>SUM('Chenes+Alisier - f. très forte'!AT30*'Chenes+Alisier - f. très forte'!$F$21,'Chenes+corm+merisier - f. forte'!AT30*'Chenes+corm+merisier - f. forte'!$F$21,'Charme - fertil.forte'!AT30*'Charme - fertil.forte'!$F$21,'Pin maritime - très forte'!AT30*'Pin maritime - très forte'!$F$21,'P. sylv.+laricio+séquoia -forte'!AT30*'P. sylv.+laricio+séquoia -forte'!$F$21,'Douglas - fertilité moyenne'!AT30*'Douglas - fertilité moyenne'!$F$21)</f>
        <v>0</v>
      </c>
      <c r="AA46" s="178">
        <f t="shared" si="9"/>
        <v>0</v>
      </c>
      <c r="AB46" s="179">
        <f t="shared" si="8"/>
        <v>-319.17932835417383</v>
      </c>
      <c r="AC46" s="178"/>
      <c r="AD46" s="178"/>
    </row>
    <row r="47" spans="1:30">
      <c r="A47" s="390"/>
      <c r="B47" s="262">
        <f>'Chenes+corm+merisier - f. forte'!B90</f>
        <v>61</v>
      </c>
      <c r="C47" s="225">
        <f>'Chenes+corm+merisier - f. forte'!C90</f>
        <v>21</v>
      </c>
      <c r="D47" s="226">
        <f>'Chenes+corm+merisier - f. forte'!D90</f>
        <v>0.8</v>
      </c>
      <c r="E47" s="221">
        <f>'Chenes+corm+merisier - f. forte'!E90</f>
        <v>0</v>
      </c>
      <c r="F47" s="221">
        <f>'Chenes+corm+merisier - f. forte'!F90</f>
        <v>0</v>
      </c>
      <c r="G47" s="227">
        <f>'Chenes+corm+merisier - f. forte'!G90</f>
        <v>0.19999999999999996</v>
      </c>
      <c r="H47" s="210">
        <f>IFERROR(VLOOKUP($B$37,Tableau14582[],4,FALSE)*(1+$L$9)^$B47,0)</f>
        <v>150</v>
      </c>
      <c r="I47" s="211">
        <f>IFERROR(VLOOKUP($B$37,Tableau14582[],5,FALSE)*(1+$L$9)^$B47,0)</f>
        <v>13.75</v>
      </c>
      <c r="J47" s="211">
        <f>IFERROR(VLOOKUP($B$37,Tableau14582[],5,FALSE)*(1+$L$9)^$B47,0)</f>
        <v>13.75</v>
      </c>
      <c r="K47" s="212">
        <f>IFERROR(VLOOKUP($B$37,Tableau14582[],6,FALSE)*(1+$L$9)^$B47,0)</f>
        <v>10</v>
      </c>
      <c r="L47" s="263">
        <f t="shared" si="12"/>
        <v>15564.15</v>
      </c>
      <c r="N47" s="71">
        <v>26</v>
      </c>
      <c r="O47" s="239"/>
      <c r="P47" s="180"/>
      <c r="Q47" s="240">
        <f t="shared" si="11"/>
        <v>940.00249999999994</v>
      </c>
      <c r="R47" s="180">
        <f t="shared" si="5"/>
        <v>19.270051249999998</v>
      </c>
      <c r="S47" s="180">
        <f>$L$11*(1+$L$9)^N47*'Récapitulatif des résultats'!$I$11</f>
        <v>0</v>
      </c>
      <c r="T47" s="241"/>
      <c r="U47" s="180"/>
      <c r="V47" s="249">
        <f t="shared" si="7"/>
        <v>1062.0054</v>
      </c>
      <c r="W47" s="188">
        <f>SUM('Chenes+Alisier - f. très forte'!AQ31*'Chenes+Alisier - f. très forte'!$F$21,'Chenes+corm+merisier - f. forte'!AQ31*'Chenes+corm+merisier - f. forte'!$F$21,'Charme - fertil.forte'!AQ31*'Charme - fertil.forte'!$F$21,'Pin maritime - très forte'!AQ31*'Pin maritime - très forte'!$F$21,'P. sylv.+laricio+séquoia -forte'!AQ31*'P. sylv.+laricio+séquoia -forte'!$F$21,'Douglas - fertilité moyenne'!AQ31*'Douglas - fertilité moyenne'!$F$21)</f>
        <v>0</v>
      </c>
      <c r="X47" s="188">
        <f>SUM('Chenes+Alisier - f. très forte'!AR31*'Chenes+Alisier - f. très forte'!$F$21,'Chenes+corm+merisier - f. forte'!AR31*'Chenes+corm+merisier - f. forte'!$F$21,'Charme - fertil.forte'!AR31*'Charme - fertil.forte'!$F$21,'Pin maritime - très forte'!AR31*'Pin maritime - très forte'!$F$21,'P. sylv.+laricio+séquoia -forte'!AR31*'P. sylv.+laricio+séquoia -forte'!$F$21,'Douglas - fertilité moyenne'!AR31*'Douglas - fertilité moyenne'!$F$21)</f>
        <v>330.73902400000003</v>
      </c>
      <c r="Y47" s="188">
        <f>SUM('Chenes+Alisier - f. très forte'!AS31*'Chenes+Alisier - f. très forte'!$F$21,'Chenes+corm+merisier - f. forte'!AS31*'Chenes+corm+merisier - f. forte'!$F$21,'Charme - fertil.forte'!AS31*'Charme - fertil.forte'!$F$21,'Pin maritime - très forte'!AS31*'Pin maritime - très forte'!$F$21,'P. sylv.+laricio+séquoia -forte'!AS31*'P. sylv.+laricio+séquoia -forte'!$F$21,'Douglas - fertilité moyenne'!AS31*'Douglas - fertilité moyenne'!$F$21)</f>
        <v>259.866376</v>
      </c>
      <c r="Z47" s="331">
        <f>SUM('Chenes+Alisier - f. très forte'!AT31*'Chenes+Alisier - f. très forte'!$F$21,'Chenes+corm+merisier - f. forte'!AT31*'Chenes+corm+merisier - f. forte'!$F$21,'Charme - fertil.forte'!AT31*'Charme - fertil.forte'!$F$21,'Pin maritime - très forte'!AT31*'Pin maritime - très forte'!$F$21,'P. sylv.+laricio+séquoia -forte'!AT31*'P. sylv.+laricio+séquoia -forte'!$F$21,'Douglas - fertilité moyenne'!AT31*'Douglas - fertilité moyenne'!$F$21)</f>
        <v>471.40000000000003</v>
      </c>
      <c r="AA47" s="178">
        <f t="shared" si="9"/>
        <v>16156.979625</v>
      </c>
      <c r="AB47" s="179">
        <f t="shared" si="8"/>
        <v>4838.9876964452196</v>
      </c>
      <c r="AC47" s="178"/>
      <c r="AD47" s="178"/>
    </row>
    <row r="48" spans="1:30">
      <c r="A48" s="390"/>
      <c r="B48" s="262">
        <f>'Chenes+corm+merisier - f. forte'!B91</f>
        <v>66</v>
      </c>
      <c r="C48" s="225">
        <f>'Chenes+corm+merisier - f. forte'!C91</f>
        <v>21</v>
      </c>
      <c r="D48" s="226">
        <f>'Chenes+corm+merisier - f. forte'!D91</f>
        <v>0.9</v>
      </c>
      <c r="E48" s="221">
        <f>'Chenes+corm+merisier - f. forte'!E91</f>
        <v>0</v>
      </c>
      <c r="F48" s="221">
        <f>'Chenes+corm+merisier - f. forte'!F91</f>
        <v>0</v>
      </c>
      <c r="G48" s="227">
        <f>'Chenes+corm+merisier - f. forte'!G91</f>
        <v>9.9999999999999978E-2</v>
      </c>
      <c r="H48" s="210">
        <f>IFERROR(VLOOKUP($B$37,Tableau14582[],4,FALSE)*(1+$L$9)^$B48,0)</f>
        <v>150</v>
      </c>
      <c r="I48" s="211">
        <f>IFERROR(VLOOKUP($B$37,Tableau14582[],5,FALSE)*(1+$L$9)^$B48,0)</f>
        <v>13.75</v>
      </c>
      <c r="J48" s="211">
        <f>IFERROR(VLOOKUP($B$37,Tableau14582[],5,FALSE)*(1+$L$9)^$B48,0)</f>
        <v>13.75</v>
      </c>
      <c r="K48" s="212">
        <f>IFERROR(VLOOKUP($B$37,Tableau14582[],6,FALSE)*(1+$L$9)^$B48,0)</f>
        <v>10</v>
      </c>
      <c r="L48" s="263">
        <f t="shared" si="12"/>
        <v>17350.200000000004</v>
      </c>
      <c r="N48" s="71">
        <v>27</v>
      </c>
      <c r="O48" s="239"/>
      <c r="P48" s="180"/>
      <c r="Q48" s="240">
        <f t="shared" si="11"/>
        <v>940.00249999999994</v>
      </c>
      <c r="R48" s="180">
        <f t="shared" si="5"/>
        <v>19.270051249999998</v>
      </c>
      <c r="S48" s="180">
        <f>$L$11*(1+$L$9)^N48*'Récapitulatif des résultats'!$I$11</f>
        <v>0</v>
      </c>
      <c r="T48" s="241"/>
      <c r="U48" s="180"/>
      <c r="V48" s="249">
        <f t="shared" si="7"/>
        <v>0</v>
      </c>
      <c r="W48" s="188">
        <f>SUM('Chenes+Alisier - f. très forte'!AQ32*'Chenes+Alisier - f. très forte'!$F$21,'Chenes+corm+merisier - f. forte'!AQ32*'Chenes+corm+merisier - f. forte'!$F$21,'Charme - fertil.forte'!AQ32*'Charme - fertil.forte'!$F$21,'Pin maritime - très forte'!AQ32*'Pin maritime - très forte'!$F$21,'P. sylv.+laricio+séquoia -forte'!AQ32*'P. sylv.+laricio+séquoia -forte'!$F$21,'Douglas - fertilité moyenne'!AQ32*'Douglas - fertilité moyenne'!$F$21)</f>
        <v>0</v>
      </c>
      <c r="X48" s="188">
        <f>SUM('Chenes+Alisier - f. très forte'!AR32*'Chenes+Alisier - f. très forte'!$F$21,'Chenes+corm+merisier - f. forte'!AR32*'Chenes+corm+merisier - f. forte'!$F$21,'Charme - fertil.forte'!AR32*'Charme - fertil.forte'!$F$21,'Pin maritime - très forte'!AR32*'Pin maritime - très forte'!$F$21,'P. sylv.+laricio+séquoia -forte'!AR32*'P. sylv.+laricio+séquoia -forte'!$F$21,'Douglas - fertilité moyenne'!AR32*'Douglas - fertilité moyenne'!$F$21)</f>
        <v>0</v>
      </c>
      <c r="Y48" s="188">
        <f>SUM('Chenes+Alisier - f. très forte'!AS32*'Chenes+Alisier - f. très forte'!$F$21,'Chenes+corm+merisier - f. forte'!AS32*'Chenes+corm+merisier - f. forte'!$F$21,'Charme - fertil.forte'!AS32*'Charme - fertil.forte'!$F$21,'Pin maritime - très forte'!AS32*'Pin maritime - très forte'!$F$21,'P. sylv.+laricio+séquoia -forte'!AS32*'P. sylv.+laricio+séquoia -forte'!$F$21,'Douglas - fertilité moyenne'!AS32*'Douglas - fertilité moyenne'!$F$21)</f>
        <v>0</v>
      </c>
      <c r="Z48" s="331">
        <f>SUM('Chenes+Alisier - f. très forte'!AT32*'Chenes+Alisier - f. très forte'!$F$21,'Chenes+corm+merisier - f. forte'!AT32*'Chenes+corm+merisier - f. forte'!$F$21,'Charme - fertil.forte'!AT32*'Charme - fertil.forte'!$F$21,'Pin maritime - très forte'!AT32*'Pin maritime - très forte'!$F$21,'P. sylv.+laricio+séquoia -forte'!AT32*'P. sylv.+laricio+séquoia -forte'!$F$21,'Douglas - fertilité moyenne'!AT32*'Douglas - fertilité moyenne'!$F$21)</f>
        <v>0</v>
      </c>
      <c r="AA48" s="178">
        <f t="shared" si="9"/>
        <v>0</v>
      </c>
      <c r="AB48" s="179">
        <f t="shared" si="8"/>
        <v>-292.28207078974742</v>
      </c>
      <c r="AC48" s="178"/>
      <c r="AD48" s="178"/>
    </row>
    <row r="49" spans="2:30">
      <c r="B49" s="262">
        <f>'Chenes+corm+merisier - f. forte'!B92</f>
        <v>71</v>
      </c>
      <c r="C49" s="225">
        <f>'Chenes+corm+merisier - f. forte'!C92</f>
        <v>21</v>
      </c>
      <c r="D49" s="226">
        <f>'Chenes+corm+merisier - f. forte'!D92</f>
        <v>0.9</v>
      </c>
      <c r="E49" s="221">
        <f>'Chenes+corm+merisier - f. forte'!E92</f>
        <v>0</v>
      </c>
      <c r="F49" s="221">
        <f>'Chenes+corm+merisier - f. forte'!F92</f>
        <v>0</v>
      </c>
      <c r="G49" s="227">
        <f>'Chenes+corm+merisier - f. forte'!G92</f>
        <v>9.9999999999999978E-2</v>
      </c>
      <c r="H49" s="210">
        <f>IFERROR(VLOOKUP($B$37,Tableau14582[],4,FALSE)*(1+$L$9)^$B49,0)</f>
        <v>150</v>
      </c>
      <c r="I49" s="211">
        <f>IFERROR(VLOOKUP($B$37,Tableau14582[],5,FALSE)*(1+$L$9)^$B49,0)</f>
        <v>13.75</v>
      </c>
      <c r="J49" s="211">
        <f>IFERROR(VLOOKUP($B$37,Tableau14582[],5,FALSE)*(1+$L$9)^$B49,0)</f>
        <v>13.75</v>
      </c>
      <c r="K49" s="212">
        <f>IFERROR(VLOOKUP($B$37,Tableau14582[],6,FALSE)*(1+$L$9)^$B49,0)</f>
        <v>10</v>
      </c>
      <c r="L49" s="263">
        <f t="shared" si="12"/>
        <v>17350.200000000004</v>
      </c>
      <c r="N49" s="71">
        <v>28</v>
      </c>
      <c r="O49" s="239"/>
      <c r="P49" s="180"/>
      <c r="Q49" s="240">
        <f t="shared" si="11"/>
        <v>940.00249999999994</v>
      </c>
      <c r="R49" s="180">
        <f t="shared" si="5"/>
        <v>19.270051249999998</v>
      </c>
      <c r="S49" s="180">
        <f>$L$11*(1+$L$9)^N49*'Récapitulatif des résultats'!$I$11</f>
        <v>0</v>
      </c>
      <c r="T49" s="241"/>
      <c r="U49" s="180"/>
      <c r="V49" s="249">
        <f t="shared" si="7"/>
        <v>0</v>
      </c>
      <c r="W49" s="188">
        <f>SUM('Chenes+Alisier - f. très forte'!AQ33*'Chenes+Alisier - f. très forte'!$F$21,'Chenes+corm+merisier - f. forte'!AQ33*'Chenes+corm+merisier - f. forte'!$F$21,'Charme - fertil.forte'!AQ33*'Charme - fertil.forte'!$F$21,'Pin maritime - très forte'!AQ33*'Pin maritime - très forte'!$F$21,'P. sylv.+laricio+séquoia -forte'!AQ33*'P. sylv.+laricio+séquoia -forte'!$F$21,'Douglas - fertilité moyenne'!AQ33*'Douglas - fertilité moyenne'!$F$21)</f>
        <v>0</v>
      </c>
      <c r="X49" s="188">
        <f>SUM('Chenes+Alisier - f. très forte'!AR33*'Chenes+Alisier - f. très forte'!$F$21,'Chenes+corm+merisier - f. forte'!AR33*'Chenes+corm+merisier - f. forte'!$F$21,'Charme - fertil.forte'!AR33*'Charme - fertil.forte'!$F$21,'Pin maritime - très forte'!AR33*'Pin maritime - très forte'!$F$21,'P. sylv.+laricio+séquoia -forte'!AR33*'P. sylv.+laricio+séquoia -forte'!$F$21,'Douglas - fertilité moyenne'!AR33*'Douglas - fertilité moyenne'!$F$21)</f>
        <v>0</v>
      </c>
      <c r="Y49" s="188">
        <f>SUM('Chenes+Alisier - f. très forte'!AS33*'Chenes+Alisier - f. très forte'!$F$21,'Chenes+corm+merisier - f. forte'!AS33*'Chenes+corm+merisier - f. forte'!$F$21,'Charme - fertil.forte'!AS33*'Charme - fertil.forte'!$F$21,'Pin maritime - très forte'!AS33*'Pin maritime - très forte'!$F$21,'P. sylv.+laricio+séquoia -forte'!AS33*'P. sylv.+laricio+séquoia -forte'!$F$21,'Douglas - fertilité moyenne'!AS33*'Douglas - fertilité moyenne'!$F$21)</f>
        <v>0</v>
      </c>
      <c r="Z49" s="331">
        <f>SUM('Chenes+Alisier - f. très forte'!AT33*'Chenes+Alisier - f. très forte'!$F$21,'Chenes+corm+merisier - f. forte'!AT33*'Chenes+corm+merisier - f. forte'!$F$21,'Charme - fertil.forte'!AT33*'Charme - fertil.forte'!$F$21,'Pin maritime - très forte'!AT33*'Pin maritime - très forte'!$F$21,'P. sylv.+laricio+séquoia -forte'!AT33*'P. sylv.+laricio+séquoia -forte'!$F$21,'Douglas - fertilité moyenne'!AT33*'Douglas - fertilité moyenne'!$F$21)</f>
        <v>0</v>
      </c>
      <c r="AA49" s="178">
        <f t="shared" si="9"/>
        <v>0</v>
      </c>
      <c r="AB49" s="179">
        <f t="shared" si="8"/>
        <v>-279.69576152128946</v>
      </c>
      <c r="AC49" s="178"/>
      <c r="AD49" s="178"/>
    </row>
    <row r="50" spans="2:30">
      <c r="B50" s="262">
        <f>'Chenes+corm+merisier - f. forte'!B93</f>
        <v>76</v>
      </c>
      <c r="C50" s="225">
        <f>'Chenes+corm+merisier - f. forte'!C93</f>
        <v>21</v>
      </c>
      <c r="D50" s="226">
        <f>'Chenes+corm+merisier - f. forte'!D93</f>
        <v>0.95</v>
      </c>
      <c r="E50" s="221">
        <f>'Chenes+corm+merisier - f. forte'!E93</f>
        <v>0</v>
      </c>
      <c r="F50" s="221">
        <f>'Chenes+corm+merisier - f. forte'!F93</f>
        <v>0</v>
      </c>
      <c r="G50" s="227">
        <f>'Chenes+corm+merisier - f. forte'!G93</f>
        <v>5.0000000000000044E-2</v>
      </c>
      <c r="H50" s="210">
        <f>IFERROR(VLOOKUP($B$37,Tableau14582[],4,FALSE)*(1+$L$9)^$B50,0)</f>
        <v>150</v>
      </c>
      <c r="I50" s="211">
        <f>IFERROR(VLOOKUP($B$37,Tableau14582[],5,FALSE)*(1+$L$9)^$B50,0)</f>
        <v>13.75</v>
      </c>
      <c r="J50" s="211">
        <f>IFERROR(VLOOKUP($B$37,Tableau14582[],5,FALSE)*(1+$L$9)^$B50,0)</f>
        <v>13.75</v>
      </c>
      <c r="K50" s="212">
        <f>IFERROR(VLOOKUP($B$37,Tableau14582[],6,FALSE)*(1+$L$9)^$B50,0)</f>
        <v>10</v>
      </c>
      <c r="L50" s="263">
        <f t="shared" si="12"/>
        <v>18243.225000000002</v>
      </c>
      <c r="N50" s="71">
        <v>29</v>
      </c>
      <c r="O50" s="239"/>
      <c r="P50" s="180"/>
      <c r="Q50" s="240">
        <f t="shared" si="11"/>
        <v>940.00249999999994</v>
      </c>
      <c r="R50" s="180">
        <f t="shared" si="5"/>
        <v>19.270051249999998</v>
      </c>
      <c r="S50" s="180">
        <f>$L$11*(1+$L$9)^N50*'Récapitulatif des résultats'!$I$11</f>
        <v>0</v>
      </c>
      <c r="T50" s="241"/>
      <c r="U50" s="180"/>
      <c r="V50" s="249">
        <f t="shared" si="7"/>
        <v>0</v>
      </c>
      <c r="W50" s="188">
        <f>SUM('Chenes+Alisier - f. très forte'!AQ34*'Chenes+Alisier - f. très forte'!$F$21,'Chenes+corm+merisier - f. forte'!AQ34*'Chenes+corm+merisier - f. forte'!$F$21,'Charme - fertil.forte'!AQ34*'Charme - fertil.forte'!$F$21,'Pin maritime - très forte'!AQ34*'Pin maritime - très forte'!$F$21,'P. sylv.+laricio+séquoia -forte'!AQ34*'P. sylv.+laricio+séquoia -forte'!$F$21,'Douglas - fertilité moyenne'!AQ34*'Douglas - fertilité moyenne'!$F$21)</f>
        <v>0</v>
      </c>
      <c r="X50" s="188">
        <f>SUM('Chenes+Alisier - f. très forte'!AR34*'Chenes+Alisier - f. très forte'!$F$21,'Chenes+corm+merisier - f. forte'!AR34*'Chenes+corm+merisier - f. forte'!$F$21,'Charme - fertil.forte'!AR34*'Charme - fertil.forte'!$F$21,'Pin maritime - très forte'!AR34*'Pin maritime - très forte'!$F$21,'P. sylv.+laricio+séquoia -forte'!AR34*'P. sylv.+laricio+séquoia -forte'!$F$21,'Douglas - fertilité moyenne'!AR34*'Douglas - fertilité moyenne'!$F$21)</f>
        <v>0</v>
      </c>
      <c r="Y50" s="188">
        <f>SUM('Chenes+Alisier - f. très forte'!AS34*'Chenes+Alisier - f. très forte'!$F$21,'Chenes+corm+merisier - f. forte'!AS34*'Chenes+corm+merisier - f. forte'!$F$21,'Charme - fertil.forte'!AS34*'Charme - fertil.forte'!$F$21,'Pin maritime - très forte'!AS34*'Pin maritime - très forte'!$F$21,'P. sylv.+laricio+séquoia -forte'!AS34*'P. sylv.+laricio+séquoia -forte'!$F$21,'Douglas - fertilité moyenne'!AS34*'Douglas - fertilité moyenne'!$F$21)</f>
        <v>0</v>
      </c>
      <c r="Z50" s="331">
        <f>SUM('Chenes+Alisier - f. très forte'!AT34*'Chenes+Alisier - f. très forte'!$F$21,'Chenes+corm+merisier - f. forte'!AT34*'Chenes+corm+merisier - f. forte'!$F$21,'Charme - fertil.forte'!AT34*'Charme - fertil.forte'!$F$21,'Pin maritime - très forte'!AT34*'Pin maritime - très forte'!$F$21,'P. sylv.+laricio+séquoia -forte'!AT34*'P. sylv.+laricio+séquoia -forte'!$F$21,'Douglas - fertilité moyenne'!AT34*'Douglas - fertilité moyenne'!$F$21)</f>
        <v>0</v>
      </c>
      <c r="AA50" s="178">
        <f t="shared" si="9"/>
        <v>0</v>
      </c>
      <c r="AB50" s="179">
        <f t="shared" si="8"/>
        <v>-267.6514464318559</v>
      </c>
      <c r="AC50" s="178"/>
      <c r="AD50" s="178"/>
    </row>
    <row r="51" spans="2:30">
      <c r="B51" s="264">
        <f>'Chenes+corm+merisier - f. forte'!B94</f>
        <v>100</v>
      </c>
      <c r="C51" s="228">
        <f>'Chenes+corm+merisier - f. forte'!C94</f>
        <v>282</v>
      </c>
      <c r="D51" s="222">
        <f>'Chenes+corm+merisier - f. forte'!D94</f>
        <v>0.95</v>
      </c>
      <c r="E51" s="234">
        <f>'Chenes+corm+merisier - f. forte'!E94</f>
        <v>0</v>
      </c>
      <c r="F51" s="234">
        <f>'Chenes+corm+merisier - f. forte'!F94</f>
        <v>0</v>
      </c>
      <c r="G51" s="229">
        <f>'Chenes+corm+merisier - f. forte'!G94</f>
        <v>5.0000000000000044E-2</v>
      </c>
      <c r="H51" s="213">
        <f>IFERROR(VLOOKUP($B$37,Tableau14582[],4,FALSE)*(1+$L$9)^$B51,0)</f>
        <v>150</v>
      </c>
      <c r="I51" s="214">
        <f>IFERROR(VLOOKUP($B$37,Tableau14582[],5,FALSE)*(1+$L$9)^$B51,0)</f>
        <v>13.75</v>
      </c>
      <c r="J51" s="214">
        <f>IFERROR(VLOOKUP($B$37,Tableau14582[],5,FALSE)*(1+$L$9)^$B51,0)</f>
        <v>13.75</v>
      </c>
      <c r="K51" s="215">
        <f>IFERROR(VLOOKUP($B$37,Tableau14582[],6,FALSE)*(1+$L$9)^$B51,0)</f>
        <v>10</v>
      </c>
      <c r="L51" s="265">
        <f t="shared" si="12"/>
        <v>244980.45</v>
      </c>
      <c r="N51" s="71">
        <v>30</v>
      </c>
      <c r="O51" s="239"/>
      <c r="P51" s="180"/>
      <c r="Q51" s="240">
        <f t="shared" si="11"/>
        <v>940.00249999999994</v>
      </c>
      <c r="R51" s="180">
        <f t="shared" si="5"/>
        <v>19.270051249999998</v>
      </c>
      <c r="S51" s="180">
        <f>$L$11*(1+$L$9)^N51*'Récapitulatif des résultats'!$I$11</f>
        <v>0</v>
      </c>
      <c r="T51" s="241"/>
      <c r="U51" s="180"/>
      <c r="V51" s="249">
        <f t="shared" si="7"/>
        <v>0</v>
      </c>
      <c r="W51" s="188">
        <f>SUM('Chenes+Alisier - f. très forte'!AQ35*'Chenes+Alisier - f. très forte'!$F$21,'Chenes+corm+merisier - f. forte'!AQ35*'Chenes+corm+merisier - f. forte'!$F$21,'Charme - fertil.forte'!AQ35*'Charme - fertil.forte'!$F$21,'Pin maritime - très forte'!AQ35*'Pin maritime - très forte'!$F$21,'P. sylv.+laricio+séquoia -forte'!AQ35*'P. sylv.+laricio+séquoia -forte'!$F$21,'Douglas - fertilité moyenne'!AQ35*'Douglas - fertilité moyenne'!$F$21)</f>
        <v>0</v>
      </c>
      <c r="X51" s="188">
        <f>SUM('Chenes+Alisier - f. très forte'!AR35*'Chenes+Alisier - f. très forte'!$F$21,'Chenes+corm+merisier - f. forte'!AR35*'Chenes+corm+merisier - f. forte'!$F$21,'Charme - fertil.forte'!AR35*'Charme - fertil.forte'!$F$21,'Pin maritime - très forte'!AR35*'Pin maritime - très forte'!$F$21,'P. sylv.+laricio+séquoia -forte'!AR35*'P. sylv.+laricio+séquoia -forte'!$F$21,'Douglas - fertilité moyenne'!AR35*'Douglas - fertilité moyenne'!$F$21)</f>
        <v>0</v>
      </c>
      <c r="Y51" s="188">
        <f>SUM('Chenes+Alisier - f. très forte'!AS35*'Chenes+Alisier - f. très forte'!$F$21,'Chenes+corm+merisier - f. forte'!AS35*'Chenes+corm+merisier - f. forte'!$F$21,'Charme - fertil.forte'!AS35*'Charme - fertil.forte'!$F$21,'Pin maritime - très forte'!AS35*'Pin maritime - très forte'!$F$21,'P. sylv.+laricio+séquoia -forte'!AS35*'P. sylv.+laricio+séquoia -forte'!$F$21,'Douglas - fertilité moyenne'!AS35*'Douglas - fertilité moyenne'!$F$21)</f>
        <v>0</v>
      </c>
      <c r="Z51" s="331">
        <f>SUM('Chenes+Alisier - f. très forte'!AT35*'Chenes+Alisier - f. très forte'!$F$21,'Chenes+corm+merisier - f. forte'!AT35*'Chenes+corm+merisier - f. forte'!$F$21,'Charme - fertil.forte'!AT35*'Charme - fertil.forte'!$F$21,'Pin maritime - très forte'!AT35*'Pin maritime - très forte'!$F$21,'P. sylv.+laricio+séquoia -forte'!AT35*'P. sylv.+laricio+séquoia -forte'!$F$21,'Douglas - fertilité moyenne'!AT35*'Douglas - fertilité moyenne'!$F$21)</f>
        <v>0</v>
      </c>
      <c r="AA51" s="178">
        <f t="shared" si="9"/>
        <v>0</v>
      </c>
      <c r="AB51" s="179">
        <f t="shared" si="8"/>
        <v>-256.12578605919231</v>
      </c>
      <c r="AC51" s="178"/>
      <c r="AD51" s="178"/>
    </row>
    <row r="52" spans="2:30">
      <c r="B52" s="266"/>
      <c r="C52" s="267"/>
      <c r="D52" s="267"/>
      <c r="E52" s="267"/>
      <c r="F52" s="267"/>
      <c r="G52" s="267"/>
      <c r="H52" s="267"/>
      <c r="I52" s="267"/>
      <c r="J52" s="267"/>
      <c r="K52" s="267"/>
      <c r="L52" s="268"/>
      <c r="N52" s="71">
        <v>31</v>
      </c>
      <c r="O52" s="239"/>
      <c r="P52" s="180"/>
      <c r="Q52" s="240">
        <f t="shared" si="11"/>
        <v>940.00249999999994</v>
      </c>
      <c r="R52" s="180">
        <f t="shared" si="5"/>
        <v>19.270051249999998</v>
      </c>
      <c r="S52" s="180">
        <f>$L$11*(1+$L$9)^N52*'Récapitulatif des résultats'!$I$11</f>
        <v>0</v>
      </c>
      <c r="T52" s="241"/>
      <c r="U52" s="180"/>
      <c r="V52" s="249">
        <f t="shared" si="7"/>
        <v>701.57500000000005</v>
      </c>
      <c r="W52" s="188">
        <f>SUM('Chenes+Alisier - f. très forte'!AQ36*'Chenes+Alisier - f. très forte'!$F$21,'Chenes+corm+merisier - f. forte'!AQ36*'Chenes+corm+merisier - f. forte'!$F$21,'Charme - fertil.forte'!AQ36*'Charme - fertil.forte'!$F$21,'Pin maritime - très forte'!AQ36*'Pin maritime - très forte'!$F$21,'P. sylv.+laricio+séquoia -forte'!AQ36*'P. sylv.+laricio+séquoia -forte'!$F$21,'Douglas - fertilité moyenne'!AQ36*'Douglas - fertilité moyenne'!$F$21)</f>
        <v>0</v>
      </c>
      <c r="X52" s="188">
        <f>SUM('Chenes+Alisier - f. très forte'!AR36*'Chenes+Alisier - f. très forte'!$F$21,'Chenes+corm+merisier - f. forte'!AR36*'Chenes+corm+merisier - f. forte'!$F$21,'Charme - fertil.forte'!AR36*'Charme - fertil.forte'!$F$21,'Pin maritime - très forte'!AR36*'Pin maritime - très forte'!$F$21,'P. sylv.+laricio+séquoia -forte'!AR36*'P. sylv.+laricio+séquoia -forte'!$F$21,'Douglas - fertilité moyenne'!AR36*'Douglas - fertilité moyenne'!$F$21)</f>
        <v>0</v>
      </c>
      <c r="Y52" s="188">
        <f>SUM('Chenes+Alisier - f. très forte'!AS36*'Chenes+Alisier - f. très forte'!$F$21,'Chenes+corm+merisier - f. forte'!AS36*'Chenes+corm+merisier - f. forte'!$F$21,'Charme - fertil.forte'!AS36*'Charme - fertil.forte'!$F$21,'Pin maritime - très forte'!AS36*'Pin maritime - très forte'!$F$21,'P. sylv.+laricio+séquoia -forte'!AS36*'P. sylv.+laricio+séquoia -forte'!$F$21,'Douglas - fertilité moyenne'!AS36*'Douglas - fertilité moyenne'!$F$21)</f>
        <v>0</v>
      </c>
      <c r="Z52" s="331">
        <f>SUM('Chenes+Alisier - f. très forte'!AT36*'Chenes+Alisier - f. très forte'!$F$21,'Chenes+corm+merisier - f. forte'!AT36*'Chenes+corm+merisier - f. forte'!$F$21,'Charme - fertil.forte'!AT36*'Charme - fertil.forte'!$F$21,'Pin maritime - très forte'!AT36*'Pin maritime - très forte'!$F$21,'P. sylv.+laricio+séquoia -forte'!AT36*'P. sylv.+laricio+séquoia -forte'!$F$21,'Douglas - fertilité moyenne'!AT36*'Douglas - fertilité moyenne'!$F$21)</f>
        <v>701.57500000000005</v>
      </c>
      <c r="AA52" s="178">
        <f t="shared" si="9"/>
        <v>20011.127045000001</v>
      </c>
      <c r="AB52" s="179">
        <f t="shared" si="8"/>
        <v>4867.7946844673816</v>
      </c>
      <c r="AC52" s="178"/>
      <c r="AD52" s="178"/>
    </row>
    <row r="53" spans="2:30">
      <c r="B53" s="411" t="str">
        <f>'Charme - fertil.forte'!F17</f>
        <v xml:space="preserve">Charme </v>
      </c>
      <c r="C53" s="412">
        <f>'Charme - fertil.forte'!C80</f>
        <v>0</v>
      </c>
      <c r="D53" s="412">
        <f>'Charme - fertil.forte'!D80</f>
        <v>0</v>
      </c>
      <c r="E53" s="412">
        <f>'Charme - fertil.forte'!E80</f>
        <v>0</v>
      </c>
      <c r="F53" s="412">
        <f>'Charme - fertil.forte'!F80</f>
        <v>0</v>
      </c>
      <c r="G53" s="413">
        <f>'Charme - fertil.forte'!G80</f>
        <v>0</v>
      </c>
      <c r="H53" s="397" t="s">
        <v>248</v>
      </c>
      <c r="I53" s="398"/>
      <c r="J53" s="398"/>
      <c r="K53" s="399"/>
      <c r="L53" s="257">
        <f>U5</f>
        <v>7.2</v>
      </c>
      <c r="N53" s="71">
        <v>32</v>
      </c>
      <c r="O53" s="239"/>
      <c r="P53" s="180"/>
      <c r="Q53" s="240">
        <f t="shared" si="11"/>
        <v>940.00249999999994</v>
      </c>
      <c r="R53" s="180">
        <f t="shared" si="5"/>
        <v>19.270051249999998</v>
      </c>
      <c r="S53" s="180">
        <f>$L$11*(1+$L$9)^N53*'Récapitulatif des résultats'!$I$11</f>
        <v>0</v>
      </c>
      <c r="T53" s="241"/>
      <c r="U53" s="180"/>
      <c r="V53" s="249">
        <f t="shared" si="7"/>
        <v>0</v>
      </c>
      <c r="W53" s="188">
        <f>SUM('Chenes+Alisier - f. très forte'!AQ37*'Chenes+Alisier - f. très forte'!$F$21,'Chenes+corm+merisier - f. forte'!AQ37*'Chenes+corm+merisier - f. forte'!$F$21,'Charme - fertil.forte'!AQ37*'Charme - fertil.forte'!$F$21,'Pin maritime - très forte'!AQ37*'Pin maritime - très forte'!$F$21,'P. sylv.+laricio+séquoia -forte'!AQ37*'P. sylv.+laricio+séquoia -forte'!$F$21,'Douglas - fertilité moyenne'!AQ37*'Douglas - fertilité moyenne'!$F$21)</f>
        <v>0</v>
      </c>
      <c r="X53" s="188">
        <f>SUM('Chenes+Alisier - f. très forte'!AR37*'Chenes+Alisier - f. très forte'!$F$21,'Chenes+corm+merisier - f. forte'!AR37*'Chenes+corm+merisier - f. forte'!$F$21,'Charme - fertil.forte'!AR37*'Charme - fertil.forte'!$F$21,'Pin maritime - très forte'!AR37*'Pin maritime - très forte'!$F$21,'P. sylv.+laricio+séquoia -forte'!AR37*'P. sylv.+laricio+séquoia -forte'!$F$21,'Douglas - fertilité moyenne'!AR37*'Douglas - fertilité moyenne'!$F$21)</f>
        <v>0</v>
      </c>
      <c r="Y53" s="188">
        <f>SUM('Chenes+Alisier - f. très forte'!AS37*'Chenes+Alisier - f. très forte'!$F$21,'Chenes+corm+merisier - f. forte'!AS37*'Chenes+corm+merisier - f. forte'!$F$21,'Charme - fertil.forte'!AS37*'Charme - fertil.forte'!$F$21,'Pin maritime - très forte'!AS37*'Pin maritime - très forte'!$F$21,'P. sylv.+laricio+séquoia -forte'!AS37*'P. sylv.+laricio+séquoia -forte'!$F$21,'Douglas - fertilité moyenne'!AS37*'Douglas - fertilité moyenne'!$F$21)</f>
        <v>0</v>
      </c>
      <c r="Z53" s="331">
        <f>SUM('Chenes+Alisier - f. très forte'!AT37*'Chenes+Alisier - f. très forte'!$F$21,'Chenes+corm+merisier - f. forte'!AT37*'Chenes+corm+merisier - f. forte'!$F$21,'Charme - fertil.forte'!AT37*'Charme - fertil.forte'!$F$21,'Pin maritime - très forte'!AT37*'Pin maritime - très forte'!$F$21,'P. sylv.+laricio+séquoia -forte'!AT37*'P. sylv.+laricio+séquoia -forte'!$F$21,'Douglas - fertilité moyenne'!AT37*'Douglas - fertilité moyenne'!$F$21)</f>
        <v>0</v>
      </c>
      <c r="AA53" s="178">
        <f t="shared" si="9"/>
        <v>0</v>
      </c>
      <c r="AB53" s="179">
        <f t="shared" si="8"/>
        <v>-234.54205357861991</v>
      </c>
      <c r="AC53" s="178"/>
      <c r="AD53" s="178"/>
    </row>
    <row r="54" spans="2:30">
      <c r="B54" s="269" t="str">
        <f>'Charme - fertil.forte'!B81</f>
        <v>Année</v>
      </c>
      <c r="C54" s="230" t="str">
        <f>'Charme - fertil.forte'!C81</f>
        <v>Volume d'éclaircie</v>
      </c>
      <c r="D54" s="217" t="str">
        <f>'Charme - fertil.forte'!D81</f>
        <v>BO</v>
      </c>
      <c r="E54" s="217" t="str">
        <f>'Charme - fertil.forte'!E81</f>
        <v>BI - panneaux</v>
      </c>
      <c r="F54" s="217" t="str">
        <f>'Charme - fertil.forte'!F81</f>
        <v>BI - papier</v>
      </c>
      <c r="G54" s="218" t="str">
        <f>'Charme - fertil.forte'!G81</f>
        <v>BE</v>
      </c>
      <c r="H54" s="216" t="s">
        <v>78</v>
      </c>
      <c r="I54" s="217" t="s">
        <v>81</v>
      </c>
      <c r="J54" s="217" t="s">
        <v>80</v>
      </c>
      <c r="K54" s="218" t="s">
        <v>79</v>
      </c>
      <c r="L54" s="259" t="s">
        <v>252</v>
      </c>
      <c r="N54" s="71">
        <v>33</v>
      </c>
      <c r="O54" s="239"/>
      <c r="P54" s="180"/>
      <c r="Q54" s="240">
        <f t="shared" si="11"/>
        <v>940.00249999999994</v>
      </c>
      <c r="R54" s="180">
        <f t="shared" si="5"/>
        <v>19.270051249999998</v>
      </c>
      <c r="S54" s="180">
        <f>$L$11*(1+$L$9)^N54*'Récapitulatif des résultats'!$I$11</f>
        <v>0</v>
      </c>
      <c r="T54" s="241"/>
      <c r="U54" s="180"/>
      <c r="V54" s="249">
        <f t="shared" si="7"/>
        <v>0</v>
      </c>
      <c r="W54" s="188">
        <f>SUM('Chenes+Alisier - f. très forte'!AQ38*'Chenes+Alisier - f. très forte'!$F$21,'Chenes+corm+merisier - f. forte'!AQ38*'Chenes+corm+merisier - f. forte'!$F$21,'Charme - fertil.forte'!AQ38*'Charme - fertil.forte'!$F$21,'Pin maritime - très forte'!AQ38*'Pin maritime - très forte'!$F$21,'P. sylv.+laricio+séquoia -forte'!AQ38*'P. sylv.+laricio+séquoia -forte'!$F$21,'Douglas - fertilité moyenne'!AQ38*'Douglas - fertilité moyenne'!$F$21)</f>
        <v>0</v>
      </c>
      <c r="X54" s="188">
        <f>SUM('Chenes+Alisier - f. très forte'!AR38*'Chenes+Alisier - f. très forte'!$F$21,'Chenes+corm+merisier - f. forte'!AR38*'Chenes+corm+merisier - f. forte'!$F$21,'Charme - fertil.forte'!AR38*'Charme - fertil.forte'!$F$21,'Pin maritime - très forte'!AR38*'Pin maritime - très forte'!$F$21,'P. sylv.+laricio+séquoia -forte'!AR38*'P. sylv.+laricio+séquoia -forte'!$F$21,'Douglas - fertilité moyenne'!AR38*'Douglas - fertilité moyenne'!$F$21)</f>
        <v>0</v>
      </c>
      <c r="Y54" s="188">
        <f>SUM('Chenes+Alisier - f. très forte'!AS38*'Chenes+Alisier - f. très forte'!$F$21,'Chenes+corm+merisier - f. forte'!AS38*'Chenes+corm+merisier - f. forte'!$F$21,'Charme - fertil.forte'!AS38*'Charme - fertil.forte'!$F$21,'Pin maritime - très forte'!AS38*'Pin maritime - très forte'!$F$21,'P. sylv.+laricio+séquoia -forte'!AS38*'P. sylv.+laricio+séquoia -forte'!$F$21,'Douglas - fertilité moyenne'!AS38*'Douglas - fertilité moyenne'!$F$21)</f>
        <v>0</v>
      </c>
      <c r="Z54" s="331">
        <f>SUM('Chenes+Alisier - f. très forte'!AT38*'Chenes+Alisier - f. très forte'!$F$21,'Chenes+corm+merisier - f. forte'!AT38*'Chenes+corm+merisier - f. forte'!$F$21,'Charme - fertil.forte'!AT38*'Charme - fertil.forte'!$F$21,'Pin maritime - très forte'!AT38*'Pin maritime - très forte'!$F$21,'P. sylv.+laricio+séquoia -forte'!AT38*'P. sylv.+laricio+séquoia -forte'!$F$21,'Douglas - fertilité moyenne'!AT38*'Douglas - fertilité moyenne'!$F$21)</f>
        <v>0</v>
      </c>
      <c r="AA54" s="178">
        <f t="shared" si="9"/>
        <v>0</v>
      </c>
      <c r="AB54" s="179">
        <f t="shared" si="8"/>
        <v>-224.44215653456456</v>
      </c>
      <c r="AC54" s="178"/>
      <c r="AD54" s="178"/>
    </row>
    <row r="55" spans="2:30">
      <c r="B55" s="270">
        <f>'Charme - fertil.forte'!B82</f>
        <v>21</v>
      </c>
      <c r="C55" s="223">
        <f>'Charme - fertil.forte'!C82</f>
        <v>0</v>
      </c>
      <c r="D55" s="220">
        <f>'Charme - fertil.forte'!D82</f>
        <v>0</v>
      </c>
      <c r="E55" s="220">
        <f>'Charme - fertil.forte'!E82</f>
        <v>0</v>
      </c>
      <c r="F55" s="220">
        <f>'Charme - fertil.forte'!F82</f>
        <v>0</v>
      </c>
      <c r="G55" s="224">
        <f>'Charme - fertil.forte'!G82</f>
        <v>1</v>
      </c>
      <c r="H55" s="231">
        <f>IFERROR(VLOOKUP($B$53,Tableau14582[],4,FALSE)*(1+$L$9)^$B55,0)</f>
        <v>50</v>
      </c>
      <c r="I55" s="232">
        <f>IFERROR(VLOOKUP($B$53,Tableau14582[],5,FALSE)*(1+$L$9)^$B55,0)</f>
        <v>13.75</v>
      </c>
      <c r="J55" s="232">
        <f>IFERROR(VLOOKUP($B$53,Tableau14582[],5,FALSE)*(1+$L$9)^$B55,0)</f>
        <v>13.75</v>
      </c>
      <c r="K55" s="233">
        <f>IFERROR(VLOOKUP($B$53,Tableau14582[],6,FALSE)*(1+$L$9)^$B55,0)</f>
        <v>10</v>
      </c>
      <c r="L55" s="261">
        <f>(C55*D55*H55+C55*E55*I55+C55*F55*J55+C55*G55*K55)*L$53</f>
        <v>0</v>
      </c>
      <c r="N55" s="71">
        <v>34</v>
      </c>
      <c r="O55" s="239"/>
      <c r="P55" s="180"/>
      <c r="Q55" s="240">
        <f t="shared" si="11"/>
        <v>940.00249999999994</v>
      </c>
      <c r="R55" s="180">
        <f t="shared" si="5"/>
        <v>19.270051249999998</v>
      </c>
      <c r="S55" s="180">
        <f>$L$11*(1+$L$9)^N55*'Récapitulatif des résultats'!$I$11</f>
        <v>0</v>
      </c>
      <c r="T55" s="241"/>
      <c r="U55" s="180"/>
      <c r="V55" s="249">
        <f t="shared" si="7"/>
        <v>0</v>
      </c>
      <c r="W55" s="188">
        <f>SUM('Chenes+Alisier - f. très forte'!AQ39*'Chenes+Alisier - f. très forte'!$F$21,'Chenes+corm+merisier - f. forte'!AQ39*'Chenes+corm+merisier - f. forte'!$F$21,'Charme - fertil.forte'!AQ39*'Charme - fertil.forte'!$F$21,'Pin maritime - très forte'!AQ39*'Pin maritime - très forte'!$F$21,'P. sylv.+laricio+séquoia -forte'!AQ39*'P. sylv.+laricio+séquoia -forte'!$F$21,'Douglas - fertilité moyenne'!AQ39*'Douglas - fertilité moyenne'!$F$21)</f>
        <v>0</v>
      </c>
      <c r="X55" s="188">
        <f>SUM('Chenes+Alisier - f. très forte'!AR39*'Chenes+Alisier - f. très forte'!$F$21,'Chenes+corm+merisier - f. forte'!AR39*'Chenes+corm+merisier - f. forte'!$F$21,'Charme - fertil.forte'!AR39*'Charme - fertil.forte'!$F$21,'Pin maritime - très forte'!AR39*'Pin maritime - très forte'!$F$21,'P. sylv.+laricio+séquoia -forte'!AR39*'P. sylv.+laricio+séquoia -forte'!$F$21,'Douglas - fertilité moyenne'!AR39*'Douglas - fertilité moyenne'!$F$21)</f>
        <v>0</v>
      </c>
      <c r="Y55" s="188">
        <f>SUM('Chenes+Alisier - f. très forte'!AS39*'Chenes+Alisier - f. très forte'!$F$21,'Chenes+corm+merisier - f. forte'!AS39*'Chenes+corm+merisier - f. forte'!$F$21,'Charme - fertil.forte'!AS39*'Charme - fertil.forte'!$F$21,'Pin maritime - très forte'!AS39*'Pin maritime - très forte'!$F$21,'P. sylv.+laricio+séquoia -forte'!AS39*'P. sylv.+laricio+séquoia -forte'!$F$21,'Douglas - fertilité moyenne'!AS39*'Douglas - fertilité moyenne'!$F$21)</f>
        <v>0</v>
      </c>
      <c r="Z55" s="331">
        <f>SUM('Chenes+Alisier - f. très forte'!AT39*'Chenes+Alisier - f. très forte'!$F$21,'Chenes+corm+merisier - f. forte'!AT39*'Chenes+corm+merisier - f. forte'!$F$21,'Charme - fertil.forte'!AT39*'Charme - fertil.forte'!$F$21,'Pin maritime - très forte'!AT39*'Pin maritime - très forte'!$F$21,'P. sylv.+laricio+séquoia -forte'!AT39*'P. sylv.+laricio+séquoia -forte'!$F$21,'Douglas - fertilité moyenne'!AT39*'Douglas - fertilité moyenne'!$F$21)</f>
        <v>0</v>
      </c>
      <c r="AA55" s="178">
        <f t="shared" si="9"/>
        <v>0</v>
      </c>
      <c r="AB55" s="179">
        <f t="shared" si="8"/>
        <v>-214.77718328666467</v>
      </c>
      <c r="AC55" s="178"/>
      <c r="AD55" s="178"/>
    </row>
    <row r="56" spans="2:30">
      <c r="B56" s="271">
        <f>'Charme - fertil.forte'!B83</f>
        <v>26</v>
      </c>
      <c r="C56" s="225">
        <f>'Charme - fertil.forte'!C83</f>
        <v>7</v>
      </c>
      <c r="D56" s="226">
        <f>'Charme - fertil.forte'!D83</f>
        <v>0</v>
      </c>
      <c r="E56" s="221">
        <f>'Charme - fertil.forte'!E83</f>
        <v>0</v>
      </c>
      <c r="F56" s="221">
        <f>'Charme - fertil.forte'!F83</f>
        <v>0</v>
      </c>
      <c r="G56" s="227">
        <f>'Charme - fertil.forte'!G83</f>
        <v>1</v>
      </c>
      <c r="H56" s="210">
        <f>IFERROR(VLOOKUP($B$53,Tableau14582[],4,FALSE)*(1+$L$9)^$B56,0)</f>
        <v>50</v>
      </c>
      <c r="I56" s="211">
        <f>IFERROR(VLOOKUP($B$53,Tableau14582[],5,FALSE)*(1+$L$9)^$B56,0)</f>
        <v>13.75</v>
      </c>
      <c r="J56" s="211">
        <f>IFERROR(VLOOKUP($B$53,Tableau14582[],5,FALSE)*(1+$L$9)^$B56,0)</f>
        <v>13.75</v>
      </c>
      <c r="K56" s="212">
        <f>IFERROR(VLOOKUP($B$53,Tableau14582[],6,FALSE)*(1+$L$9)^$B56,0)</f>
        <v>10</v>
      </c>
      <c r="L56" s="263">
        <f t="shared" ref="L56:L67" si="13">(C56*D56*H56+C56*E56*I56+C56*F56*J56+C56*G56*K56)*L$53</f>
        <v>504</v>
      </c>
      <c r="N56" s="71">
        <v>35</v>
      </c>
      <c r="O56" s="239"/>
      <c r="P56" s="180"/>
      <c r="Q56" s="240">
        <f t="shared" si="11"/>
        <v>940.00249999999994</v>
      </c>
      <c r="R56" s="180">
        <f t="shared" si="5"/>
        <v>19.270051249999998</v>
      </c>
      <c r="S56" s="180">
        <f>$L$11*(1+$L$9)^N56*'Récapitulatif des résultats'!$I$11</f>
        <v>0</v>
      </c>
      <c r="T56" s="241"/>
      <c r="U56" s="180"/>
      <c r="V56" s="249">
        <f t="shared" si="7"/>
        <v>0</v>
      </c>
      <c r="W56" s="188">
        <f>SUM('Chenes+Alisier - f. très forte'!AQ40*'Chenes+Alisier - f. très forte'!$F$21,'Chenes+corm+merisier - f. forte'!AQ40*'Chenes+corm+merisier - f. forte'!$F$21,'Charme - fertil.forte'!AQ40*'Charme - fertil.forte'!$F$21,'Pin maritime - très forte'!AQ40*'Pin maritime - très forte'!$F$21,'P. sylv.+laricio+séquoia -forte'!AQ40*'P. sylv.+laricio+séquoia -forte'!$F$21,'Douglas - fertilité moyenne'!AQ40*'Douglas - fertilité moyenne'!$F$21)</f>
        <v>0</v>
      </c>
      <c r="X56" s="188">
        <f>SUM('Chenes+Alisier - f. très forte'!AR40*'Chenes+Alisier - f. très forte'!$F$21,'Chenes+corm+merisier - f. forte'!AR40*'Chenes+corm+merisier - f. forte'!$F$21,'Charme - fertil.forte'!AR40*'Charme - fertil.forte'!$F$21,'Pin maritime - très forte'!AR40*'Pin maritime - très forte'!$F$21,'P. sylv.+laricio+séquoia -forte'!AR40*'P. sylv.+laricio+séquoia -forte'!$F$21,'Douglas - fertilité moyenne'!AR40*'Douglas - fertilité moyenne'!$F$21)</f>
        <v>0</v>
      </c>
      <c r="Y56" s="188">
        <f>SUM('Chenes+Alisier - f. très forte'!AS40*'Chenes+Alisier - f. très forte'!$F$21,'Chenes+corm+merisier - f. forte'!AS40*'Chenes+corm+merisier - f. forte'!$F$21,'Charme - fertil.forte'!AS40*'Charme - fertil.forte'!$F$21,'Pin maritime - très forte'!AS40*'Pin maritime - très forte'!$F$21,'P. sylv.+laricio+séquoia -forte'!AS40*'P. sylv.+laricio+séquoia -forte'!$F$21,'Douglas - fertilité moyenne'!AS40*'Douglas - fertilité moyenne'!$F$21)</f>
        <v>0</v>
      </c>
      <c r="Z56" s="331">
        <f>SUM('Chenes+Alisier - f. très forte'!AT40*'Chenes+Alisier - f. très forte'!$F$21,'Chenes+corm+merisier - f. forte'!AT40*'Chenes+corm+merisier - f. forte'!$F$21,'Charme - fertil.forte'!AT40*'Charme - fertil.forte'!$F$21,'Pin maritime - très forte'!AT40*'Pin maritime - très forte'!$F$21,'P. sylv.+laricio+séquoia -forte'!AT40*'P. sylv.+laricio+séquoia -forte'!$F$21,'Douglas - fertilité moyenne'!AT40*'Douglas - fertilité moyenne'!$F$21)</f>
        <v>0</v>
      </c>
      <c r="AA56" s="178">
        <f t="shared" si="9"/>
        <v>0</v>
      </c>
      <c r="AB56" s="179">
        <f t="shared" si="8"/>
        <v>-205.52840505900926</v>
      </c>
      <c r="AC56" s="178"/>
      <c r="AD56" s="178"/>
    </row>
    <row r="57" spans="2:30">
      <c r="B57" s="271">
        <f>'Charme - fertil.forte'!B84</f>
        <v>31</v>
      </c>
      <c r="C57" s="225">
        <f>'Charme - fertil.forte'!C84</f>
        <v>28</v>
      </c>
      <c r="D57" s="226">
        <f>'Charme - fertil.forte'!D84</f>
        <v>0</v>
      </c>
      <c r="E57" s="221">
        <f>'Charme - fertil.forte'!E84</f>
        <v>0</v>
      </c>
      <c r="F57" s="221">
        <f>'Charme - fertil.forte'!F84</f>
        <v>0</v>
      </c>
      <c r="G57" s="227">
        <f>'Charme - fertil.forte'!G84</f>
        <v>1</v>
      </c>
      <c r="H57" s="210">
        <f>IFERROR(VLOOKUP($B$53,Tableau14582[],4,FALSE)*(1+$L$9)^$B57,0)</f>
        <v>50</v>
      </c>
      <c r="I57" s="211">
        <f>IFERROR(VLOOKUP($B$53,Tableau14582[],5,FALSE)*(1+$L$9)^$B57,0)</f>
        <v>13.75</v>
      </c>
      <c r="J57" s="211">
        <f>IFERROR(VLOOKUP($B$53,Tableau14582[],5,FALSE)*(1+$L$9)^$B57,0)</f>
        <v>13.75</v>
      </c>
      <c r="K57" s="212">
        <f>IFERROR(VLOOKUP($B$53,Tableau14582[],6,FALSE)*(1+$L$9)^$B57,0)</f>
        <v>10</v>
      </c>
      <c r="L57" s="263">
        <f t="shared" si="13"/>
        <v>2016</v>
      </c>
      <c r="N57" s="71">
        <v>36</v>
      </c>
      <c r="O57" s="239"/>
      <c r="P57" s="180"/>
      <c r="Q57" s="240">
        <f t="shared" si="11"/>
        <v>940.00249999999994</v>
      </c>
      <c r="R57" s="180">
        <f t="shared" si="5"/>
        <v>19.270051249999998</v>
      </c>
      <c r="S57" s="180">
        <f>$L$11*(1+$L$9)^N57*'Récapitulatif des résultats'!$I$11</f>
        <v>0</v>
      </c>
      <c r="T57" s="241"/>
      <c r="U57" s="180"/>
      <c r="V57" s="249">
        <f t="shared" si="7"/>
        <v>701.57500000000005</v>
      </c>
      <c r="W57" s="188">
        <f>SUM('Chenes+Alisier - f. très forte'!AQ41*'Chenes+Alisier - f. très forte'!$F$21,'Chenes+corm+merisier - f. forte'!AQ41*'Chenes+corm+merisier - f. forte'!$F$21,'Charme - fertil.forte'!AQ41*'Charme - fertil.forte'!$F$21,'Pin maritime - très forte'!AQ41*'Pin maritime - très forte'!$F$21,'P. sylv.+laricio+séquoia -forte'!AQ41*'P. sylv.+laricio+séquoia -forte'!$F$21,'Douglas - fertilité moyenne'!AQ41*'Douglas - fertilité moyenne'!$F$21)</f>
        <v>77.56</v>
      </c>
      <c r="X57" s="188">
        <f>SUM('Chenes+Alisier - f. très forte'!AR41*'Chenes+Alisier - f. très forte'!$F$21,'Chenes+corm+merisier - f. forte'!AR41*'Chenes+corm+merisier - f. forte'!$F$21,'Charme - fertil.forte'!AR41*'Charme - fertil.forte'!$F$21,'Pin maritime - très forte'!AR41*'Pin maritime - très forte'!$F$21,'P. sylv.+laricio+séquoia -forte'!AR41*'P. sylv.+laricio+séquoia -forte'!$F$21,'Douglas - fertilité moyenne'!AR41*'Douglas - fertilité moyenne'!$F$21)</f>
        <v>0</v>
      </c>
      <c r="Y57" s="188">
        <f>SUM('Chenes+Alisier - f. très forte'!AS41*'Chenes+Alisier - f. très forte'!$F$21,'Chenes+corm+merisier - f. forte'!AS41*'Chenes+corm+merisier - f. forte'!$F$21,'Charme - fertil.forte'!AS41*'Charme - fertil.forte'!$F$21,'Pin maritime - très forte'!AS41*'Pin maritime - très forte'!$F$21,'P. sylv.+laricio+séquoia -forte'!AS41*'P. sylv.+laricio+séquoia -forte'!$F$21,'Douglas - fertilité moyenne'!AS41*'Douglas - fertilité moyenne'!$F$21)</f>
        <v>0</v>
      </c>
      <c r="Z57" s="331">
        <f>SUM('Chenes+Alisier - f. très forte'!AT41*'Chenes+Alisier - f. très forte'!$F$21,'Chenes+corm+merisier - f. forte'!AT41*'Chenes+corm+merisier - f. forte'!$F$21,'Charme - fertil.forte'!AT41*'Charme - fertil.forte'!$F$21,'Pin maritime - très forte'!AT41*'Pin maritime - très forte'!$F$21,'P. sylv.+laricio+séquoia -forte'!AT41*'P. sylv.+laricio+séquoia -forte'!$F$21,'Douglas - fertilité moyenne'!AT41*'Douglas - fertilité moyenne'!$F$21)</f>
        <v>624.0150000000001</v>
      </c>
      <c r="AA57" s="178">
        <f t="shared" si="9"/>
        <v>30087.717135000003</v>
      </c>
      <c r="AB57" s="179">
        <f t="shared" si="8"/>
        <v>5972.1518052829842</v>
      </c>
      <c r="AC57" s="178"/>
      <c r="AD57" s="178"/>
    </row>
    <row r="58" spans="2:30">
      <c r="B58" s="271">
        <f>'Charme - fertil.forte'!B85</f>
        <v>36</v>
      </c>
      <c r="C58" s="225">
        <f>'Charme - fertil.forte'!C85</f>
        <v>28</v>
      </c>
      <c r="D58" s="226">
        <f>'Charme - fertil.forte'!D85</f>
        <v>0.2</v>
      </c>
      <c r="E58" s="221">
        <f>'Charme - fertil.forte'!E85</f>
        <v>0</v>
      </c>
      <c r="F58" s="221">
        <f>'Charme - fertil.forte'!F85</f>
        <v>0</v>
      </c>
      <c r="G58" s="227">
        <f>'Charme - fertil.forte'!G85</f>
        <v>0.8</v>
      </c>
      <c r="H58" s="210">
        <f>IFERROR(VLOOKUP($B$53,Tableau14582[],4,FALSE)*(1+$L$9)^$B58,0)</f>
        <v>50</v>
      </c>
      <c r="I58" s="211">
        <f>IFERROR(VLOOKUP($B$53,Tableau14582[],5,FALSE)*(1+$L$9)^$B58,0)</f>
        <v>13.75</v>
      </c>
      <c r="J58" s="211">
        <f>IFERROR(VLOOKUP($B$53,Tableau14582[],5,FALSE)*(1+$L$9)^$B58,0)</f>
        <v>13.75</v>
      </c>
      <c r="K58" s="212">
        <f>IFERROR(VLOOKUP($B$53,Tableau14582[],6,FALSE)*(1+$L$9)^$B58,0)</f>
        <v>10</v>
      </c>
      <c r="L58" s="263">
        <f t="shared" si="13"/>
        <v>3628.8</v>
      </c>
      <c r="N58" s="71">
        <v>37</v>
      </c>
      <c r="O58" s="239"/>
      <c r="P58" s="180"/>
      <c r="Q58" s="240">
        <f t="shared" si="11"/>
        <v>940.00249999999994</v>
      </c>
      <c r="R58" s="180">
        <f t="shared" si="5"/>
        <v>19.270051249999998</v>
      </c>
      <c r="S58" s="180">
        <f>$L$11*(1+$L$9)^N58*'Récapitulatif des résultats'!$I$11</f>
        <v>0</v>
      </c>
      <c r="T58" s="241"/>
      <c r="U58" s="180"/>
      <c r="V58" s="249">
        <f t="shared" si="7"/>
        <v>0</v>
      </c>
      <c r="W58" s="188">
        <f>SUM('Chenes+Alisier - f. très forte'!AQ42*'Chenes+Alisier - f. très forte'!$F$21,'Chenes+corm+merisier - f. forte'!AQ42*'Chenes+corm+merisier - f. forte'!$F$21,'Charme - fertil.forte'!AQ42*'Charme - fertil.forte'!$F$21,'Pin maritime - très forte'!AQ42*'Pin maritime - très forte'!$F$21,'P. sylv.+laricio+séquoia -forte'!AQ42*'P. sylv.+laricio+séquoia -forte'!$F$21,'Douglas - fertilité moyenne'!AQ42*'Douglas - fertilité moyenne'!$F$21)</f>
        <v>0</v>
      </c>
      <c r="X58" s="188">
        <f>SUM('Chenes+Alisier - f. très forte'!AR42*'Chenes+Alisier - f. très forte'!$F$21,'Chenes+corm+merisier - f. forte'!AR42*'Chenes+corm+merisier - f. forte'!$F$21,'Charme - fertil.forte'!AR42*'Charme - fertil.forte'!$F$21,'Pin maritime - très forte'!AR42*'Pin maritime - très forte'!$F$21,'P. sylv.+laricio+séquoia -forte'!AR42*'P. sylv.+laricio+séquoia -forte'!$F$21,'Douglas - fertilité moyenne'!AR42*'Douglas - fertilité moyenne'!$F$21)</f>
        <v>0</v>
      </c>
      <c r="Y58" s="188">
        <f>SUM('Chenes+Alisier - f. très forte'!AS42*'Chenes+Alisier - f. très forte'!$F$21,'Chenes+corm+merisier - f. forte'!AS42*'Chenes+corm+merisier - f. forte'!$F$21,'Charme - fertil.forte'!AS42*'Charme - fertil.forte'!$F$21,'Pin maritime - très forte'!AS42*'Pin maritime - très forte'!$F$21,'P. sylv.+laricio+séquoia -forte'!AS42*'P. sylv.+laricio+séquoia -forte'!$F$21,'Douglas - fertilité moyenne'!AS42*'Douglas - fertilité moyenne'!$F$21)</f>
        <v>0</v>
      </c>
      <c r="Z58" s="331">
        <f>SUM('Chenes+Alisier - f. très forte'!AT42*'Chenes+Alisier - f. très forte'!$F$21,'Chenes+corm+merisier - f. forte'!AT42*'Chenes+corm+merisier - f. forte'!$F$21,'Charme - fertil.forte'!AT42*'Charme - fertil.forte'!$F$21,'Pin maritime - très forte'!AT42*'Pin maritime - très forte'!$F$21,'P. sylv.+laricio+séquoia -forte'!AT42*'P. sylv.+laricio+séquoia -forte'!$F$21,'Douglas - fertilité moyenne'!AT42*'Douglas - fertilité moyenne'!$F$21)</f>
        <v>0</v>
      </c>
      <c r="AA58" s="178">
        <f t="shared" si="9"/>
        <v>0</v>
      </c>
      <c r="AB58" s="179">
        <f t="shared" si="8"/>
        <v>-188.2085163425831</v>
      </c>
      <c r="AC58" s="178"/>
      <c r="AD58" s="178"/>
    </row>
    <row r="59" spans="2:30">
      <c r="B59" s="271">
        <f>'Charme - fertil.forte'!B86</f>
        <v>41</v>
      </c>
      <c r="C59" s="225">
        <f>'Charme - fertil.forte'!C86</f>
        <v>28</v>
      </c>
      <c r="D59" s="226">
        <f>'Charme - fertil.forte'!D86</f>
        <v>0.3</v>
      </c>
      <c r="E59" s="221">
        <f>'Charme - fertil.forte'!E86</f>
        <v>0</v>
      </c>
      <c r="F59" s="221">
        <f>'Charme - fertil.forte'!F86</f>
        <v>0</v>
      </c>
      <c r="G59" s="227">
        <f>'Charme - fertil.forte'!G86</f>
        <v>0.7</v>
      </c>
      <c r="H59" s="210">
        <f>IFERROR(VLOOKUP($B$53,Tableau14582[],4,FALSE)*(1+$L$9)^$B59,0)</f>
        <v>50</v>
      </c>
      <c r="I59" s="211">
        <f>IFERROR(VLOOKUP($B$53,Tableau14582[],5,FALSE)*(1+$L$9)^$B59,0)</f>
        <v>13.75</v>
      </c>
      <c r="J59" s="211">
        <f>IFERROR(VLOOKUP($B$53,Tableau14582[],5,FALSE)*(1+$L$9)^$B59,0)</f>
        <v>13.75</v>
      </c>
      <c r="K59" s="212">
        <f>IFERROR(VLOOKUP($B$53,Tableau14582[],6,FALSE)*(1+$L$9)^$B59,0)</f>
        <v>10</v>
      </c>
      <c r="L59" s="263">
        <f t="shared" si="13"/>
        <v>4435.2</v>
      </c>
      <c r="N59" s="71">
        <v>38</v>
      </c>
      <c r="O59" s="239"/>
      <c r="P59" s="180"/>
      <c r="Q59" s="240">
        <f t="shared" ref="Q59:Q90" si="14">$L$13*(1+$L$9)^N59*$L$5</f>
        <v>940.00249999999994</v>
      </c>
      <c r="R59" s="180">
        <f t="shared" si="5"/>
        <v>19.270051249999998</v>
      </c>
      <c r="S59" s="180">
        <f>$L$11*(1+$L$9)^N59*'Récapitulatif des résultats'!$I$11</f>
        <v>0</v>
      </c>
      <c r="T59" s="241"/>
      <c r="U59" s="180"/>
      <c r="V59" s="249">
        <f t="shared" si="7"/>
        <v>0</v>
      </c>
      <c r="W59" s="188">
        <f>SUM('Chenes+Alisier - f. très forte'!AQ43*'Chenes+Alisier - f. très forte'!$F$21,'Chenes+corm+merisier - f. forte'!AQ43*'Chenes+corm+merisier - f. forte'!$F$21,'Charme - fertil.forte'!AQ43*'Charme - fertil.forte'!$F$21,'Pin maritime - très forte'!AQ43*'Pin maritime - très forte'!$F$21,'P. sylv.+laricio+séquoia -forte'!AQ43*'P. sylv.+laricio+séquoia -forte'!$F$21,'Douglas - fertilité moyenne'!AQ43*'Douglas - fertilité moyenne'!$F$21)</f>
        <v>0</v>
      </c>
      <c r="X59" s="188">
        <f>SUM('Chenes+Alisier - f. très forte'!AR43*'Chenes+Alisier - f. très forte'!$F$21,'Chenes+corm+merisier - f. forte'!AR43*'Chenes+corm+merisier - f. forte'!$F$21,'Charme - fertil.forte'!AR43*'Charme - fertil.forte'!$F$21,'Pin maritime - très forte'!AR43*'Pin maritime - très forte'!$F$21,'P. sylv.+laricio+séquoia -forte'!AR43*'P. sylv.+laricio+séquoia -forte'!$F$21,'Douglas - fertilité moyenne'!AR43*'Douglas - fertilité moyenne'!$F$21)</f>
        <v>0</v>
      </c>
      <c r="Y59" s="188">
        <f>SUM('Chenes+Alisier - f. très forte'!AS43*'Chenes+Alisier - f. très forte'!$F$21,'Chenes+corm+merisier - f. forte'!AS43*'Chenes+corm+merisier - f. forte'!$F$21,'Charme - fertil.forte'!AS43*'Charme - fertil.forte'!$F$21,'Pin maritime - très forte'!AS43*'Pin maritime - très forte'!$F$21,'P. sylv.+laricio+séquoia -forte'!AS43*'P. sylv.+laricio+séquoia -forte'!$F$21,'Douglas - fertilité moyenne'!AS43*'Douglas - fertilité moyenne'!$F$21)</f>
        <v>0</v>
      </c>
      <c r="Z59" s="331">
        <f>SUM('Chenes+Alisier - f. très forte'!AT43*'Chenes+Alisier - f. très forte'!$F$21,'Chenes+corm+merisier - f. forte'!AT43*'Chenes+corm+merisier - f. forte'!$F$21,'Charme - fertil.forte'!AT43*'Charme - fertil.forte'!$F$21,'Pin maritime - très forte'!AT43*'Pin maritime - très forte'!$F$21,'P. sylv.+laricio+séquoia -forte'!AT43*'P. sylv.+laricio+séquoia -forte'!$F$21,'Douglas - fertilité moyenne'!AT43*'Douglas - fertilité moyenne'!$F$21)</f>
        <v>0</v>
      </c>
      <c r="AA59" s="178">
        <f t="shared" si="9"/>
        <v>0</v>
      </c>
      <c r="AB59" s="179">
        <f t="shared" si="8"/>
        <v>-180.1038433900317</v>
      </c>
      <c r="AC59" s="178"/>
      <c r="AD59" s="178"/>
    </row>
    <row r="60" spans="2:30">
      <c r="B60" s="271">
        <f>'Charme - fertil.forte'!B87</f>
        <v>46</v>
      </c>
      <c r="C60" s="225">
        <f>'Charme - fertil.forte'!C87</f>
        <v>28</v>
      </c>
      <c r="D60" s="226">
        <f>'Charme - fertil.forte'!D87</f>
        <v>0.4</v>
      </c>
      <c r="E60" s="221">
        <f>'Charme - fertil.forte'!E87</f>
        <v>0</v>
      </c>
      <c r="F60" s="221">
        <f>'Charme - fertil.forte'!F87</f>
        <v>0</v>
      </c>
      <c r="G60" s="227">
        <f>'Charme - fertil.forte'!G87</f>
        <v>0.6</v>
      </c>
      <c r="H60" s="210">
        <f>IFERROR(VLOOKUP($B$53,Tableau14582[],4,FALSE)*(1+$L$9)^$B60,0)</f>
        <v>50</v>
      </c>
      <c r="I60" s="211">
        <f>IFERROR(VLOOKUP($B$53,Tableau14582[],5,FALSE)*(1+$L$9)^$B60,0)</f>
        <v>13.75</v>
      </c>
      <c r="J60" s="211">
        <f>IFERROR(VLOOKUP($B$53,Tableau14582[],5,FALSE)*(1+$L$9)^$B60,0)</f>
        <v>13.75</v>
      </c>
      <c r="K60" s="212">
        <f>IFERROR(VLOOKUP($B$53,Tableau14582[],6,FALSE)*(1+$L$9)^$B60,0)</f>
        <v>10</v>
      </c>
      <c r="L60" s="263">
        <f t="shared" si="13"/>
        <v>5241.6000000000004</v>
      </c>
      <c r="N60" s="71">
        <v>39</v>
      </c>
      <c r="O60" s="239"/>
      <c r="P60" s="180"/>
      <c r="Q60" s="240">
        <f t="shared" si="14"/>
        <v>940.00249999999994</v>
      </c>
      <c r="R60" s="180">
        <f t="shared" si="5"/>
        <v>19.270051249999998</v>
      </c>
      <c r="S60" s="180">
        <f>$L$11*(1+$L$9)^N60*'Récapitulatif des résultats'!$I$11</f>
        <v>0</v>
      </c>
      <c r="T60" s="241"/>
      <c r="U60" s="180"/>
      <c r="V60" s="249">
        <f t="shared" si="7"/>
        <v>0</v>
      </c>
      <c r="W60" s="188">
        <f>SUM('Chenes+Alisier - f. très forte'!AQ44*'Chenes+Alisier - f. très forte'!$F$21,'Chenes+corm+merisier - f. forte'!AQ44*'Chenes+corm+merisier - f. forte'!$F$21,'Charme - fertil.forte'!AQ44*'Charme - fertil.forte'!$F$21,'Pin maritime - très forte'!AQ44*'Pin maritime - très forte'!$F$21,'P. sylv.+laricio+séquoia -forte'!AQ44*'P. sylv.+laricio+séquoia -forte'!$F$21,'Douglas - fertilité moyenne'!AQ44*'Douglas - fertilité moyenne'!$F$21)</f>
        <v>0</v>
      </c>
      <c r="X60" s="188">
        <f>SUM('Chenes+Alisier - f. très forte'!AR44*'Chenes+Alisier - f. très forte'!$F$21,'Chenes+corm+merisier - f. forte'!AR44*'Chenes+corm+merisier - f. forte'!$F$21,'Charme - fertil.forte'!AR44*'Charme - fertil.forte'!$F$21,'Pin maritime - très forte'!AR44*'Pin maritime - très forte'!$F$21,'P. sylv.+laricio+séquoia -forte'!AR44*'P. sylv.+laricio+séquoia -forte'!$F$21,'Douglas - fertilité moyenne'!AR44*'Douglas - fertilité moyenne'!$F$21)</f>
        <v>0</v>
      </c>
      <c r="Y60" s="188">
        <f>SUM('Chenes+Alisier - f. très forte'!AS44*'Chenes+Alisier - f. très forte'!$F$21,'Chenes+corm+merisier - f. forte'!AS44*'Chenes+corm+merisier - f. forte'!$F$21,'Charme - fertil.forte'!AS44*'Charme - fertil.forte'!$F$21,'Pin maritime - très forte'!AS44*'Pin maritime - très forte'!$F$21,'P. sylv.+laricio+séquoia -forte'!AS44*'P. sylv.+laricio+séquoia -forte'!$F$21,'Douglas - fertilité moyenne'!AS44*'Douglas - fertilité moyenne'!$F$21)</f>
        <v>0</v>
      </c>
      <c r="Z60" s="331">
        <f>SUM('Chenes+Alisier - f. très forte'!AT44*'Chenes+Alisier - f. très forte'!$F$21,'Chenes+corm+merisier - f. forte'!AT44*'Chenes+corm+merisier - f. forte'!$F$21,'Charme - fertil.forte'!AT44*'Charme - fertil.forte'!$F$21,'Pin maritime - très forte'!AT44*'Pin maritime - très forte'!$F$21,'P. sylv.+laricio+séquoia -forte'!AT44*'P. sylv.+laricio+séquoia -forte'!$F$21,'Douglas - fertilité moyenne'!AT44*'Douglas - fertilité moyenne'!$F$21)</f>
        <v>0</v>
      </c>
      <c r="AA60" s="178">
        <f t="shared" si="9"/>
        <v>0</v>
      </c>
      <c r="AB60" s="179">
        <f t="shared" si="8"/>
        <v>-172.3481754928533</v>
      </c>
      <c r="AC60" s="178"/>
      <c r="AD60" s="178"/>
    </row>
    <row r="61" spans="2:30">
      <c r="B61" s="271">
        <f>'Charme - fertil.forte'!B88</f>
        <v>51</v>
      </c>
      <c r="C61" s="225">
        <f>'Charme - fertil.forte'!C88</f>
        <v>28</v>
      </c>
      <c r="D61" s="226">
        <f>'Charme - fertil.forte'!D88</f>
        <v>0.5</v>
      </c>
      <c r="E61" s="221">
        <f>'Charme - fertil.forte'!E88</f>
        <v>0</v>
      </c>
      <c r="F61" s="221">
        <f>'Charme - fertil.forte'!F88</f>
        <v>0</v>
      </c>
      <c r="G61" s="227">
        <f>'Charme - fertil.forte'!G88</f>
        <v>0.5</v>
      </c>
      <c r="H61" s="210">
        <f>IFERROR(VLOOKUP($B$53,Tableau14582[],4,FALSE)*(1+$L$9)^$B61,0)</f>
        <v>50</v>
      </c>
      <c r="I61" s="211">
        <f>IFERROR(VLOOKUP($B$53,Tableau14582[],5,FALSE)*(1+$L$9)^$B61,0)</f>
        <v>13.75</v>
      </c>
      <c r="J61" s="211">
        <f>IFERROR(VLOOKUP($B$53,Tableau14582[],5,FALSE)*(1+$L$9)^$B61,0)</f>
        <v>13.75</v>
      </c>
      <c r="K61" s="212">
        <f>IFERROR(VLOOKUP($B$53,Tableau14582[],6,FALSE)*(1+$L$9)^$B61,0)</f>
        <v>10</v>
      </c>
      <c r="L61" s="263">
        <f t="shared" si="13"/>
        <v>6048</v>
      </c>
      <c r="N61" s="71">
        <v>40</v>
      </c>
      <c r="O61" s="239"/>
      <c r="P61" s="180"/>
      <c r="Q61" s="240">
        <f t="shared" si="14"/>
        <v>940.00249999999994</v>
      </c>
      <c r="R61" s="180">
        <f t="shared" si="5"/>
        <v>19.270051249999998</v>
      </c>
      <c r="S61" s="180">
        <f>$L$11*(1+$L$9)^N61*'Récapitulatif des résultats'!$I$11</f>
        <v>0</v>
      </c>
      <c r="T61" s="241"/>
      <c r="U61" s="180"/>
      <c r="V61" s="249">
        <f t="shared" si="7"/>
        <v>0</v>
      </c>
      <c r="W61" s="188">
        <f>SUM('Chenes+Alisier - f. très forte'!AQ45*'Chenes+Alisier - f. très forte'!$F$21,'Chenes+corm+merisier - f. forte'!AQ45*'Chenes+corm+merisier - f. forte'!$F$21,'Charme - fertil.forte'!AQ45*'Charme - fertil.forte'!$F$21,'Pin maritime - très forte'!AQ45*'Pin maritime - très forte'!$F$21,'P. sylv.+laricio+séquoia -forte'!AQ45*'P. sylv.+laricio+séquoia -forte'!$F$21,'Douglas - fertilité moyenne'!AQ45*'Douglas - fertilité moyenne'!$F$21)</f>
        <v>0</v>
      </c>
      <c r="X61" s="188">
        <f>SUM('Chenes+Alisier - f. très forte'!AR45*'Chenes+Alisier - f. très forte'!$F$21,'Chenes+corm+merisier - f. forte'!AR45*'Chenes+corm+merisier - f. forte'!$F$21,'Charme - fertil.forte'!AR45*'Charme - fertil.forte'!$F$21,'Pin maritime - très forte'!AR45*'Pin maritime - très forte'!$F$21,'P. sylv.+laricio+séquoia -forte'!AR45*'P. sylv.+laricio+séquoia -forte'!$F$21,'Douglas - fertilité moyenne'!AR45*'Douglas - fertilité moyenne'!$F$21)</f>
        <v>0</v>
      </c>
      <c r="Y61" s="188">
        <f>SUM('Chenes+Alisier - f. très forte'!AS45*'Chenes+Alisier - f. très forte'!$F$21,'Chenes+corm+merisier - f. forte'!AS45*'Chenes+corm+merisier - f. forte'!$F$21,'Charme - fertil.forte'!AS45*'Charme - fertil.forte'!$F$21,'Pin maritime - très forte'!AS45*'Pin maritime - très forte'!$F$21,'P. sylv.+laricio+séquoia -forte'!AS45*'P. sylv.+laricio+séquoia -forte'!$F$21,'Douglas - fertilité moyenne'!AS45*'Douglas - fertilité moyenne'!$F$21)</f>
        <v>0</v>
      </c>
      <c r="Z61" s="331">
        <f>SUM('Chenes+Alisier - f. très forte'!AT45*'Chenes+Alisier - f. très forte'!$F$21,'Chenes+corm+merisier - f. forte'!AT45*'Chenes+corm+merisier - f. forte'!$F$21,'Charme - fertil.forte'!AT45*'Charme - fertil.forte'!$F$21,'Pin maritime - très forte'!AT45*'Pin maritime - très forte'!$F$21,'P. sylv.+laricio+séquoia -forte'!AT45*'P. sylv.+laricio+séquoia -forte'!$F$21,'Douglas - fertilité moyenne'!AT45*'Douglas - fertilité moyenne'!$F$21)</f>
        <v>0</v>
      </c>
      <c r="AA61" s="178">
        <f t="shared" si="9"/>
        <v>0</v>
      </c>
      <c r="AB61" s="179">
        <f t="shared" si="8"/>
        <v>-164.9264837252185</v>
      </c>
      <c r="AC61" s="178"/>
      <c r="AD61" s="178"/>
    </row>
    <row r="62" spans="2:30">
      <c r="B62" s="271">
        <f>'Charme - fertil.forte'!B89</f>
        <v>56</v>
      </c>
      <c r="C62" s="225">
        <f>'Charme - fertil.forte'!C89</f>
        <v>28</v>
      </c>
      <c r="D62" s="226">
        <f>'Charme - fertil.forte'!D89</f>
        <v>0.6</v>
      </c>
      <c r="E62" s="221">
        <f>'Charme - fertil.forte'!E89</f>
        <v>0</v>
      </c>
      <c r="F62" s="221">
        <f>'Charme - fertil.forte'!F89</f>
        <v>0</v>
      </c>
      <c r="G62" s="227">
        <f>'Charme - fertil.forte'!G89</f>
        <v>0.4</v>
      </c>
      <c r="H62" s="210">
        <f>IFERROR(VLOOKUP($B$53,Tableau14582[],4,FALSE)*(1+$L$9)^$B62,0)</f>
        <v>50</v>
      </c>
      <c r="I62" s="211">
        <f>IFERROR(VLOOKUP($B$53,Tableau14582[],5,FALSE)*(1+$L$9)^$B62,0)</f>
        <v>13.75</v>
      </c>
      <c r="J62" s="211">
        <f>IFERROR(VLOOKUP($B$53,Tableau14582[],5,FALSE)*(1+$L$9)^$B62,0)</f>
        <v>13.75</v>
      </c>
      <c r="K62" s="212">
        <f>IFERROR(VLOOKUP($B$53,Tableau14582[],6,FALSE)*(1+$L$9)^$B62,0)</f>
        <v>10</v>
      </c>
      <c r="L62" s="263">
        <f t="shared" si="13"/>
        <v>6854.4000000000005</v>
      </c>
      <c r="N62" s="71">
        <v>41</v>
      </c>
      <c r="O62" s="239"/>
      <c r="P62" s="180"/>
      <c r="Q62" s="240">
        <f t="shared" si="14"/>
        <v>940.00249999999994</v>
      </c>
      <c r="R62" s="180">
        <f t="shared" si="5"/>
        <v>19.270051249999998</v>
      </c>
      <c r="S62" s="180">
        <f>$L$11*(1+$L$9)^N62*'Récapitulatif des résultats'!$I$11</f>
        <v>0</v>
      </c>
      <c r="T62" s="241"/>
      <c r="U62" s="180"/>
      <c r="V62" s="249">
        <f t="shared" si="7"/>
        <v>701.57500000000005</v>
      </c>
      <c r="W62" s="188">
        <f>SUM('Chenes+Alisier - f. très forte'!AQ46*'Chenes+Alisier - f. très forte'!$F$21,'Chenes+corm+merisier - f. forte'!AQ46*'Chenes+corm+merisier - f. forte'!$F$21,'Charme - fertil.forte'!AQ46*'Charme - fertil.forte'!$F$21,'Pin maritime - très forte'!AQ46*'Pin maritime - très forte'!$F$21,'P. sylv.+laricio+séquoia -forte'!AQ46*'P. sylv.+laricio+séquoia -forte'!$F$21,'Douglas - fertilité moyenne'!AQ46*'Douglas - fertilité moyenne'!$F$21)</f>
        <v>135.99250000000001</v>
      </c>
      <c r="X62" s="188">
        <f>SUM('Chenes+Alisier - f. très forte'!AR46*'Chenes+Alisier - f. très forte'!$F$21,'Chenes+corm+merisier - f. forte'!AR46*'Chenes+corm+merisier - f. forte'!$F$21,'Charme - fertil.forte'!AR46*'Charme - fertil.forte'!$F$21,'Pin maritime - très forte'!AR46*'Pin maritime - très forte'!$F$21,'P. sylv.+laricio+séquoia -forte'!AR46*'P. sylv.+laricio+séquoia -forte'!$F$21,'Douglas - fertilité moyenne'!AR46*'Douglas - fertilité moyenne'!$F$21)</f>
        <v>0</v>
      </c>
      <c r="Y62" s="188">
        <f>SUM('Chenes+Alisier - f. très forte'!AS46*'Chenes+Alisier - f. très forte'!$F$21,'Chenes+corm+merisier - f. forte'!AS46*'Chenes+corm+merisier - f. forte'!$F$21,'Charme - fertil.forte'!AS46*'Charme - fertil.forte'!$F$21,'Pin maritime - très forte'!AS46*'Pin maritime - très forte'!$F$21,'P. sylv.+laricio+séquoia -forte'!AS46*'P. sylv.+laricio+séquoia -forte'!$F$21,'Douglas - fertilité moyenne'!AS46*'Douglas - fertilité moyenne'!$F$21)</f>
        <v>0</v>
      </c>
      <c r="Z62" s="331">
        <f>SUM('Chenes+Alisier - f. très forte'!AT46*'Chenes+Alisier - f. très forte'!$F$21,'Chenes+corm+merisier - f. forte'!AT46*'Chenes+corm+merisier - f. forte'!$F$21,'Charme - fertil.forte'!AT46*'Charme - fertil.forte'!$F$21,'Pin maritime - très forte'!AT46*'Pin maritime - très forte'!$F$21,'P. sylv.+laricio+séquoia -forte'!AT46*'P. sylv.+laricio+séquoia -forte'!$F$21,'Douglas - fertilité moyenne'!AT46*'Douglas - fertilité moyenne'!$F$21)</f>
        <v>565.58249999999998</v>
      </c>
      <c r="AA62" s="178">
        <f t="shared" si="9"/>
        <v>39078.009057500007</v>
      </c>
      <c r="AB62" s="179">
        <f t="shared" si="8"/>
        <v>6271.4878991510095</v>
      </c>
      <c r="AC62" s="178"/>
      <c r="AD62" s="178"/>
    </row>
    <row r="63" spans="2:30">
      <c r="B63" s="271">
        <f>'Charme - fertil.forte'!B90</f>
        <v>61</v>
      </c>
      <c r="C63" s="225">
        <f>'Charme - fertil.forte'!C90</f>
        <v>28</v>
      </c>
      <c r="D63" s="226">
        <f>'Charme - fertil.forte'!D90</f>
        <v>0.7</v>
      </c>
      <c r="E63" s="221">
        <f>'Charme - fertil.forte'!E90</f>
        <v>0</v>
      </c>
      <c r="F63" s="221">
        <f>'Charme - fertil.forte'!F90</f>
        <v>0</v>
      </c>
      <c r="G63" s="227">
        <f>'Charme - fertil.forte'!G90</f>
        <v>0.30000000000000004</v>
      </c>
      <c r="H63" s="210">
        <f>IFERROR(VLOOKUP($B$53,Tableau14582[],4,FALSE)*(1+$L$9)^$B63,0)</f>
        <v>50</v>
      </c>
      <c r="I63" s="211">
        <f>IFERROR(VLOOKUP($B$53,Tableau14582[],5,FALSE)*(1+$L$9)^$B63,0)</f>
        <v>13.75</v>
      </c>
      <c r="J63" s="211">
        <f>IFERROR(VLOOKUP($B$53,Tableau14582[],5,FALSE)*(1+$L$9)^$B63,0)</f>
        <v>13.75</v>
      </c>
      <c r="K63" s="212">
        <f>IFERROR(VLOOKUP($B$53,Tableau14582[],6,FALSE)*(1+$L$9)^$B63,0)</f>
        <v>10</v>
      </c>
      <c r="L63" s="263">
        <f t="shared" si="13"/>
        <v>7660.8</v>
      </c>
      <c r="N63" s="71">
        <v>42</v>
      </c>
      <c r="O63" s="239"/>
      <c r="P63" s="180"/>
      <c r="Q63" s="240">
        <f t="shared" si="14"/>
        <v>940.00249999999994</v>
      </c>
      <c r="R63" s="180">
        <f t="shared" si="5"/>
        <v>19.270051249999998</v>
      </c>
      <c r="S63" s="180">
        <f>$L$11*(1+$L$9)^N63*'Récapitulatif des résultats'!$I$11</f>
        <v>0</v>
      </c>
      <c r="T63" s="241"/>
      <c r="U63" s="180"/>
      <c r="V63" s="249">
        <f t="shared" si="7"/>
        <v>0</v>
      </c>
      <c r="W63" s="188">
        <f>SUM('Chenes+Alisier - f. très forte'!AQ47*'Chenes+Alisier - f. très forte'!$F$21,'Chenes+corm+merisier - f. forte'!AQ47*'Chenes+corm+merisier - f. forte'!$F$21,'Charme - fertil.forte'!AQ47*'Charme - fertil.forte'!$F$21,'Pin maritime - très forte'!AQ47*'Pin maritime - très forte'!$F$21,'P. sylv.+laricio+séquoia -forte'!AQ47*'P. sylv.+laricio+séquoia -forte'!$F$21,'Douglas - fertilité moyenne'!AQ47*'Douglas - fertilité moyenne'!$F$21)</f>
        <v>0</v>
      </c>
      <c r="X63" s="188">
        <f>SUM('Chenes+Alisier - f. très forte'!AR47*'Chenes+Alisier - f. très forte'!$F$21,'Chenes+corm+merisier - f. forte'!AR47*'Chenes+corm+merisier - f. forte'!$F$21,'Charme - fertil.forte'!AR47*'Charme - fertil.forte'!$F$21,'Pin maritime - très forte'!AR47*'Pin maritime - très forte'!$F$21,'P. sylv.+laricio+séquoia -forte'!AR47*'P. sylv.+laricio+séquoia -forte'!$F$21,'Douglas - fertilité moyenne'!AR47*'Douglas - fertilité moyenne'!$F$21)</f>
        <v>0</v>
      </c>
      <c r="Y63" s="188">
        <f>SUM('Chenes+Alisier - f. très forte'!AS47*'Chenes+Alisier - f. très forte'!$F$21,'Chenes+corm+merisier - f. forte'!AS47*'Chenes+corm+merisier - f. forte'!$F$21,'Charme - fertil.forte'!AS47*'Charme - fertil.forte'!$F$21,'Pin maritime - très forte'!AS47*'Pin maritime - très forte'!$F$21,'P. sylv.+laricio+séquoia -forte'!AS47*'P. sylv.+laricio+séquoia -forte'!$F$21,'Douglas - fertilité moyenne'!AS47*'Douglas - fertilité moyenne'!$F$21)</f>
        <v>0</v>
      </c>
      <c r="Z63" s="331">
        <f>SUM('Chenes+Alisier - f. très forte'!AT47*'Chenes+Alisier - f. très forte'!$F$21,'Chenes+corm+merisier - f. forte'!AT47*'Chenes+corm+merisier - f. forte'!$F$21,'Charme - fertil.forte'!AT47*'Charme - fertil.forte'!$F$21,'Pin maritime - très forte'!AT47*'Pin maritime - très forte'!$F$21,'P. sylv.+laricio+séquoia -forte'!AT47*'P. sylv.+laricio+séquoia -forte'!$F$21,'Douglas - fertilité moyenne'!AT47*'Douglas - fertilité moyenne'!$F$21)</f>
        <v>0</v>
      </c>
      <c r="AA63" s="178">
        <f t="shared" si="9"/>
        <v>0</v>
      </c>
      <c r="AB63" s="179">
        <f t="shared" si="8"/>
        <v>-151.02812089944695</v>
      </c>
      <c r="AC63" s="178"/>
      <c r="AD63" s="178"/>
    </row>
    <row r="64" spans="2:30">
      <c r="B64" s="271">
        <f>'Charme - fertil.forte'!B91</f>
        <v>66</v>
      </c>
      <c r="C64" s="225">
        <f>'Charme - fertil.forte'!C91</f>
        <v>28</v>
      </c>
      <c r="D64" s="226">
        <f>'Charme - fertil.forte'!D91</f>
        <v>0.8</v>
      </c>
      <c r="E64" s="221">
        <f>'Charme - fertil.forte'!E91</f>
        <v>0</v>
      </c>
      <c r="F64" s="221">
        <f>'Charme - fertil.forte'!F91</f>
        <v>0</v>
      </c>
      <c r="G64" s="227">
        <f>'Charme - fertil.forte'!G91</f>
        <v>0.19999999999999996</v>
      </c>
      <c r="H64" s="210">
        <f>IFERROR(VLOOKUP($B$53,Tableau14582[],4,FALSE)*(1+$L$9)^$B64,0)</f>
        <v>50</v>
      </c>
      <c r="I64" s="211">
        <f>IFERROR(VLOOKUP($B$53,Tableau14582[],5,FALSE)*(1+$L$9)^$B64,0)</f>
        <v>13.75</v>
      </c>
      <c r="J64" s="211">
        <f>IFERROR(VLOOKUP($B$53,Tableau14582[],5,FALSE)*(1+$L$9)^$B64,0)</f>
        <v>13.75</v>
      </c>
      <c r="K64" s="212">
        <f>IFERROR(VLOOKUP($B$53,Tableau14582[],6,FALSE)*(1+$L$9)^$B64,0)</f>
        <v>10</v>
      </c>
      <c r="L64" s="263">
        <f t="shared" si="13"/>
        <v>8467.2000000000007</v>
      </c>
      <c r="N64" s="71">
        <v>43</v>
      </c>
      <c r="O64" s="239"/>
      <c r="P64" s="180"/>
      <c r="Q64" s="240">
        <f t="shared" si="14"/>
        <v>940.00249999999994</v>
      </c>
      <c r="R64" s="180">
        <f t="shared" si="5"/>
        <v>19.270051249999998</v>
      </c>
      <c r="S64" s="180">
        <f>$L$11*(1+$L$9)^N64*'Récapitulatif des résultats'!$I$11</f>
        <v>0</v>
      </c>
      <c r="T64" s="241"/>
      <c r="U64" s="180"/>
      <c r="V64" s="249">
        <f t="shared" si="7"/>
        <v>0</v>
      </c>
      <c r="W64" s="188">
        <f>SUM('Chenes+Alisier - f. très forte'!AQ48*'Chenes+Alisier - f. très forte'!$F$21,'Chenes+corm+merisier - f. forte'!AQ48*'Chenes+corm+merisier - f. forte'!$F$21,'Charme - fertil.forte'!AQ48*'Charme - fertil.forte'!$F$21,'Pin maritime - très forte'!AQ48*'Pin maritime - très forte'!$F$21,'P. sylv.+laricio+séquoia -forte'!AQ48*'P. sylv.+laricio+séquoia -forte'!$F$21,'Douglas - fertilité moyenne'!AQ48*'Douglas - fertilité moyenne'!$F$21)</f>
        <v>0</v>
      </c>
      <c r="X64" s="188">
        <f>SUM('Chenes+Alisier - f. très forte'!AR48*'Chenes+Alisier - f. très forte'!$F$21,'Chenes+corm+merisier - f. forte'!AR48*'Chenes+corm+merisier - f. forte'!$F$21,'Charme - fertil.forte'!AR48*'Charme - fertil.forte'!$F$21,'Pin maritime - très forte'!AR48*'Pin maritime - très forte'!$F$21,'P. sylv.+laricio+séquoia -forte'!AR48*'P. sylv.+laricio+séquoia -forte'!$F$21,'Douglas - fertilité moyenne'!AR48*'Douglas - fertilité moyenne'!$F$21)</f>
        <v>0</v>
      </c>
      <c r="Y64" s="188">
        <f>SUM('Chenes+Alisier - f. très forte'!AS48*'Chenes+Alisier - f. très forte'!$F$21,'Chenes+corm+merisier - f. forte'!AS48*'Chenes+corm+merisier - f. forte'!$F$21,'Charme - fertil.forte'!AS48*'Charme - fertil.forte'!$F$21,'Pin maritime - très forte'!AS48*'Pin maritime - très forte'!$F$21,'P. sylv.+laricio+séquoia -forte'!AS48*'P. sylv.+laricio+séquoia -forte'!$F$21,'Douglas - fertilité moyenne'!AS48*'Douglas - fertilité moyenne'!$F$21)</f>
        <v>0</v>
      </c>
      <c r="Z64" s="331">
        <f>SUM('Chenes+Alisier - f. très forte'!AT48*'Chenes+Alisier - f. très forte'!$F$21,'Chenes+corm+merisier - f. forte'!AT48*'Chenes+corm+merisier - f. forte'!$F$21,'Charme - fertil.forte'!AT48*'Charme - fertil.forte'!$F$21,'Pin maritime - très forte'!AT48*'Pin maritime - très forte'!$F$21,'P. sylv.+laricio+séquoia -forte'!AT48*'P. sylv.+laricio+séquoia -forte'!$F$21,'Douglas - fertilité moyenne'!AT48*'Douglas - fertilité moyenne'!$F$21)</f>
        <v>0</v>
      </c>
      <c r="AA64" s="178">
        <f t="shared" si="9"/>
        <v>0</v>
      </c>
      <c r="AB64" s="179">
        <f t="shared" si="8"/>
        <v>-144.52451760712626</v>
      </c>
      <c r="AC64" s="178"/>
      <c r="AD64" s="178"/>
    </row>
    <row r="65" spans="2:30">
      <c r="B65" s="271">
        <f>'Charme - fertil.forte'!B92</f>
        <v>71</v>
      </c>
      <c r="C65" s="225">
        <f>'Charme - fertil.forte'!C92</f>
        <v>28</v>
      </c>
      <c r="D65" s="226">
        <f>'Charme - fertil.forte'!D92</f>
        <v>0.9</v>
      </c>
      <c r="E65" s="221">
        <f>'Charme - fertil.forte'!E92</f>
        <v>0</v>
      </c>
      <c r="F65" s="221">
        <f>'Charme - fertil.forte'!F92</f>
        <v>0</v>
      </c>
      <c r="G65" s="227">
        <f>'Charme - fertil.forte'!G92</f>
        <v>9.9999999999999978E-2</v>
      </c>
      <c r="H65" s="210">
        <f>IFERROR(VLOOKUP($B$53,Tableau14582[],4,FALSE)*(1+$L$9)^$B65,0)</f>
        <v>50</v>
      </c>
      <c r="I65" s="211">
        <f>IFERROR(VLOOKUP($B$53,Tableau14582[],5,FALSE)*(1+$L$9)^$B65,0)</f>
        <v>13.75</v>
      </c>
      <c r="J65" s="211">
        <f>IFERROR(VLOOKUP($B$53,Tableau14582[],5,FALSE)*(1+$L$9)^$B65,0)</f>
        <v>13.75</v>
      </c>
      <c r="K65" s="212">
        <f>IFERROR(VLOOKUP($B$53,Tableau14582[],6,FALSE)*(1+$L$9)^$B65,0)</f>
        <v>10</v>
      </c>
      <c r="L65" s="263">
        <f t="shared" si="13"/>
        <v>9273.6</v>
      </c>
      <c r="N65" s="71">
        <v>44</v>
      </c>
      <c r="O65" s="239"/>
      <c r="P65" s="180"/>
      <c r="Q65" s="240">
        <f t="shared" si="14"/>
        <v>940.00249999999994</v>
      </c>
      <c r="R65" s="180">
        <f t="shared" si="5"/>
        <v>19.270051249999998</v>
      </c>
      <c r="S65" s="180">
        <f>$L$11*(1+$L$9)^N65*'Récapitulatif des résultats'!$I$11</f>
        <v>0</v>
      </c>
      <c r="T65" s="241"/>
      <c r="U65" s="180"/>
      <c r="V65" s="249">
        <f t="shared" si="7"/>
        <v>0</v>
      </c>
      <c r="W65" s="188">
        <f>SUM('Chenes+Alisier - f. très forte'!AQ49*'Chenes+Alisier - f. très forte'!$F$21,'Chenes+corm+merisier - f. forte'!AQ49*'Chenes+corm+merisier - f. forte'!$F$21,'Charme - fertil.forte'!AQ49*'Charme - fertil.forte'!$F$21,'Pin maritime - très forte'!AQ49*'Pin maritime - très forte'!$F$21,'P. sylv.+laricio+séquoia -forte'!AQ49*'P. sylv.+laricio+séquoia -forte'!$F$21,'Douglas - fertilité moyenne'!AQ49*'Douglas - fertilité moyenne'!$F$21)</f>
        <v>0</v>
      </c>
      <c r="X65" s="188">
        <f>SUM('Chenes+Alisier - f. très forte'!AR49*'Chenes+Alisier - f. très forte'!$F$21,'Chenes+corm+merisier - f. forte'!AR49*'Chenes+corm+merisier - f. forte'!$F$21,'Charme - fertil.forte'!AR49*'Charme - fertil.forte'!$F$21,'Pin maritime - très forte'!AR49*'Pin maritime - très forte'!$F$21,'P. sylv.+laricio+séquoia -forte'!AR49*'P. sylv.+laricio+séquoia -forte'!$F$21,'Douglas - fertilité moyenne'!AR49*'Douglas - fertilité moyenne'!$F$21)</f>
        <v>0</v>
      </c>
      <c r="Y65" s="188">
        <f>SUM('Chenes+Alisier - f. très forte'!AS49*'Chenes+Alisier - f. très forte'!$F$21,'Chenes+corm+merisier - f. forte'!AS49*'Chenes+corm+merisier - f. forte'!$F$21,'Charme - fertil.forte'!AS49*'Charme - fertil.forte'!$F$21,'Pin maritime - très forte'!AS49*'Pin maritime - très forte'!$F$21,'P. sylv.+laricio+séquoia -forte'!AS49*'P. sylv.+laricio+séquoia -forte'!$F$21,'Douglas - fertilité moyenne'!AS49*'Douglas - fertilité moyenne'!$F$21)</f>
        <v>0</v>
      </c>
      <c r="Z65" s="331">
        <f>SUM('Chenes+Alisier - f. très forte'!AT49*'Chenes+Alisier - f. très forte'!$F$21,'Chenes+corm+merisier - f. forte'!AT49*'Chenes+corm+merisier - f. forte'!$F$21,'Charme - fertil.forte'!AT49*'Charme - fertil.forte'!$F$21,'Pin maritime - très forte'!AT49*'Pin maritime - très forte'!$F$21,'P. sylv.+laricio+séquoia -forte'!AT49*'P. sylv.+laricio+séquoia -forte'!$F$21,'Douglas - fertilité moyenne'!AT49*'Douglas - fertilité moyenne'!$F$21)</f>
        <v>0</v>
      </c>
      <c r="AA65" s="178">
        <f t="shared" si="9"/>
        <v>0</v>
      </c>
      <c r="AB65" s="179">
        <f t="shared" si="8"/>
        <v>-138.30097378672372</v>
      </c>
      <c r="AC65" s="178"/>
      <c r="AD65" s="178"/>
    </row>
    <row r="66" spans="2:30">
      <c r="B66" s="271">
        <f>'Charme - fertil.forte'!B93</f>
        <v>76</v>
      </c>
      <c r="C66" s="225">
        <f>'Charme - fertil.forte'!C93</f>
        <v>28</v>
      </c>
      <c r="D66" s="226">
        <f>'Charme - fertil.forte'!D93</f>
        <v>0.9</v>
      </c>
      <c r="E66" s="221">
        <f>'Charme - fertil.forte'!E93</f>
        <v>0</v>
      </c>
      <c r="F66" s="221">
        <f>'Charme - fertil.forte'!F93</f>
        <v>0</v>
      </c>
      <c r="G66" s="227">
        <f>'Charme - fertil.forte'!G93</f>
        <v>9.9999999999999978E-2</v>
      </c>
      <c r="H66" s="210">
        <f>IFERROR(VLOOKUP($B$53,Tableau14582[],4,FALSE)*(1+$L$9)^$B66,0)</f>
        <v>50</v>
      </c>
      <c r="I66" s="211">
        <f>IFERROR(VLOOKUP($B$53,Tableau14582[],5,FALSE)*(1+$L$9)^$B66,0)</f>
        <v>13.75</v>
      </c>
      <c r="J66" s="211">
        <f>IFERROR(VLOOKUP($B$53,Tableau14582[],5,FALSE)*(1+$L$9)^$B66,0)</f>
        <v>13.75</v>
      </c>
      <c r="K66" s="212">
        <f>IFERROR(VLOOKUP($B$53,Tableau14582[],6,FALSE)*(1+$L$9)^$B66,0)</f>
        <v>10</v>
      </c>
      <c r="L66" s="263">
        <f t="shared" si="13"/>
        <v>9273.6</v>
      </c>
      <c r="N66" s="71">
        <v>45</v>
      </c>
      <c r="O66" s="239"/>
      <c r="P66" s="180"/>
      <c r="Q66" s="240">
        <f t="shared" si="14"/>
        <v>940.00249999999994</v>
      </c>
      <c r="R66" s="180">
        <f t="shared" si="5"/>
        <v>19.270051249999998</v>
      </c>
      <c r="S66" s="180">
        <f>$L$11*(1+$L$9)^N66*'Récapitulatif des résultats'!$I$11</f>
        <v>0</v>
      </c>
      <c r="T66" s="241"/>
      <c r="U66" s="180"/>
      <c r="V66" s="249">
        <f t="shared" si="7"/>
        <v>0</v>
      </c>
      <c r="W66" s="188">
        <f>SUM('Chenes+Alisier - f. très forte'!AQ50*'Chenes+Alisier - f. très forte'!$F$21,'Chenes+corm+merisier - f. forte'!AQ50*'Chenes+corm+merisier - f. forte'!$F$21,'Charme - fertil.forte'!AQ50*'Charme - fertil.forte'!$F$21,'Pin maritime - très forte'!AQ50*'Pin maritime - très forte'!$F$21,'P. sylv.+laricio+séquoia -forte'!AQ50*'P. sylv.+laricio+séquoia -forte'!$F$21,'Douglas - fertilité moyenne'!AQ50*'Douglas - fertilité moyenne'!$F$21)</f>
        <v>0</v>
      </c>
      <c r="X66" s="188">
        <f>SUM('Chenes+Alisier - f. très forte'!AR50*'Chenes+Alisier - f. très forte'!$F$21,'Chenes+corm+merisier - f. forte'!AR50*'Chenes+corm+merisier - f. forte'!$F$21,'Charme - fertil.forte'!AR50*'Charme - fertil.forte'!$F$21,'Pin maritime - très forte'!AR50*'Pin maritime - très forte'!$F$21,'P. sylv.+laricio+séquoia -forte'!AR50*'P. sylv.+laricio+séquoia -forte'!$F$21,'Douglas - fertilité moyenne'!AR50*'Douglas - fertilité moyenne'!$F$21)</f>
        <v>0</v>
      </c>
      <c r="Y66" s="188">
        <f>SUM('Chenes+Alisier - f. très forte'!AS50*'Chenes+Alisier - f. très forte'!$F$21,'Chenes+corm+merisier - f. forte'!AS50*'Chenes+corm+merisier - f. forte'!$F$21,'Charme - fertil.forte'!AS50*'Charme - fertil.forte'!$F$21,'Pin maritime - très forte'!AS50*'Pin maritime - très forte'!$F$21,'P. sylv.+laricio+séquoia -forte'!AS50*'P. sylv.+laricio+séquoia -forte'!$F$21,'Douglas - fertilité moyenne'!AS50*'Douglas - fertilité moyenne'!$F$21)</f>
        <v>0</v>
      </c>
      <c r="Z66" s="331">
        <f>SUM('Chenes+Alisier - f. très forte'!AT50*'Chenes+Alisier - f. très forte'!$F$21,'Chenes+corm+merisier - f. forte'!AT50*'Chenes+corm+merisier - f. forte'!$F$21,'Charme - fertil.forte'!AT50*'Charme - fertil.forte'!$F$21,'Pin maritime - très forte'!AT50*'Pin maritime - très forte'!$F$21,'P. sylv.+laricio+séquoia -forte'!AT50*'P. sylv.+laricio+séquoia -forte'!$F$21,'Douglas - fertilité moyenne'!AT50*'Douglas - fertilité moyenne'!$F$21)</f>
        <v>0</v>
      </c>
      <c r="AA66" s="178">
        <f t="shared" si="9"/>
        <v>0</v>
      </c>
      <c r="AB66" s="179">
        <f t="shared" si="8"/>
        <v>-132.34542946097963</v>
      </c>
      <c r="AC66" s="178"/>
      <c r="AD66" s="178"/>
    </row>
    <row r="67" spans="2:30">
      <c r="B67" s="264">
        <f>'Charme - fertil.forte'!B94</f>
        <v>100</v>
      </c>
      <c r="C67" s="228">
        <f>'Charme - fertil.forte'!C94</f>
        <v>400</v>
      </c>
      <c r="D67" s="222">
        <f>'Charme - fertil.forte'!D94</f>
        <v>0.95</v>
      </c>
      <c r="E67" s="234">
        <f>'Charme - fertil.forte'!E94</f>
        <v>0</v>
      </c>
      <c r="F67" s="234">
        <f>'Charme - fertil.forte'!F94</f>
        <v>0</v>
      </c>
      <c r="G67" s="229">
        <f>'Charme - fertil.forte'!G94</f>
        <v>5.0000000000000044E-2</v>
      </c>
      <c r="H67" s="213">
        <f>IFERROR(VLOOKUP($B$53,Tableau14582[],4,FALSE)*(1+$L$9)^$B67,0)</f>
        <v>50</v>
      </c>
      <c r="I67" s="214">
        <f>IFERROR(VLOOKUP($B$53,Tableau14582[],5,FALSE)*(1+$L$9)^$B67,0)</f>
        <v>13.75</v>
      </c>
      <c r="J67" s="214">
        <f>IFERROR(VLOOKUP($B$53,Tableau14582[],5,FALSE)*(1+$L$9)^$B67,0)</f>
        <v>13.75</v>
      </c>
      <c r="K67" s="215">
        <f>IFERROR(VLOOKUP($B$53,Tableau14582[],6,FALSE)*(1+$L$9)^$B67,0)</f>
        <v>10</v>
      </c>
      <c r="L67" s="265">
        <f t="shared" si="13"/>
        <v>138240</v>
      </c>
      <c r="N67" s="71">
        <v>46</v>
      </c>
      <c r="O67" s="239"/>
      <c r="P67" s="180"/>
      <c r="Q67" s="240">
        <f t="shared" si="14"/>
        <v>940.00249999999994</v>
      </c>
      <c r="R67" s="180">
        <f t="shared" si="5"/>
        <v>19.270051249999998</v>
      </c>
      <c r="S67" s="180">
        <f>$L$11*(1+$L$9)^N67*'Récapitulatif des résultats'!$I$11</f>
        <v>0</v>
      </c>
      <c r="T67" s="241"/>
      <c r="U67" s="180"/>
      <c r="V67" s="249">
        <f t="shared" si="7"/>
        <v>701.57500000000005</v>
      </c>
      <c r="W67" s="188">
        <f>SUM('Chenes+Alisier - f. très forte'!AQ51*'Chenes+Alisier - f. très forte'!$F$21,'Chenes+corm+merisier - f. forte'!AQ51*'Chenes+corm+merisier - f. forte'!$F$21,'Charme - fertil.forte'!AQ51*'Charme - fertil.forte'!$F$21,'Pin maritime - très forte'!AQ51*'Pin maritime - très forte'!$F$21,'P. sylv.+laricio+séquoia -forte'!AQ51*'P. sylv.+laricio+séquoia -forte'!$F$21,'Douglas - fertilité moyenne'!AQ51*'Douglas - fertilité moyenne'!$F$21)</f>
        <v>218.90750000000003</v>
      </c>
      <c r="X67" s="188">
        <f>SUM('Chenes+Alisier - f. très forte'!AR51*'Chenes+Alisier - f. très forte'!$F$21,'Chenes+corm+merisier - f. forte'!AR51*'Chenes+corm+merisier - f. forte'!$F$21,'Charme - fertil.forte'!AR51*'Charme - fertil.forte'!$F$21,'Pin maritime - très forte'!AR51*'Pin maritime - très forte'!$F$21,'P. sylv.+laricio+séquoia -forte'!AR51*'P. sylv.+laricio+séquoia -forte'!$F$21,'Douglas - fertilité moyenne'!AR51*'Douglas - fertilité moyenne'!$F$21)</f>
        <v>0</v>
      </c>
      <c r="Y67" s="188">
        <f>SUM('Chenes+Alisier - f. très forte'!AS51*'Chenes+Alisier - f. très forte'!$F$21,'Chenes+corm+merisier - f. forte'!AS51*'Chenes+corm+merisier - f. forte'!$F$21,'Charme - fertil.forte'!AS51*'Charme - fertil.forte'!$F$21,'Pin maritime - très forte'!AS51*'Pin maritime - très forte'!$F$21,'P. sylv.+laricio+séquoia -forte'!AS51*'P. sylv.+laricio+séquoia -forte'!$F$21,'Douglas - fertilité moyenne'!AS51*'Douglas - fertilité moyenne'!$F$21)</f>
        <v>0</v>
      </c>
      <c r="Z67" s="331">
        <f>SUM('Chenes+Alisier - f. très forte'!AT51*'Chenes+Alisier - f. très forte'!$F$21,'Chenes+corm+merisier - f. forte'!AT51*'Chenes+corm+merisier - f. forte'!$F$21,'Charme - fertil.forte'!AT51*'Charme - fertil.forte'!$F$21,'Pin maritime - très forte'!AT51*'Pin maritime - très forte'!$F$21,'P. sylv.+laricio+séquoia -forte'!AT51*'P. sylv.+laricio+séquoia -forte'!$F$21,'Douglas - fertilité moyenne'!AT51*'Douglas - fertilité moyenne'!$F$21)</f>
        <v>482.66750000000002</v>
      </c>
      <c r="AA67" s="178">
        <f t="shared" si="9"/>
        <v>49940.768277500007</v>
      </c>
      <c r="AB67" s="179">
        <f t="shared" si="8"/>
        <v>6466.6995301870029</v>
      </c>
      <c r="AC67" s="178"/>
      <c r="AD67" s="178"/>
    </row>
    <row r="68" spans="2:30">
      <c r="B68" s="266"/>
      <c r="C68" s="267"/>
      <c r="D68" s="267"/>
      <c r="E68" s="267"/>
      <c r="F68" s="267"/>
      <c r="G68" s="267"/>
      <c r="H68" s="267"/>
      <c r="I68" s="267"/>
      <c r="J68" s="267"/>
      <c r="K68" s="267"/>
      <c r="L68" s="268"/>
      <c r="N68" s="71">
        <v>47</v>
      </c>
      <c r="O68" s="239"/>
      <c r="P68" s="180"/>
      <c r="Q68" s="240">
        <f t="shared" si="14"/>
        <v>940.00249999999994</v>
      </c>
      <c r="R68" s="180">
        <f t="shared" si="5"/>
        <v>19.270051249999998</v>
      </c>
      <c r="S68" s="180">
        <f>$L$11*(1+$L$9)^N68*'Récapitulatif des résultats'!$I$11</f>
        <v>0</v>
      </c>
      <c r="T68" s="241"/>
      <c r="U68" s="180"/>
      <c r="V68" s="249">
        <f t="shared" si="7"/>
        <v>0</v>
      </c>
      <c r="W68" s="188">
        <f>SUM('Chenes+Alisier - f. très forte'!AQ52*'Chenes+Alisier - f. très forte'!$F$21,'Chenes+corm+merisier - f. forte'!AQ52*'Chenes+corm+merisier - f. forte'!$F$21,'Charme - fertil.forte'!AQ52*'Charme - fertil.forte'!$F$21,'Pin maritime - très forte'!AQ52*'Pin maritime - très forte'!$F$21,'P. sylv.+laricio+séquoia -forte'!AQ52*'P. sylv.+laricio+séquoia -forte'!$F$21,'Douglas - fertilité moyenne'!AQ52*'Douglas - fertilité moyenne'!$F$21)</f>
        <v>0</v>
      </c>
      <c r="X68" s="188">
        <f>SUM('Chenes+Alisier - f. très forte'!AR52*'Chenes+Alisier - f. très forte'!$F$21,'Chenes+corm+merisier - f. forte'!AR52*'Chenes+corm+merisier - f. forte'!$F$21,'Charme - fertil.forte'!AR52*'Charme - fertil.forte'!$F$21,'Pin maritime - très forte'!AR52*'Pin maritime - très forte'!$F$21,'P. sylv.+laricio+séquoia -forte'!AR52*'P. sylv.+laricio+séquoia -forte'!$F$21,'Douglas - fertilité moyenne'!AR52*'Douglas - fertilité moyenne'!$F$21)</f>
        <v>0</v>
      </c>
      <c r="Y68" s="188">
        <f>SUM('Chenes+Alisier - f. très forte'!AS52*'Chenes+Alisier - f. très forte'!$F$21,'Chenes+corm+merisier - f. forte'!AS52*'Chenes+corm+merisier - f. forte'!$F$21,'Charme - fertil.forte'!AS52*'Charme - fertil.forte'!$F$21,'Pin maritime - très forte'!AS52*'Pin maritime - très forte'!$F$21,'P. sylv.+laricio+séquoia -forte'!AS52*'P. sylv.+laricio+séquoia -forte'!$F$21,'Douglas - fertilité moyenne'!AS52*'Douglas - fertilité moyenne'!$F$21)</f>
        <v>0</v>
      </c>
      <c r="Z68" s="331">
        <f>SUM('Chenes+Alisier - f. très forte'!AT52*'Chenes+Alisier - f. très forte'!$F$21,'Chenes+corm+merisier - f. forte'!AT52*'Chenes+corm+merisier - f. forte'!$F$21,'Charme - fertil.forte'!AT52*'Charme - fertil.forte'!$F$21,'Pin maritime - très forte'!AT52*'Pin maritime - très forte'!$F$21,'P. sylv.+laricio+séquoia -forte'!AT52*'P. sylv.+laricio+séquoia -forte'!$F$21,'Douglas - fertilité moyenne'!AT52*'Douglas - fertilité moyenne'!$F$21)</f>
        <v>0</v>
      </c>
      <c r="AA68" s="178">
        <f t="shared" si="9"/>
        <v>0</v>
      </c>
      <c r="AB68" s="179">
        <f t="shared" si="8"/>
        <v>-121.19267366679303</v>
      </c>
      <c r="AC68" s="178"/>
      <c r="AD68" s="178"/>
    </row>
    <row r="69" spans="2:30">
      <c r="B69" s="411" t="str">
        <f>'Pin maritime - très forte'!F17</f>
        <v xml:space="preserve">Pin maritime </v>
      </c>
      <c r="C69" s="412">
        <f>'Pin maritime - très forte'!C80</f>
        <v>0</v>
      </c>
      <c r="D69" s="412">
        <f>'Pin maritime - très forte'!D80</f>
        <v>0</v>
      </c>
      <c r="E69" s="412">
        <f>'Pin maritime - très forte'!E80</f>
        <v>0</v>
      </c>
      <c r="F69" s="412">
        <f>'Pin maritime - très forte'!F80</f>
        <v>0</v>
      </c>
      <c r="G69" s="413">
        <f>'Pin maritime - très forte'!G80</f>
        <v>0</v>
      </c>
      <c r="H69" s="397" t="s">
        <v>248</v>
      </c>
      <c r="I69" s="398"/>
      <c r="J69" s="398"/>
      <c r="K69" s="399"/>
      <c r="L69" s="257">
        <f>X5</f>
        <v>3.8285999999999998</v>
      </c>
      <c r="N69" s="71">
        <v>48</v>
      </c>
      <c r="O69" s="239"/>
      <c r="P69" s="180"/>
      <c r="Q69" s="240">
        <f t="shared" si="14"/>
        <v>940.00249999999994</v>
      </c>
      <c r="R69" s="180">
        <f t="shared" si="5"/>
        <v>19.270051249999998</v>
      </c>
      <c r="S69" s="180">
        <f>$L$11*(1+$L$9)^N69*'Récapitulatif des résultats'!$I$11</f>
        <v>0</v>
      </c>
      <c r="T69" s="241"/>
      <c r="U69" s="180"/>
      <c r="V69" s="249">
        <f t="shared" si="7"/>
        <v>0</v>
      </c>
      <c r="W69" s="188">
        <f>SUM('Chenes+Alisier - f. très forte'!AQ53*'Chenes+Alisier - f. très forte'!$F$21,'Chenes+corm+merisier - f. forte'!AQ53*'Chenes+corm+merisier - f. forte'!$F$21,'Charme - fertil.forte'!AQ53*'Charme - fertil.forte'!$F$21,'Pin maritime - très forte'!AQ53*'Pin maritime - très forte'!$F$21,'P. sylv.+laricio+séquoia -forte'!AQ53*'P. sylv.+laricio+séquoia -forte'!$F$21,'Douglas - fertilité moyenne'!AQ53*'Douglas - fertilité moyenne'!$F$21)</f>
        <v>0</v>
      </c>
      <c r="X69" s="188">
        <f>SUM('Chenes+Alisier - f. très forte'!AR53*'Chenes+Alisier - f. très forte'!$F$21,'Chenes+corm+merisier - f. forte'!AR53*'Chenes+corm+merisier - f. forte'!$F$21,'Charme - fertil.forte'!AR53*'Charme - fertil.forte'!$F$21,'Pin maritime - très forte'!AR53*'Pin maritime - très forte'!$F$21,'P. sylv.+laricio+séquoia -forte'!AR53*'P. sylv.+laricio+séquoia -forte'!$F$21,'Douglas - fertilité moyenne'!AR53*'Douglas - fertilité moyenne'!$F$21)</f>
        <v>0</v>
      </c>
      <c r="Y69" s="188">
        <f>SUM('Chenes+Alisier - f. très forte'!AS53*'Chenes+Alisier - f. très forte'!$F$21,'Chenes+corm+merisier - f. forte'!AS53*'Chenes+corm+merisier - f. forte'!$F$21,'Charme - fertil.forte'!AS53*'Charme - fertil.forte'!$F$21,'Pin maritime - très forte'!AS53*'Pin maritime - très forte'!$F$21,'P. sylv.+laricio+séquoia -forte'!AS53*'P. sylv.+laricio+séquoia -forte'!$F$21,'Douglas - fertilité moyenne'!AS53*'Douglas - fertilité moyenne'!$F$21)</f>
        <v>0</v>
      </c>
      <c r="Z69" s="331">
        <f>SUM('Chenes+Alisier - f. très forte'!AT53*'Chenes+Alisier - f. très forte'!$F$21,'Chenes+corm+merisier - f. forte'!AT53*'Chenes+corm+merisier - f. forte'!$F$21,'Charme - fertil.forte'!AT53*'Charme - fertil.forte'!$F$21,'Pin maritime - très forte'!AT53*'Pin maritime - très forte'!$F$21,'P. sylv.+laricio+séquoia -forte'!AT53*'P. sylv.+laricio+séquoia -forte'!$F$21,'Douglas - fertilité moyenne'!AT53*'Douglas - fertilité moyenne'!$F$21)</f>
        <v>0</v>
      </c>
      <c r="AA69" s="178">
        <f t="shared" si="9"/>
        <v>0</v>
      </c>
      <c r="AB69" s="179">
        <f t="shared" si="8"/>
        <v>-115.97385039884504</v>
      </c>
      <c r="AC69" s="178"/>
      <c r="AD69" s="178"/>
    </row>
    <row r="70" spans="2:30">
      <c r="B70" s="269" t="str">
        <f>'Pin maritime - très forte'!B81</f>
        <v>Année</v>
      </c>
      <c r="C70" s="230" t="str">
        <f>'Pin maritime - très forte'!C81</f>
        <v>Volume d'éclaircie</v>
      </c>
      <c r="D70" s="217" t="str">
        <f>'Pin maritime - très forte'!D81</f>
        <v>BO</v>
      </c>
      <c r="E70" s="217" t="str">
        <f>'Pin maritime - très forte'!E81</f>
        <v>BI - panneaux</v>
      </c>
      <c r="F70" s="217" t="str">
        <f>'Pin maritime - très forte'!F81</f>
        <v>BI - papier</v>
      </c>
      <c r="G70" s="218" t="str">
        <f>'Pin maritime - très forte'!G81</f>
        <v>BE</v>
      </c>
      <c r="H70" s="216" t="s">
        <v>78</v>
      </c>
      <c r="I70" s="217" t="s">
        <v>81</v>
      </c>
      <c r="J70" s="217" t="s">
        <v>80</v>
      </c>
      <c r="K70" s="218" t="s">
        <v>79</v>
      </c>
      <c r="L70" s="259" t="s">
        <v>252</v>
      </c>
      <c r="N70" s="71">
        <v>49</v>
      </c>
      <c r="O70" s="239"/>
      <c r="P70" s="180"/>
      <c r="Q70" s="240">
        <f t="shared" si="14"/>
        <v>940.00249999999994</v>
      </c>
      <c r="R70" s="180">
        <f t="shared" si="5"/>
        <v>19.270051249999998</v>
      </c>
      <c r="S70" s="180">
        <f>$L$11*(1+$L$9)^N70*'Récapitulatif des résultats'!$I$11</f>
        <v>0</v>
      </c>
      <c r="T70" s="241"/>
      <c r="U70" s="180"/>
      <c r="V70" s="249">
        <f t="shared" si="7"/>
        <v>0</v>
      </c>
      <c r="W70" s="188">
        <f>SUM('Chenes+Alisier - f. très forte'!AQ54*'Chenes+Alisier - f. très forte'!$F$21,'Chenes+corm+merisier - f. forte'!AQ54*'Chenes+corm+merisier - f. forte'!$F$21,'Charme - fertil.forte'!AQ54*'Charme - fertil.forte'!$F$21,'Pin maritime - très forte'!AQ54*'Pin maritime - très forte'!$F$21,'P. sylv.+laricio+séquoia -forte'!AQ54*'P. sylv.+laricio+séquoia -forte'!$F$21,'Douglas - fertilité moyenne'!AQ54*'Douglas - fertilité moyenne'!$F$21)</f>
        <v>0</v>
      </c>
      <c r="X70" s="188">
        <f>SUM('Chenes+Alisier - f. très forte'!AR54*'Chenes+Alisier - f. très forte'!$F$21,'Chenes+corm+merisier - f. forte'!AR54*'Chenes+corm+merisier - f. forte'!$F$21,'Charme - fertil.forte'!AR54*'Charme - fertil.forte'!$F$21,'Pin maritime - très forte'!AR54*'Pin maritime - très forte'!$F$21,'P. sylv.+laricio+séquoia -forte'!AR54*'P. sylv.+laricio+séquoia -forte'!$F$21,'Douglas - fertilité moyenne'!AR54*'Douglas - fertilité moyenne'!$F$21)</f>
        <v>0</v>
      </c>
      <c r="Y70" s="188">
        <f>SUM('Chenes+Alisier - f. très forte'!AS54*'Chenes+Alisier - f. très forte'!$F$21,'Chenes+corm+merisier - f. forte'!AS54*'Chenes+corm+merisier - f. forte'!$F$21,'Charme - fertil.forte'!AS54*'Charme - fertil.forte'!$F$21,'Pin maritime - très forte'!AS54*'Pin maritime - très forte'!$F$21,'P. sylv.+laricio+séquoia -forte'!AS54*'P. sylv.+laricio+séquoia -forte'!$F$21,'Douglas - fertilité moyenne'!AS54*'Douglas - fertilité moyenne'!$F$21)</f>
        <v>0</v>
      </c>
      <c r="Z70" s="331">
        <f>SUM('Chenes+Alisier - f. très forte'!AT54*'Chenes+Alisier - f. très forte'!$F$21,'Chenes+corm+merisier - f. forte'!AT54*'Chenes+corm+merisier - f. forte'!$F$21,'Charme - fertil.forte'!AT54*'Charme - fertil.forte'!$F$21,'Pin maritime - très forte'!AT54*'Pin maritime - très forte'!$F$21,'P. sylv.+laricio+séquoia -forte'!AT54*'P. sylv.+laricio+séquoia -forte'!$F$21,'Douglas - fertilité moyenne'!AT54*'Douglas - fertilité moyenne'!$F$21)</f>
        <v>0</v>
      </c>
      <c r="AA70" s="178">
        <f t="shared" si="9"/>
        <v>0</v>
      </c>
      <c r="AB70" s="179">
        <f t="shared" si="8"/>
        <v>-110.97976114722013</v>
      </c>
      <c r="AC70" s="178"/>
      <c r="AD70" s="178"/>
    </row>
    <row r="71" spans="2:30">
      <c r="B71" s="270">
        <f>'Pin maritime - très forte'!B82</f>
        <v>16</v>
      </c>
      <c r="C71" s="223">
        <f>'Pin maritime - très forte'!C82</f>
        <v>14</v>
      </c>
      <c r="D71" s="220">
        <f>'Pin maritime - très forte'!D82</f>
        <v>0</v>
      </c>
      <c r="E71" s="220">
        <f>'Pin maritime - très forte'!E82</f>
        <v>0.56000000000000005</v>
      </c>
      <c r="F71" s="220">
        <f>'Pin maritime - très forte'!F82</f>
        <v>0.44</v>
      </c>
      <c r="G71" s="224">
        <f>'Pin maritime - très forte'!G82</f>
        <v>0</v>
      </c>
      <c r="H71" s="210">
        <f>IFERROR(VLOOKUP($B$69,Tableau14582[],4,FALSE)*(1+$L$9)^$B71,0)</f>
        <v>42</v>
      </c>
      <c r="I71" s="211">
        <f>IFERROR(VLOOKUP($B$69,Tableau14582[],5,FALSE)*(1+$L$9)^$B71,0)</f>
        <v>19.375</v>
      </c>
      <c r="J71" s="211">
        <f>IFERROR(VLOOKUP($B$69,Tableau14582[],5,FALSE)*(1+$L$9)^$B71,0)</f>
        <v>19.375</v>
      </c>
      <c r="K71" s="212">
        <f>IFERROR(VLOOKUP($B$69,Tableau14582[],6,FALSE)*(1+$L$9)^$B71,0)</f>
        <v>10</v>
      </c>
      <c r="L71" s="261">
        <f>(C71*D71*H71+C71*E71*I71+C71*F71*J71+C71*G71*K71)*L$69</f>
        <v>1038.50775</v>
      </c>
      <c r="N71" s="71">
        <v>50</v>
      </c>
      <c r="O71" s="239"/>
      <c r="P71" s="180"/>
      <c r="Q71" s="240">
        <f t="shared" si="14"/>
        <v>940.00249999999994</v>
      </c>
      <c r="R71" s="180">
        <f t="shared" si="5"/>
        <v>19.270051249999998</v>
      </c>
      <c r="S71" s="180">
        <f>$L$11*(1+$L$9)^N71*'Récapitulatif des résultats'!$I$11</f>
        <v>0</v>
      </c>
      <c r="T71" s="241"/>
      <c r="U71" s="180"/>
      <c r="V71" s="249">
        <f t="shared" si="7"/>
        <v>0</v>
      </c>
      <c r="W71" s="188">
        <f>SUM('Chenes+Alisier - f. très forte'!AQ55*'Chenes+Alisier - f. très forte'!$F$21,'Chenes+corm+merisier - f. forte'!AQ55*'Chenes+corm+merisier - f. forte'!$F$21,'Charme - fertil.forte'!AQ55*'Charme - fertil.forte'!$F$21,'Pin maritime - très forte'!AQ55*'Pin maritime - très forte'!$F$21,'P. sylv.+laricio+séquoia -forte'!AQ55*'P. sylv.+laricio+séquoia -forte'!$F$21,'Douglas - fertilité moyenne'!AQ55*'Douglas - fertilité moyenne'!$F$21)</f>
        <v>0</v>
      </c>
      <c r="X71" s="188">
        <f>SUM('Chenes+Alisier - f. très forte'!AR55*'Chenes+Alisier - f. très forte'!$F$21,'Chenes+corm+merisier - f. forte'!AR55*'Chenes+corm+merisier - f. forte'!$F$21,'Charme - fertil.forte'!AR55*'Charme - fertil.forte'!$F$21,'Pin maritime - très forte'!AR55*'Pin maritime - très forte'!$F$21,'P. sylv.+laricio+séquoia -forte'!AR55*'P. sylv.+laricio+séquoia -forte'!$F$21,'Douglas - fertilité moyenne'!AR55*'Douglas - fertilité moyenne'!$F$21)</f>
        <v>0</v>
      </c>
      <c r="Y71" s="188">
        <f>SUM('Chenes+Alisier - f. très forte'!AS55*'Chenes+Alisier - f. très forte'!$F$21,'Chenes+corm+merisier - f. forte'!AS55*'Chenes+corm+merisier - f. forte'!$F$21,'Charme - fertil.forte'!AS55*'Charme - fertil.forte'!$F$21,'Pin maritime - très forte'!AS55*'Pin maritime - très forte'!$F$21,'P. sylv.+laricio+séquoia -forte'!AS55*'P. sylv.+laricio+séquoia -forte'!$F$21,'Douglas - fertilité moyenne'!AS55*'Douglas - fertilité moyenne'!$F$21)</f>
        <v>0</v>
      </c>
      <c r="Z71" s="331">
        <f>SUM('Chenes+Alisier - f. très forte'!AT55*'Chenes+Alisier - f. très forte'!$F$21,'Chenes+corm+merisier - f. forte'!AT55*'Chenes+corm+merisier - f. forte'!$F$21,'Charme - fertil.forte'!AT55*'Charme - fertil.forte'!$F$21,'Pin maritime - très forte'!AT55*'Pin maritime - très forte'!$F$21,'P. sylv.+laricio+séquoia -forte'!AT55*'P. sylv.+laricio+séquoia -forte'!$F$21,'Douglas - fertilité moyenne'!AT55*'Douglas - fertilité moyenne'!$F$21)</f>
        <v>0</v>
      </c>
      <c r="AA71" s="178">
        <f t="shared" si="9"/>
        <v>184893.15983687498</v>
      </c>
      <c r="AB71" s="179">
        <f t="shared" si="8"/>
        <v>20363.256278213259</v>
      </c>
      <c r="AC71" s="178"/>
      <c r="AD71" s="178"/>
    </row>
    <row r="72" spans="2:30">
      <c r="B72" s="271">
        <f>'Pin maritime - très forte'!B83</f>
        <v>21</v>
      </c>
      <c r="C72" s="225">
        <f>'Pin maritime - très forte'!C83</f>
        <v>49</v>
      </c>
      <c r="D72" s="226">
        <f>'Pin maritime - très forte'!D83</f>
        <v>0</v>
      </c>
      <c r="E72" s="221">
        <f>'Pin maritime - très forte'!E83</f>
        <v>0.56000000000000005</v>
      </c>
      <c r="F72" s="221">
        <f>'Pin maritime - très forte'!F83</f>
        <v>0.44</v>
      </c>
      <c r="G72" s="227">
        <f>'Pin maritime - très forte'!G83</f>
        <v>0</v>
      </c>
      <c r="H72" s="210">
        <f>IFERROR(VLOOKUP($B$69,Tableau14582[],4,FALSE)*(1+$L$9)^$B72,0)</f>
        <v>42</v>
      </c>
      <c r="I72" s="211">
        <f>IFERROR(VLOOKUP($B$69,Tableau14582[],5,FALSE)*(1+$L$9)^$B72,0)</f>
        <v>19.375</v>
      </c>
      <c r="J72" s="211">
        <f>IFERROR(VLOOKUP($B$69,Tableau14582[],5,FALSE)*(1+$L$9)^$B72,0)</f>
        <v>19.375</v>
      </c>
      <c r="K72" s="212">
        <f>IFERROR(VLOOKUP($B$69,Tableau14582[],6,FALSE)*(1+$L$9)^$B72,0)</f>
        <v>10</v>
      </c>
      <c r="L72" s="263">
        <f t="shared" ref="L72:L83" si="15">(C72*D72*H72+C72*E72*I72+C72*F72*J72+C72*G72*K72)*L$69</f>
        <v>3634.7771249999996</v>
      </c>
      <c r="N72" s="71">
        <v>51</v>
      </c>
      <c r="O72" s="239"/>
      <c r="P72" s="180"/>
      <c r="Q72" s="240">
        <f t="shared" si="14"/>
        <v>940.00249999999994</v>
      </c>
      <c r="R72" s="180">
        <f t="shared" si="5"/>
        <v>19.270051249999998</v>
      </c>
      <c r="S72" s="180">
        <f>$L$11*(1+$L$9)^N72*'Récapitulatif des résultats'!$I$11</f>
        <v>0</v>
      </c>
      <c r="T72" s="241"/>
      <c r="U72" s="180"/>
      <c r="V72" s="249">
        <f t="shared" si="7"/>
        <v>701.57500000000005</v>
      </c>
      <c r="W72" s="188">
        <f>SUM('Chenes+Alisier - f. très forte'!AQ56*'Chenes+Alisier - f. très forte'!$F$21,'Chenes+corm+merisier - f. forte'!AQ56*'Chenes+corm+merisier - f. forte'!$F$21,'Charme - fertil.forte'!AQ56*'Charme - fertil.forte'!$F$21,'Pin maritime - très forte'!AQ56*'Pin maritime - très forte'!$F$21,'P. sylv.+laricio+séquoia -forte'!AQ56*'P. sylv.+laricio+séquoia -forte'!$F$21,'Douglas - fertilité moyenne'!AQ56*'Douglas - fertilité moyenne'!$F$21)</f>
        <v>251.82499999999999</v>
      </c>
      <c r="X72" s="188">
        <f>SUM('Chenes+Alisier - f. très forte'!AR56*'Chenes+Alisier - f. très forte'!$F$21,'Chenes+corm+merisier - f. forte'!AR56*'Chenes+corm+merisier - f. forte'!$F$21,'Charme - fertil.forte'!AR56*'Charme - fertil.forte'!$F$21,'Pin maritime - très forte'!AR56*'Pin maritime - très forte'!$F$21,'P. sylv.+laricio+séquoia -forte'!AR56*'P. sylv.+laricio+séquoia -forte'!$F$21,'Douglas - fertilité moyenne'!AR56*'Douglas - fertilité moyenne'!$F$21)</f>
        <v>0</v>
      </c>
      <c r="Y72" s="188">
        <f>SUM('Chenes+Alisier - f. très forte'!AS56*'Chenes+Alisier - f. très forte'!$F$21,'Chenes+corm+merisier - f. forte'!AS56*'Chenes+corm+merisier - f. forte'!$F$21,'Charme - fertil.forte'!AS56*'Charme - fertil.forte'!$F$21,'Pin maritime - très forte'!AS56*'Pin maritime - très forte'!$F$21,'P. sylv.+laricio+séquoia -forte'!AS56*'P. sylv.+laricio+séquoia -forte'!$F$21,'Douglas - fertilité moyenne'!AS56*'Douglas - fertilité moyenne'!$F$21)</f>
        <v>0</v>
      </c>
      <c r="Z72" s="331">
        <f>SUM('Chenes+Alisier - f. très forte'!AT56*'Chenes+Alisier - f. très forte'!$F$21,'Chenes+corm+merisier - f. forte'!AT56*'Chenes+corm+merisier - f. forte'!$F$21,'Charme - fertil.forte'!AT56*'Charme - fertil.forte'!$F$21,'Pin maritime - très forte'!AT56*'Pin maritime - très forte'!$F$21,'P. sylv.+laricio+séquoia -forte'!AT56*'P. sylv.+laricio+séquoia -forte'!$F$21,'Douglas - fertilité moyenne'!AT56*'Douglas - fertilité moyenne'!$F$21)</f>
        <v>449.75000000000006</v>
      </c>
      <c r="AA72" s="178">
        <f t="shared" si="9"/>
        <v>51826.096747500007</v>
      </c>
      <c r="AB72" s="179">
        <f t="shared" si="8"/>
        <v>5388.9457431877554</v>
      </c>
      <c r="AC72" s="178"/>
      <c r="AD72" s="178"/>
    </row>
    <row r="73" spans="2:30">
      <c r="B73" s="271">
        <f>'Pin maritime - très forte'!B84</f>
        <v>26</v>
      </c>
      <c r="C73" s="225">
        <f>'Pin maritime - très forte'!C84</f>
        <v>49</v>
      </c>
      <c r="D73" s="226">
        <f>'Pin maritime - très forte'!D84</f>
        <v>0</v>
      </c>
      <c r="E73" s="221">
        <f>'Pin maritime - très forte'!E84</f>
        <v>0.56000000000000005</v>
      </c>
      <c r="F73" s="221">
        <f>'Pin maritime - très forte'!F84</f>
        <v>0.44</v>
      </c>
      <c r="G73" s="227">
        <f>'Pin maritime - très forte'!G84</f>
        <v>0</v>
      </c>
      <c r="H73" s="210">
        <f>IFERROR(VLOOKUP($B$69,Tableau14582[],4,FALSE)*(1+$L$9)^$B73,0)</f>
        <v>42</v>
      </c>
      <c r="I73" s="211">
        <f>IFERROR(VLOOKUP($B$69,Tableau14582[],5,FALSE)*(1+$L$9)^$B73,0)</f>
        <v>19.375</v>
      </c>
      <c r="J73" s="211">
        <f>IFERROR(VLOOKUP($B$69,Tableau14582[],5,FALSE)*(1+$L$9)^$B73,0)</f>
        <v>19.375</v>
      </c>
      <c r="K73" s="212">
        <f>IFERROR(VLOOKUP($B$69,Tableau14582[],6,FALSE)*(1+$L$9)^$B73,0)</f>
        <v>10</v>
      </c>
      <c r="L73" s="263">
        <f t="shared" si="15"/>
        <v>3634.7771249999996</v>
      </c>
      <c r="N73" s="71">
        <v>52</v>
      </c>
      <c r="O73" s="239"/>
      <c r="P73" s="180"/>
      <c r="Q73" s="240">
        <f t="shared" si="14"/>
        <v>940.00249999999994</v>
      </c>
      <c r="R73" s="180">
        <f t="shared" si="5"/>
        <v>19.270051249999998</v>
      </c>
      <c r="S73" s="180">
        <f>$L$11*(1+$L$9)^N73*'Récapitulatif des résultats'!$I$11</f>
        <v>0</v>
      </c>
      <c r="T73" s="241"/>
      <c r="U73" s="180"/>
      <c r="V73" s="249">
        <f t="shared" si="7"/>
        <v>0</v>
      </c>
      <c r="W73" s="188">
        <f>SUM('Chenes+Alisier - f. très forte'!AQ57*'Chenes+Alisier - f. très forte'!$F$21,'Chenes+corm+merisier - f. forte'!AQ57*'Chenes+corm+merisier - f. forte'!$F$21,'Charme - fertil.forte'!AQ57*'Charme - fertil.forte'!$F$21,'Pin maritime - très forte'!AQ57*'Pin maritime - très forte'!$F$21,'P. sylv.+laricio+séquoia -forte'!AQ57*'P. sylv.+laricio+séquoia -forte'!$F$21,'Douglas - fertilité moyenne'!AQ57*'Douglas - fertilité moyenne'!$F$21)</f>
        <v>0</v>
      </c>
      <c r="X73" s="188">
        <f>SUM('Chenes+Alisier - f. très forte'!AR57*'Chenes+Alisier - f. très forte'!$F$21,'Chenes+corm+merisier - f. forte'!AR57*'Chenes+corm+merisier - f. forte'!$F$21,'Charme - fertil.forte'!AR57*'Charme - fertil.forte'!$F$21,'Pin maritime - très forte'!AR57*'Pin maritime - très forte'!$F$21,'P. sylv.+laricio+séquoia -forte'!AR57*'P. sylv.+laricio+séquoia -forte'!$F$21,'Douglas - fertilité moyenne'!AR57*'Douglas - fertilité moyenne'!$F$21)</f>
        <v>0</v>
      </c>
      <c r="Y73" s="188">
        <f>SUM('Chenes+Alisier - f. très forte'!AS57*'Chenes+Alisier - f. très forte'!$F$21,'Chenes+corm+merisier - f. forte'!AS57*'Chenes+corm+merisier - f. forte'!$F$21,'Charme - fertil.forte'!AS57*'Charme - fertil.forte'!$F$21,'Pin maritime - très forte'!AS57*'Pin maritime - très forte'!$F$21,'P. sylv.+laricio+séquoia -forte'!AS57*'P. sylv.+laricio+séquoia -forte'!$F$21,'Douglas - fertilité moyenne'!AS57*'Douglas - fertilité moyenne'!$F$21)</f>
        <v>0</v>
      </c>
      <c r="Z73" s="331">
        <f>SUM('Chenes+Alisier - f. très forte'!AT57*'Chenes+Alisier - f. très forte'!$F$21,'Chenes+corm+merisier - f. forte'!AT57*'Chenes+corm+merisier - f. forte'!$F$21,'Charme - fertil.forte'!AT57*'Charme - fertil.forte'!$F$21,'Pin maritime - très forte'!AT57*'Pin maritime - très forte'!$F$21,'P. sylv.+laricio+séquoia -forte'!AT57*'P. sylv.+laricio+séquoia -forte'!$F$21,'Douglas - fertilité moyenne'!AT57*'Douglas - fertilité moyenne'!$F$21)</f>
        <v>0</v>
      </c>
      <c r="AA73" s="178">
        <f t="shared" si="9"/>
        <v>0</v>
      </c>
      <c r="AB73" s="179">
        <f t="shared" si="8"/>
        <v>-97.251187812134006</v>
      </c>
      <c r="AC73" s="178"/>
      <c r="AD73" s="178"/>
    </row>
    <row r="74" spans="2:30">
      <c r="B74" s="271">
        <f>'Pin maritime - très forte'!B85</f>
        <v>31</v>
      </c>
      <c r="C74" s="225">
        <f>'Pin maritime - très forte'!C85</f>
        <v>49</v>
      </c>
      <c r="D74" s="226">
        <f>'Pin maritime - très forte'!D85</f>
        <v>0</v>
      </c>
      <c r="E74" s="221">
        <f>'Pin maritime - très forte'!E85</f>
        <v>0.56000000000000005</v>
      </c>
      <c r="F74" s="221">
        <f>'Pin maritime - très forte'!F85</f>
        <v>0.44</v>
      </c>
      <c r="G74" s="227">
        <f>'Pin maritime - très forte'!G85</f>
        <v>0</v>
      </c>
      <c r="H74" s="210">
        <f>IFERROR(VLOOKUP($B$69,Tableau14582[],4,FALSE)*(1+$L$9)^$B74,0)</f>
        <v>42</v>
      </c>
      <c r="I74" s="211">
        <f>IFERROR(VLOOKUP($B$69,Tableau14582[],5,FALSE)*(1+$L$9)^$B74,0)</f>
        <v>19.375</v>
      </c>
      <c r="J74" s="211">
        <f>IFERROR(VLOOKUP($B$69,Tableau14582[],5,FALSE)*(1+$L$9)^$B74,0)</f>
        <v>19.375</v>
      </c>
      <c r="K74" s="212">
        <f>IFERROR(VLOOKUP($B$69,Tableau14582[],6,FALSE)*(1+$L$9)^$B74,0)</f>
        <v>10</v>
      </c>
      <c r="L74" s="263">
        <f t="shared" si="15"/>
        <v>3634.7771249999996</v>
      </c>
      <c r="N74" s="71">
        <v>53</v>
      </c>
      <c r="O74" s="239"/>
      <c r="P74" s="180"/>
      <c r="Q74" s="240">
        <f t="shared" si="14"/>
        <v>940.00249999999994</v>
      </c>
      <c r="R74" s="180">
        <f t="shared" si="5"/>
        <v>19.270051249999998</v>
      </c>
      <c r="S74" s="180">
        <f>$L$11*(1+$L$9)^N74*'Récapitulatif des résultats'!$I$11</f>
        <v>0</v>
      </c>
      <c r="T74" s="241"/>
      <c r="U74" s="180"/>
      <c r="V74" s="249">
        <f t="shared" si="7"/>
        <v>0</v>
      </c>
      <c r="W74" s="188">
        <f>SUM('Chenes+Alisier - f. très forte'!AQ58*'Chenes+Alisier - f. très forte'!$F$21,'Chenes+corm+merisier - f. forte'!AQ58*'Chenes+corm+merisier - f. forte'!$F$21,'Charme - fertil.forte'!AQ58*'Charme - fertil.forte'!$F$21,'Pin maritime - très forte'!AQ58*'Pin maritime - très forte'!$F$21,'P. sylv.+laricio+séquoia -forte'!AQ58*'P. sylv.+laricio+séquoia -forte'!$F$21,'Douglas - fertilité moyenne'!AQ58*'Douglas - fertilité moyenne'!$F$21)</f>
        <v>0</v>
      </c>
      <c r="X74" s="188">
        <f>SUM('Chenes+Alisier - f. très forte'!AR58*'Chenes+Alisier - f. très forte'!$F$21,'Chenes+corm+merisier - f. forte'!AR58*'Chenes+corm+merisier - f. forte'!$F$21,'Charme - fertil.forte'!AR58*'Charme - fertil.forte'!$F$21,'Pin maritime - très forte'!AR58*'Pin maritime - très forte'!$F$21,'P. sylv.+laricio+séquoia -forte'!AR58*'P. sylv.+laricio+séquoia -forte'!$F$21,'Douglas - fertilité moyenne'!AR58*'Douglas - fertilité moyenne'!$F$21)</f>
        <v>0</v>
      </c>
      <c r="Y74" s="188">
        <f>SUM('Chenes+Alisier - f. très forte'!AS58*'Chenes+Alisier - f. très forte'!$F$21,'Chenes+corm+merisier - f. forte'!AS58*'Chenes+corm+merisier - f. forte'!$F$21,'Charme - fertil.forte'!AS58*'Charme - fertil.forte'!$F$21,'Pin maritime - très forte'!AS58*'Pin maritime - très forte'!$F$21,'P. sylv.+laricio+séquoia -forte'!AS58*'P. sylv.+laricio+séquoia -forte'!$F$21,'Douglas - fertilité moyenne'!AS58*'Douglas - fertilité moyenne'!$F$21)</f>
        <v>0</v>
      </c>
      <c r="Z74" s="331">
        <f>SUM('Chenes+Alisier - f. très forte'!AT58*'Chenes+Alisier - f. très forte'!$F$21,'Chenes+corm+merisier - f. forte'!AT58*'Chenes+corm+merisier - f. forte'!$F$21,'Charme - fertil.forte'!AT58*'Charme - fertil.forte'!$F$21,'Pin maritime - très forte'!AT58*'Pin maritime - très forte'!$F$21,'P. sylv.+laricio+séquoia -forte'!AT58*'P. sylv.+laricio+séquoia -forte'!$F$21,'Douglas - fertilité moyenne'!AT58*'Douglas - fertilité moyenne'!$F$21)</f>
        <v>0</v>
      </c>
      <c r="AA74" s="178">
        <f t="shared" si="9"/>
        <v>0</v>
      </c>
      <c r="AB74" s="179">
        <f t="shared" si="8"/>
        <v>-93.063337619266989</v>
      </c>
      <c r="AC74" s="178"/>
      <c r="AD74" s="178"/>
    </row>
    <row r="75" spans="2:30">
      <c r="B75" s="271">
        <f>'Pin maritime - très forte'!B86</f>
        <v>36</v>
      </c>
      <c r="C75" s="225">
        <f>'Pin maritime - très forte'!C86</f>
        <v>49</v>
      </c>
      <c r="D75" s="226">
        <f>'Pin maritime - très forte'!D86</f>
        <v>0.4</v>
      </c>
      <c r="E75" s="221">
        <f>'Pin maritime - très forte'!E86</f>
        <v>0.33600000000000002</v>
      </c>
      <c r="F75" s="221">
        <f>'Pin maritime - très forte'!F86</f>
        <v>0.26400000000000001</v>
      </c>
      <c r="G75" s="227">
        <f>'Pin maritime - très forte'!G86</f>
        <v>0</v>
      </c>
      <c r="H75" s="210">
        <f>IFERROR(VLOOKUP($B$69,Tableau14582[],4,FALSE)*(1+$L$9)^$B75,0)</f>
        <v>42</v>
      </c>
      <c r="I75" s="211">
        <f>IFERROR(VLOOKUP($B$69,Tableau14582[],5,FALSE)*(1+$L$9)^$B75,0)</f>
        <v>19.375</v>
      </c>
      <c r="J75" s="211">
        <f>IFERROR(VLOOKUP($B$69,Tableau14582[],5,FALSE)*(1+$L$9)^$B75,0)</f>
        <v>19.375</v>
      </c>
      <c r="K75" s="212">
        <f>IFERROR(VLOOKUP($B$69,Tableau14582[],6,FALSE)*(1+$L$9)^$B75,0)</f>
        <v>10</v>
      </c>
      <c r="L75" s="263">
        <f t="shared" si="15"/>
        <v>5332.5697949999994</v>
      </c>
      <c r="N75" s="71">
        <v>54</v>
      </c>
      <c r="O75" s="239"/>
      <c r="P75" s="180"/>
      <c r="Q75" s="240">
        <f t="shared" si="14"/>
        <v>940.00249999999994</v>
      </c>
      <c r="R75" s="180">
        <f t="shared" si="5"/>
        <v>19.270051249999998</v>
      </c>
      <c r="S75" s="180">
        <f>$L$11*(1+$L$9)^N75*'Récapitulatif des résultats'!$I$11</f>
        <v>0</v>
      </c>
      <c r="T75" s="241"/>
      <c r="U75" s="180"/>
      <c r="V75" s="249">
        <f t="shared" si="7"/>
        <v>0</v>
      </c>
      <c r="W75" s="188">
        <f>SUM('Chenes+Alisier - f. très forte'!AQ59*'Chenes+Alisier - f. très forte'!$F$21,'Chenes+corm+merisier - f. forte'!AQ59*'Chenes+corm+merisier - f. forte'!$F$21,'Charme - fertil.forte'!AQ59*'Charme - fertil.forte'!$F$21,'Pin maritime - très forte'!AQ59*'Pin maritime - très forte'!$F$21,'P. sylv.+laricio+séquoia -forte'!AQ59*'P. sylv.+laricio+séquoia -forte'!$F$21,'Douglas - fertilité moyenne'!AQ59*'Douglas - fertilité moyenne'!$F$21)</f>
        <v>0</v>
      </c>
      <c r="X75" s="188">
        <f>SUM('Chenes+Alisier - f. très forte'!AR59*'Chenes+Alisier - f. très forte'!$F$21,'Chenes+corm+merisier - f. forte'!AR59*'Chenes+corm+merisier - f. forte'!$F$21,'Charme - fertil.forte'!AR59*'Charme - fertil.forte'!$F$21,'Pin maritime - très forte'!AR59*'Pin maritime - très forte'!$F$21,'P. sylv.+laricio+séquoia -forte'!AR59*'P. sylv.+laricio+séquoia -forte'!$F$21,'Douglas - fertilité moyenne'!AR59*'Douglas - fertilité moyenne'!$F$21)</f>
        <v>0</v>
      </c>
      <c r="Y75" s="188">
        <f>SUM('Chenes+Alisier - f. très forte'!AS59*'Chenes+Alisier - f. très forte'!$F$21,'Chenes+corm+merisier - f. forte'!AS59*'Chenes+corm+merisier - f. forte'!$F$21,'Charme - fertil.forte'!AS59*'Charme - fertil.forte'!$F$21,'Pin maritime - très forte'!AS59*'Pin maritime - très forte'!$F$21,'P. sylv.+laricio+séquoia -forte'!AS59*'P. sylv.+laricio+séquoia -forte'!$F$21,'Douglas - fertilité moyenne'!AS59*'Douglas - fertilité moyenne'!$F$21)</f>
        <v>0</v>
      </c>
      <c r="Z75" s="331">
        <f>SUM('Chenes+Alisier - f. très forte'!AT59*'Chenes+Alisier - f. très forte'!$F$21,'Chenes+corm+merisier - f. forte'!AT59*'Chenes+corm+merisier - f. forte'!$F$21,'Charme - fertil.forte'!AT59*'Charme - fertil.forte'!$F$21,'Pin maritime - très forte'!AT59*'Pin maritime - très forte'!$F$21,'P. sylv.+laricio+séquoia -forte'!AT59*'P. sylv.+laricio+séquoia -forte'!$F$21,'Douglas - fertilité moyenne'!AT59*'Douglas - fertilité moyenne'!$F$21)</f>
        <v>0</v>
      </c>
      <c r="AA75" s="178">
        <f t="shared" si="9"/>
        <v>0</v>
      </c>
      <c r="AB75" s="179">
        <f t="shared" si="8"/>
        <v>-89.055825472982804</v>
      </c>
      <c r="AC75" s="178"/>
      <c r="AD75" s="178"/>
    </row>
    <row r="76" spans="2:30">
      <c r="B76" s="271">
        <f>'Pin maritime - très forte'!B87</f>
        <v>41</v>
      </c>
      <c r="C76" s="225">
        <f>'Pin maritime - très forte'!C87</f>
        <v>49</v>
      </c>
      <c r="D76" s="226">
        <f>'Pin maritime - très forte'!D87</f>
        <v>0.7</v>
      </c>
      <c r="E76" s="221">
        <f>'Pin maritime - très forte'!E87</f>
        <v>0.16800000000000004</v>
      </c>
      <c r="F76" s="221">
        <f>'Pin maritime - très forte'!F87</f>
        <v>0.13200000000000003</v>
      </c>
      <c r="G76" s="227">
        <f>'Pin maritime - très forte'!G87</f>
        <v>0</v>
      </c>
      <c r="H76" s="210">
        <f>IFERROR(VLOOKUP($B$69,Tableau14582[],4,FALSE)*(1+$L$9)^$B76,0)</f>
        <v>42</v>
      </c>
      <c r="I76" s="211">
        <f>IFERROR(VLOOKUP($B$69,Tableau14582[],5,FALSE)*(1+$L$9)^$B76,0)</f>
        <v>19.375</v>
      </c>
      <c r="J76" s="211">
        <f>IFERROR(VLOOKUP($B$69,Tableau14582[],5,FALSE)*(1+$L$9)^$B76,0)</f>
        <v>19.375</v>
      </c>
      <c r="K76" s="212">
        <f>IFERROR(VLOOKUP($B$69,Tableau14582[],6,FALSE)*(1+$L$9)^$B76,0)</f>
        <v>10</v>
      </c>
      <c r="L76" s="263">
        <f t="shared" si="15"/>
        <v>6605.9142975000004</v>
      </c>
      <c r="N76" s="71">
        <v>55</v>
      </c>
      <c r="O76" s="239"/>
      <c r="P76" s="180"/>
      <c r="Q76" s="240">
        <f t="shared" si="14"/>
        <v>940.00249999999994</v>
      </c>
      <c r="R76" s="180">
        <f t="shared" si="5"/>
        <v>19.270051249999998</v>
      </c>
      <c r="S76" s="180">
        <f>$L$11*(1+$L$9)^N76*'Récapitulatif des résultats'!$I$11</f>
        <v>0</v>
      </c>
      <c r="T76" s="241"/>
      <c r="U76" s="180"/>
      <c r="V76" s="249">
        <f t="shared" si="7"/>
        <v>0</v>
      </c>
      <c r="W76" s="188">
        <f>SUM('Chenes+Alisier - f. très forte'!AQ60*'Chenes+Alisier - f. très forte'!$F$21,'Chenes+corm+merisier - f. forte'!AQ60*'Chenes+corm+merisier - f. forte'!$F$21,'Charme - fertil.forte'!AQ60*'Charme - fertil.forte'!$F$21,'Pin maritime - très forte'!AQ60*'Pin maritime - très forte'!$F$21,'P. sylv.+laricio+séquoia -forte'!AQ60*'P. sylv.+laricio+séquoia -forte'!$F$21,'Douglas - fertilité moyenne'!AQ60*'Douglas - fertilité moyenne'!$F$21)</f>
        <v>0</v>
      </c>
      <c r="X76" s="188">
        <f>SUM('Chenes+Alisier - f. très forte'!AR60*'Chenes+Alisier - f. très forte'!$F$21,'Chenes+corm+merisier - f. forte'!AR60*'Chenes+corm+merisier - f. forte'!$F$21,'Charme - fertil.forte'!AR60*'Charme - fertil.forte'!$F$21,'Pin maritime - très forte'!AR60*'Pin maritime - très forte'!$F$21,'P. sylv.+laricio+séquoia -forte'!AR60*'P. sylv.+laricio+séquoia -forte'!$F$21,'Douglas - fertilité moyenne'!AR60*'Douglas - fertilité moyenne'!$F$21)</f>
        <v>0</v>
      </c>
      <c r="Y76" s="188">
        <f>SUM('Chenes+Alisier - f. très forte'!AS60*'Chenes+Alisier - f. très forte'!$F$21,'Chenes+corm+merisier - f. forte'!AS60*'Chenes+corm+merisier - f. forte'!$F$21,'Charme - fertil.forte'!AS60*'Charme - fertil.forte'!$F$21,'Pin maritime - très forte'!AS60*'Pin maritime - très forte'!$F$21,'P. sylv.+laricio+séquoia -forte'!AS60*'P. sylv.+laricio+séquoia -forte'!$F$21,'Douglas - fertilité moyenne'!AS60*'Douglas - fertilité moyenne'!$F$21)</f>
        <v>0</v>
      </c>
      <c r="Z76" s="331">
        <f>SUM('Chenes+Alisier - f. très forte'!AT60*'Chenes+Alisier - f. très forte'!$F$21,'Chenes+corm+merisier - f. forte'!AT60*'Chenes+corm+merisier - f. forte'!$F$21,'Charme - fertil.forte'!AT60*'Charme - fertil.forte'!$F$21,'Pin maritime - très forte'!AT60*'Pin maritime - très forte'!$F$21,'P. sylv.+laricio+séquoia -forte'!AT60*'P. sylv.+laricio+séquoia -forte'!$F$21,'Douglas - fertilité moyenne'!AT60*'Douglas - fertilité moyenne'!$F$21)</f>
        <v>0</v>
      </c>
      <c r="AA76" s="178">
        <f t="shared" si="9"/>
        <v>0</v>
      </c>
      <c r="AB76" s="179">
        <f t="shared" si="8"/>
        <v>-85.220885620079216</v>
      </c>
      <c r="AC76" s="178"/>
      <c r="AD76" s="178"/>
    </row>
    <row r="77" spans="2:30">
      <c r="B77" s="271">
        <f>'Pin maritime - très forte'!B88</f>
        <v>46</v>
      </c>
      <c r="C77" s="225">
        <f>'Pin maritime - très forte'!C88</f>
        <v>49</v>
      </c>
      <c r="D77" s="226">
        <f>'Pin maritime - très forte'!D88</f>
        <v>0.7</v>
      </c>
      <c r="E77" s="221">
        <f>'Pin maritime - très forte'!E88</f>
        <v>0.16800000000000004</v>
      </c>
      <c r="F77" s="221">
        <f>'Pin maritime - très forte'!F88</f>
        <v>0.13200000000000003</v>
      </c>
      <c r="G77" s="227">
        <f>'Pin maritime - très forte'!G88</f>
        <v>0</v>
      </c>
      <c r="H77" s="210">
        <f>IFERROR(VLOOKUP($B$69,Tableau14582[],4,FALSE)*(1+$L$9)^$B77,0)</f>
        <v>42</v>
      </c>
      <c r="I77" s="211">
        <f>IFERROR(VLOOKUP($B$69,Tableau14582[],5,FALSE)*(1+$L$9)^$B77,0)</f>
        <v>19.375</v>
      </c>
      <c r="J77" s="211">
        <f>IFERROR(VLOOKUP($B$69,Tableau14582[],5,FALSE)*(1+$L$9)^$B77,0)</f>
        <v>19.375</v>
      </c>
      <c r="K77" s="212">
        <f>IFERROR(VLOOKUP($B$69,Tableau14582[],6,FALSE)*(1+$L$9)^$B77,0)</f>
        <v>10</v>
      </c>
      <c r="L77" s="263">
        <f t="shared" si="15"/>
        <v>6605.9142975000004</v>
      </c>
      <c r="N77" s="71">
        <v>56</v>
      </c>
      <c r="O77" s="239"/>
      <c r="P77" s="180"/>
      <c r="Q77" s="240">
        <f t="shared" si="14"/>
        <v>940.00249999999994</v>
      </c>
      <c r="R77" s="180">
        <f t="shared" si="5"/>
        <v>19.270051249999998</v>
      </c>
      <c r="S77" s="180">
        <f>$L$11*(1+$L$9)^N77*'Récapitulatif des résultats'!$I$11</f>
        <v>0</v>
      </c>
      <c r="T77" s="241"/>
      <c r="U77" s="180"/>
      <c r="V77" s="249">
        <f t="shared" si="7"/>
        <v>701.57500000000005</v>
      </c>
      <c r="W77" s="188">
        <f>SUM('Chenes+Alisier - f. très forte'!AQ61*'Chenes+Alisier - f. très forte'!$F$21,'Chenes+corm+merisier - f. forte'!AQ61*'Chenes+corm+merisier - f. forte'!$F$21,'Charme - fertil.forte'!AQ61*'Charme - fertil.forte'!$F$21,'Pin maritime - très forte'!AQ61*'Pin maritime - très forte'!$F$21,'P. sylv.+laricio+séquoia -forte'!AQ61*'P. sylv.+laricio+séquoia -forte'!$F$21,'Douglas - fertilité moyenne'!AQ61*'Douglas - fertilité moyenne'!$F$21)</f>
        <v>321.98250000000002</v>
      </c>
      <c r="X77" s="188">
        <f>SUM('Chenes+Alisier - f. très forte'!AR61*'Chenes+Alisier - f. très forte'!$F$21,'Chenes+corm+merisier - f. forte'!AR61*'Chenes+corm+merisier - f. forte'!$F$21,'Charme - fertil.forte'!AR61*'Charme - fertil.forte'!$F$21,'Pin maritime - très forte'!AR61*'Pin maritime - très forte'!$F$21,'P. sylv.+laricio+séquoia -forte'!AR61*'P. sylv.+laricio+séquoia -forte'!$F$21,'Douglas - fertilité moyenne'!AR61*'Douglas - fertilité moyenne'!$F$21)</f>
        <v>0</v>
      </c>
      <c r="Y77" s="188">
        <f>SUM('Chenes+Alisier - f. très forte'!AS61*'Chenes+Alisier - f. très forte'!$F$21,'Chenes+corm+merisier - f. forte'!AS61*'Chenes+corm+merisier - f. forte'!$F$21,'Charme - fertil.forte'!AS61*'Charme - fertil.forte'!$F$21,'Pin maritime - très forte'!AS61*'Pin maritime - très forte'!$F$21,'P. sylv.+laricio+séquoia -forte'!AS61*'P. sylv.+laricio+séquoia -forte'!$F$21,'Douglas - fertilité moyenne'!AS61*'Douglas - fertilité moyenne'!$F$21)</f>
        <v>0</v>
      </c>
      <c r="Z77" s="331">
        <f>SUM('Chenes+Alisier - f. très forte'!AT61*'Chenes+Alisier - f. très forte'!$F$21,'Chenes+corm+merisier - f. forte'!AT61*'Chenes+corm+merisier - f. forte'!$F$21,'Charme - fertil.forte'!AT61*'Charme - fertil.forte'!$F$21,'Pin maritime - très forte'!AT61*'Pin maritime - très forte'!$F$21,'P. sylv.+laricio+séquoia -forte'!AT61*'P. sylv.+laricio+séquoia -forte'!$F$21,'Douglas - fertilité moyenne'!AT61*'Douglas - fertilité moyenne'!$F$21)</f>
        <v>379.59249999999997</v>
      </c>
      <c r="AA77" s="178">
        <f t="shared" si="9"/>
        <v>39997.300000000003</v>
      </c>
      <c r="AB77" s="179">
        <f t="shared" si="8"/>
        <v>3318.7581127132303</v>
      </c>
      <c r="AC77" s="178"/>
      <c r="AD77" s="178"/>
    </row>
    <row r="78" spans="2:30">
      <c r="B78" s="271">
        <f>'Pin maritime - très forte'!B89</f>
        <v>51</v>
      </c>
      <c r="C78" s="225">
        <f>'Pin maritime - très forte'!C89</f>
        <v>47</v>
      </c>
      <c r="D78" s="226">
        <f>'Pin maritime - très forte'!D89</f>
        <v>0.7</v>
      </c>
      <c r="E78" s="221">
        <f>'Pin maritime - très forte'!E89</f>
        <v>0.16800000000000004</v>
      </c>
      <c r="F78" s="221">
        <f>'Pin maritime - très forte'!F89</f>
        <v>0.13200000000000003</v>
      </c>
      <c r="G78" s="227">
        <f>'Pin maritime - très forte'!G89</f>
        <v>0</v>
      </c>
      <c r="H78" s="210">
        <f>IFERROR(VLOOKUP($B$69,Tableau14582[],4,FALSE)*(1+$L$9)^$B78,0)</f>
        <v>42</v>
      </c>
      <c r="I78" s="211">
        <f>IFERROR(VLOOKUP($B$69,Tableau14582[],5,FALSE)*(1+$L$9)^$B78,0)</f>
        <v>19.375</v>
      </c>
      <c r="J78" s="211">
        <f>IFERROR(VLOOKUP($B$69,Tableau14582[],5,FALSE)*(1+$L$9)^$B78,0)</f>
        <v>19.375</v>
      </c>
      <c r="K78" s="212">
        <f>IFERROR(VLOOKUP($B$69,Tableau14582[],6,FALSE)*(1+$L$9)^$B78,0)</f>
        <v>10</v>
      </c>
      <c r="L78" s="263">
        <f t="shared" si="15"/>
        <v>6336.2851424999999</v>
      </c>
      <c r="N78" s="71">
        <v>57</v>
      </c>
      <c r="O78" s="239"/>
      <c r="P78" s="180"/>
      <c r="Q78" s="240">
        <f t="shared" si="14"/>
        <v>940.00249999999994</v>
      </c>
      <c r="R78" s="180">
        <f t="shared" si="5"/>
        <v>19.270051249999998</v>
      </c>
      <c r="S78" s="180">
        <f>$L$11*(1+$L$9)^N78*'Récapitulatif des résultats'!$I$11</f>
        <v>0</v>
      </c>
      <c r="T78" s="241"/>
      <c r="U78" s="180"/>
      <c r="V78" s="249">
        <f t="shared" si="7"/>
        <v>0</v>
      </c>
      <c r="W78" s="188">
        <f>SUM('Chenes+Alisier - f. très forte'!AQ62*'Chenes+Alisier - f. très forte'!$F$21,'Chenes+corm+merisier - f. forte'!AQ62*'Chenes+corm+merisier - f. forte'!$F$21,'Charme - fertil.forte'!AQ62*'Charme - fertil.forte'!$F$21,'Pin maritime - très forte'!AQ62*'Pin maritime - très forte'!$F$21,'P. sylv.+laricio+séquoia -forte'!AQ62*'P. sylv.+laricio+séquoia -forte'!$F$21,'Douglas - fertilité moyenne'!AQ62*'Douglas - fertilité moyenne'!$F$21)</f>
        <v>0</v>
      </c>
      <c r="X78" s="188">
        <f>SUM('Chenes+Alisier - f. très forte'!AR62*'Chenes+Alisier - f. très forte'!$F$21,'Chenes+corm+merisier - f. forte'!AR62*'Chenes+corm+merisier - f. forte'!$F$21,'Charme - fertil.forte'!AR62*'Charme - fertil.forte'!$F$21,'Pin maritime - très forte'!AR62*'Pin maritime - très forte'!$F$21,'P. sylv.+laricio+séquoia -forte'!AR62*'P. sylv.+laricio+séquoia -forte'!$F$21,'Douglas - fertilité moyenne'!AR62*'Douglas - fertilité moyenne'!$F$21)</f>
        <v>0</v>
      </c>
      <c r="Y78" s="188">
        <f>SUM('Chenes+Alisier - f. très forte'!AS62*'Chenes+Alisier - f. très forte'!$F$21,'Chenes+corm+merisier - f. forte'!AS62*'Chenes+corm+merisier - f. forte'!$F$21,'Charme - fertil.forte'!AS62*'Charme - fertil.forte'!$F$21,'Pin maritime - très forte'!AS62*'Pin maritime - très forte'!$F$21,'P. sylv.+laricio+séquoia -forte'!AS62*'P. sylv.+laricio+séquoia -forte'!$F$21,'Douglas - fertilité moyenne'!AS62*'Douglas - fertilité moyenne'!$F$21)</f>
        <v>0</v>
      </c>
      <c r="Z78" s="331">
        <f>SUM('Chenes+Alisier - f. très forte'!AT62*'Chenes+Alisier - f. très forte'!$F$21,'Chenes+corm+merisier - f. forte'!AT62*'Chenes+corm+merisier - f. forte'!$F$21,'Charme - fertil.forte'!AT62*'Charme - fertil.forte'!$F$21,'Pin maritime - très forte'!AT62*'Pin maritime - très forte'!$F$21,'P. sylv.+laricio+séquoia -forte'!AT62*'P. sylv.+laricio+séquoia -forte'!$F$21,'Douglas - fertilité moyenne'!AT62*'Douglas - fertilité moyenne'!$F$21)</f>
        <v>0</v>
      </c>
      <c r="AA78" s="178">
        <f t="shared" si="9"/>
        <v>0</v>
      </c>
      <c r="AB78" s="179">
        <f t="shared" si="8"/>
        <v>-78.039317433281525</v>
      </c>
      <c r="AC78" s="178"/>
      <c r="AD78" s="178"/>
    </row>
    <row r="79" spans="2:30">
      <c r="B79" s="271" t="str">
        <f>'Pin maritime - très forte'!B90</f>
        <v>-</v>
      </c>
      <c r="C79" s="225">
        <f>'Pin maritime - très forte'!C90</f>
        <v>42</v>
      </c>
      <c r="D79" s="226">
        <f>'Pin maritime - très forte'!D90</f>
        <v>0.7</v>
      </c>
      <c r="E79" s="221">
        <f>'Pin maritime - très forte'!E90</f>
        <v>0.16800000000000004</v>
      </c>
      <c r="F79" s="221">
        <f>'Pin maritime - très forte'!F90</f>
        <v>0.13200000000000003</v>
      </c>
      <c r="G79" s="227">
        <f>'Pin maritime - très forte'!G90</f>
        <v>0</v>
      </c>
      <c r="H79" s="210">
        <f>IFERROR(VLOOKUP($B$69,Tableau14582[],4,FALSE)*(1+$L$9)^$B79,0)</f>
        <v>0</v>
      </c>
      <c r="I79" s="211">
        <f>IFERROR(VLOOKUP($B$69,Tableau14582[],5,FALSE)*(1+$L$9)^$B79,0)</f>
        <v>0</v>
      </c>
      <c r="J79" s="211">
        <f>IFERROR(VLOOKUP($B$69,Tableau14582[],5,FALSE)*(1+$L$9)^$B79,0)</f>
        <v>0</v>
      </c>
      <c r="K79" s="212">
        <f>IFERROR(VLOOKUP($B$69,Tableau14582[],6,FALSE)*(1+$L$9)^$B79,0)</f>
        <v>0</v>
      </c>
      <c r="L79" s="263">
        <f t="shared" si="15"/>
        <v>0</v>
      </c>
      <c r="N79" s="71">
        <v>58</v>
      </c>
      <c r="O79" s="239"/>
      <c r="P79" s="180"/>
      <c r="Q79" s="240">
        <f t="shared" si="14"/>
        <v>940.00249999999994</v>
      </c>
      <c r="R79" s="180">
        <f t="shared" si="5"/>
        <v>19.270051249999998</v>
      </c>
      <c r="S79" s="180">
        <f>$L$11*(1+$L$9)^N79*'Récapitulatif des résultats'!$I$11</f>
        <v>0</v>
      </c>
      <c r="T79" s="241"/>
      <c r="U79" s="180"/>
      <c r="V79" s="249">
        <f t="shared" si="7"/>
        <v>0</v>
      </c>
      <c r="W79" s="188">
        <f>SUM('Chenes+Alisier - f. très forte'!AQ63*'Chenes+Alisier - f. très forte'!$F$21,'Chenes+corm+merisier - f. forte'!AQ63*'Chenes+corm+merisier - f. forte'!$F$21,'Charme - fertil.forte'!AQ63*'Charme - fertil.forte'!$F$21,'Pin maritime - très forte'!AQ63*'Pin maritime - très forte'!$F$21,'P. sylv.+laricio+séquoia -forte'!AQ63*'P. sylv.+laricio+séquoia -forte'!$F$21,'Douglas - fertilité moyenne'!AQ63*'Douglas - fertilité moyenne'!$F$21)</f>
        <v>0</v>
      </c>
      <c r="X79" s="188">
        <f>SUM('Chenes+Alisier - f. très forte'!AR63*'Chenes+Alisier - f. très forte'!$F$21,'Chenes+corm+merisier - f. forte'!AR63*'Chenes+corm+merisier - f. forte'!$F$21,'Charme - fertil.forte'!AR63*'Charme - fertil.forte'!$F$21,'Pin maritime - très forte'!AR63*'Pin maritime - très forte'!$F$21,'P. sylv.+laricio+séquoia -forte'!AR63*'P. sylv.+laricio+séquoia -forte'!$F$21,'Douglas - fertilité moyenne'!AR63*'Douglas - fertilité moyenne'!$F$21)</f>
        <v>0</v>
      </c>
      <c r="Y79" s="188">
        <f>SUM('Chenes+Alisier - f. très forte'!AS63*'Chenes+Alisier - f. très forte'!$F$21,'Chenes+corm+merisier - f. forte'!AS63*'Chenes+corm+merisier - f. forte'!$F$21,'Charme - fertil.forte'!AS63*'Charme - fertil.forte'!$F$21,'Pin maritime - très forte'!AS63*'Pin maritime - très forte'!$F$21,'P. sylv.+laricio+séquoia -forte'!AS63*'P. sylv.+laricio+séquoia -forte'!$F$21,'Douglas - fertilité moyenne'!AS63*'Douglas - fertilité moyenne'!$F$21)</f>
        <v>0</v>
      </c>
      <c r="Z79" s="331">
        <f>SUM('Chenes+Alisier - f. très forte'!AT63*'Chenes+Alisier - f. très forte'!$F$21,'Chenes+corm+merisier - f. forte'!AT63*'Chenes+corm+merisier - f. forte'!$F$21,'Charme - fertil.forte'!AT63*'Charme - fertil.forte'!$F$21,'Pin maritime - très forte'!AT63*'Pin maritime - très forte'!$F$21,'P. sylv.+laricio+séquoia -forte'!AT63*'P. sylv.+laricio+séquoia -forte'!$F$21,'Douglas - fertilité moyenne'!AT63*'Douglas - fertilité moyenne'!$F$21)</f>
        <v>0</v>
      </c>
      <c r="AA79" s="178">
        <f t="shared" si="9"/>
        <v>0</v>
      </c>
      <c r="AB79" s="179">
        <f t="shared" si="8"/>
        <v>-74.67877266342731</v>
      </c>
      <c r="AC79" s="178"/>
      <c r="AD79" s="178"/>
    </row>
    <row r="80" spans="2:30">
      <c r="B80" s="271" t="str">
        <f>'Pin maritime - très forte'!B91</f>
        <v>-</v>
      </c>
      <c r="C80" s="225">
        <f>'Pin maritime - très forte'!C91</f>
        <v>39</v>
      </c>
      <c r="D80" s="226">
        <f>'Pin maritime - très forte'!D91</f>
        <v>0.7</v>
      </c>
      <c r="E80" s="221">
        <f>'Pin maritime - très forte'!E91</f>
        <v>0.16800000000000004</v>
      </c>
      <c r="F80" s="221">
        <f>'Pin maritime - très forte'!F91</f>
        <v>0.13200000000000003</v>
      </c>
      <c r="G80" s="227">
        <f>'Pin maritime - très forte'!G91</f>
        <v>0</v>
      </c>
      <c r="H80" s="210">
        <f>IFERROR(VLOOKUP($B$69,Tableau14582[],4,FALSE)*(1+$L$9)^$B80,0)</f>
        <v>0</v>
      </c>
      <c r="I80" s="211">
        <f>IFERROR(VLOOKUP($B$69,Tableau14582[],5,FALSE)*(1+$L$9)^$B80,0)</f>
        <v>0</v>
      </c>
      <c r="J80" s="211">
        <f>IFERROR(VLOOKUP($B$69,Tableau14582[],5,FALSE)*(1+$L$9)^$B80,0)</f>
        <v>0</v>
      </c>
      <c r="K80" s="212">
        <f>IFERROR(VLOOKUP($B$69,Tableau14582[],6,FALSE)*(1+$L$9)^$B80,0)</f>
        <v>0</v>
      </c>
      <c r="L80" s="263">
        <f t="shared" si="15"/>
        <v>0</v>
      </c>
      <c r="N80" s="71">
        <v>59</v>
      </c>
      <c r="O80" s="239"/>
      <c r="P80" s="180"/>
      <c r="Q80" s="240">
        <f t="shared" si="14"/>
        <v>940.00249999999994</v>
      </c>
      <c r="R80" s="180">
        <f t="shared" si="5"/>
        <v>19.270051249999998</v>
      </c>
      <c r="S80" s="180">
        <f>$L$11*(1+$L$9)^N80*'Récapitulatif des résultats'!$I$11</f>
        <v>0</v>
      </c>
      <c r="T80" s="241"/>
      <c r="U80" s="180"/>
      <c r="V80" s="249">
        <f t="shared" si="7"/>
        <v>0</v>
      </c>
      <c r="W80" s="188">
        <f>SUM('Chenes+Alisier - f. très forte'!AQ64*'Chenes+Alisier - f. très forte'!$F$21,'Chenes+corm+merisier - f. forte'!AQ64*'Chenes+corm+merisier - f. forte'!$F$21,'Charme - fertil.forte'!AQ64*'Charme - fertil.forte'!$F$21,'Pin maritime - très forte'!AQ64*'Pin maritime - très forte'!$F$21,'P. sylv.+laricio+séquoia -forte'!AQ64*'P. sylv.+laricio+séquoia -forte'!$F$21,'Douglas - fertilité moyenne'!AQ64*'Douglas - fertilité moyenne'!$F$21)</f>
        <v>0</v>
      </c>
      <c r="X80" s="188">
        <f>SUM('Chenes+Alisier - f. très forte'!AR64*'Chenes+Alisier - f. très forte'!$F$21,'Chenes+corm+merisier - f. forte'!AR64*'Chenes+corm+merisier - f. forte'!$F$21,'Charme - fertil.forte'!AR64*'Charme - fertil.forte'!$F$21,'Pin maritime - très forte'!AR64*'Pin maritime - très forte'!$F$21,'P. sylv.+laricio+séquoia -forte'!AR64*'P. sylv.+laricio+séquoia -forte'!$F$21,'Douglas - fertilité moyenne'!AR64*'Douglas - fertilité moyenne'!$F$21)</f>
        <v>0</v>
      </c>
      <c r="Y80" s="188">
        <f>SUM('Chenes+Alisier - f. très forte'!AS64*'Chenes+Alisier - f. très forte'!$F$21,'Chenes+corm+merisier - f. forte'!AS64*'Chenes+corm+merisier - f. forte'!$F$21,'Charme - fertil.forte'!AS64*'Charme - fertil.forte'!$F$21,'Pin maritime - très forte'!AS64*'Pin maritime - très forte'!$F$21,'P. sylv.+laricio+séquoia -forte'!AS64*'P. sylv.+laricio+séquoia -forte'!$F$21,'Douglas - fertilité moyenne'!AS64*'Douglas - fertilité moyenne'!$F$21)</f>
        <v>0</v>
      </c>
      <c r="Z80" s="331">
        <f>SUM('Chenes+Alisier - f. très forte'!AT64*'Chenes+Alisier - f. très forte'!$F$21,'Chenes+corm+merisier - f. forte'!AT64*'Chenes+corm+merisier - f. forte'!$F$21,'Charme - fertil.forte'!AT64*'Charme - fertil.forte'!$F$21,'Pin maritime - très forte'!AT64*'Pin maritime - très forte'!$F$21,'P. sylv.+laricio+séquoia -forte'!AT64*'P. sylv.+laricio+séquoia -forte'!$F$21,'Douglas - fertilité moyenne'!AT64*'Douglas - fertilité moyenne'!$F$21)</f>
        <v>0</v>
      </c>
      <c r="AA80" s="178">
        <f t="shared" si="9"/>
        <v>0</v>
      </c>
      <c r="AB80" s="179">
        <f t="shared" si="8"/>
        <v>-71.462940347777334</v>
      </c>
      <c r="AC80" s="178"/>
      <c r="AD80" s="178"/>
    </row>
    <row r="81" spans="2:30">
      <c r="B81" s="271" t="str">
        <f>'Pin maritime - très forte'!B92</f>
        <v>-</v>
      </c>
      <c r="C81" s="225">
        <f>'Pin maritime - très forte'!C92</f>
        <v>36</v>
      </c>
      <c r="D81" s="226">
        <f>'Pin maritime - très forte'!D92</f>
        <v>0.7</v>
      </c>
      <c r="E81" s="221">
        <f>'Pin maritime - très forte'!E92</f>
        <v>0.16800000000000004</v>
      </c>
      <c r="F81" s="221">
        <f>'Pin maritime - très forte'!F92</f>
        <v>0.13200000000000003</v>
      </c>
      <c r="G81" s="227">
        <f>'Pin maritime - très forte'!G92</f>
        <v>0</v>
      </c>
      <c r="H81" s="210">
        <f>IFERROR(VLOOKUP($B$69,Tableau14582[],4,FALSE)*(1+$L$9)^$B81,0)</f>
        <v>0</v>
      </c>
      <c r="I81" s="211">
        <f>IFERROR(VLOOKUP($B$69,Tableau14582[],5,FALSE)*(1+$L$9)^$B81,0)</f>
        <v>0</v>
      </c>
      <c r="J81" s="211">
        <f>IFERROR(VLOOKUP($B$69,Tableau14582[],5,FALSE)*(1+$L$9)^$B81,0)</f>
        <v>0</v>
      </c>
      <c r="K81" s="212">
        <f>IFERROR(VLOOKUP($B$69,Tableau14582[],6,FALSE)*(1+$L$9)^$B81,0)</f>
        <v>0</v>
      </c>
      <c r="L81" s="263">
        <f t="shared" si="15"/>
        <v>0</v>
      </c>
      <c r="N81" s="71">
        <v>60</v>
      </c>
      <c r="O81" s="239"/>
      <c r="P81" s="180"/>
      <c r="Q81" s="240">
        <f t="shared" si="14"/>
        <v>940.00249999999994</v>
      </c>
      <c r="R81" s="180">
        <f t="shared" si="5"/>
        <v>19.270051249999998</v>
      </c>
      <c r="S81" s="180">
        <f>$L$11*(1+$L$9)^N81*'Récapitulatif des résultats'!$I$11</f>
        <v>0</v>
      </c>
      <c r="T81" s="241"/>
      <c r="U81" s="180"/>
      <c r="V81" s="249">
        <f t="shared" si="7"/>
        <v>0</v>
      </c>
      <c r="W81" s="188">
        <f>SUM('Chenes+Alisier - f. très forte'!AQ65*'Chenes+Alisier - f. très forte'!$F$21,'Chenes+corm+merisier - f. forte'!AQ65*'Chenes+corm+merisier - f. forte'!$F$21,'Charme - fertil.forte'!AQ65*'Charme - fertil.forte'!$F$21,'Pin maritime - très forte'!AQ65*'Pin maritime - très forte'!$F$21,'P. sylv.+laricio+séquoia -forte'!AQ65*'P. sylv.+laricio+séquoia -forte'!$F$21,'Douglas - fertilité moyenne'!AQ65*'Douglas - fertilité moyenne'!$F$21)</f>
        <v>0</v>
      </c>
      <c r="X81" s="188">
        <f>SUM('Chenes+Alisier - f. très forte'!AR65*'Chenes+Alisier - f. très forte'!$F$21,'Chenes+corm+merisier - f. forte'!AR65*'Chenes+corm+merisier - f. forte'!$F$21,'Charme - fertil.forte'!AR65*'Charme - fertil.forte'!$F$21,'Pin maritime - très forte'!AR65*'Pin maritime - très forte'!$F$21,'P. sylv.+laricio+séquoia -forte'!AR65*'P. sylv.+laricio+séquoia -forte'!$F$21,'Douglas - fertilité moyenne'!AR65*'Douglas - fertilité moyenne'!$F$21)</f>
        <v>0</v>
      </c>
      <c r="Y81" s="188">
        <f>SUM('Chenes+Alisier - f. très forte'!AS65*'Chenes+Alisier - f. très forte'!$F$21,'Chenes+corm+merisier - f. forte'!AS65*'Chenes+corm+merisier - f. forte'!$F$21,'Charme - fertil.forte'!AS65*'Charme - fertil.forte'!$F$21,'Pin maritime - très forte'!AS65*'Pin maritime - très forte'!$F$21,'P. sylv.+laricio+séquoia -forte'!AS65*'P. sylv.+laricio+séquoia -forte'!$F$21,'Douglas - fertilité moyenne'!AS65*'Douglas - fertilité moyenne'!$F$21)</f>
        <v>0</v>
      </c>
      <c r="Z81" s="331">
        <f>SUM('Chenes+Alisier - f. très forte'!AT65*'Chenes+Alisier - f. très forte'!$F$21,'Chenes+corm+merisier - f. forte'!AT65*'Chenes+corm+merisier - f. forte'!$F$21,'Charme - fertil.forte'!AT65*'Charme - fertil.forte'!$F$21,'Pin maritime - très forte'!AT65*'Pin maritime - très forte'!$F$21,'P. sylv.+laricio+séquoia -forte'!AT65*'P. sylv.+laricio+séquoia -forte'!$F$21,'Douglas - fertilité moyenne'!AT65*'Douglas - fertilité moyenne'!$F$21)</f>
        <v>0</v>
      </c>
      <c r="AA81" s="178">
        <f t="shared" si="9"/>
        <v>0</v>
      </c>
      <c r="AB81" s="179">
        <f t="shared" si="8"/>
        <v>-68.385588849547688</v>
      </c>
      <c r="AC81" s="178"/>
      <c r="AD81" s="178"/>
    </row>
    <row r="82" spans="2:30">
      <c r="B82" s="271" t="str">
        <f>'Pin maritime - très forte'!B93</f>
        <v>-</v>
      </c>
      <c r="C82" s="225">
        <f>'Pin maritime - très forte'!C93</f>
        <v>34</v>
      </c>
      <c r="D82" s="226">
        <f>'Pin maritime - très forte'!D93</f>
        <v>0.7</v>
      </c>
      <c r="E82" s="221">
        <f>'Pin maritime - très forte'!E93</f>
        <v>0.16800000000000004</v>
      </c>
      <c r="F82" s="221">
        <f>'Pin maritime - très forte'!F93</f>
        <v>0.13200000000000003</v>
      </c>
      <c r="G82" s="227">
        <f>'Pin maritime - très forte'!G93</f>
        <v>0</v>
      </c>
      <c r="H82" s="210">
        <f>IFERROR(VLOOKUP($B$69,Tableau14582[],4,FALSE)*(1+$L$9)^$B82,0)</f>
        <v>0</v>
      </c>
      <c r="I82" s="211">
        <f>IFERROR(VLOOKUP($B$69,Tableau14582[],5,FALSE)*(1+$L$9)^$B82,0)</f>
        <v>0</v>
      </c>
      <c r="J82" s="211">
        <f>IFERROR(VLOOKUP($B$69,Tableau14582[],5,FALSE)*(1+$L$9)^$B82,0)</f>
        <v>0</v>
      </c>
      <c r="K82" s="212">
        <f>IFERROR(VLOOKUP($B$69,Tableau14582[],6,FALSE)*(1+$L$9)^$B82,0)</f>
        <v>0</v>
      </c>
      <c r="L82" s="263">
        <f t="shared" si="15"/>
        <v>0</v>
      </c>
      <c r="N82" s="71">
        <v>61</v>
      </c>
      <c r="O82" s="239"/>
      <c r="P82" s="180"/>
      <c r="Q82" s="240">
        <f t="shared" si="14"/>
        <v>940.00249999999994</v>
      </c>
      <c r="R82" s="180">
        <f t="shared" si="5"/>
        <v>19.270051249999998</v>
      </c>
      <c r="S82" s="180">
        <f>$L$11*(1+$L$9)^N82*'Récapitulatif des résultats'!$I$11</f>
        <v>0</v>
      </c>
      <c r="T82" s="241"/>
      <c r="U82" s="180"/>
      <c r="V82" s="249">
        <f t="shared" si="7"/>
        <v>701.57500000000005</v>
      </c>
      <c r="W82" s="188">
        <f>SUM('Chenes+Alisier - f. très forte'!AQ66*'Chenes+Alisier - f. très forte'!$F$21,'Chenes+corm+merisier - f. forte'!AQ66*'Chenes+corm+merisier - f. forte'!$F$21,'Charme - fertil.forte'!AQ66*'Charme - fertil.forte'!$F$21,'Pin maritime - très forte'!AQ66*'Pin maritime - très forte'!$F$21,'P. sylv.+laricio+séquoia -forte'!AQ66*'P. sylv.+laricio+séquoia -forte'!$F$21,'Douglas - fertilité moyenne'!AQ66*'Douglas - fertilité moyenne'!$F$21)</f>
        <v>354.9</v>
      </c>
      <c r="X82" s="188">
        <f>SUM('Chenes+Alisier - f. très forte'!AR66*'Chenes+Alisier - f. très forte'!$F$21,'Chenes+corm+merisier - f. forte'!AR66*'Chenes+corm+merisier - f. forte'!$F$21,'Charme - fertil.forte'!AR66*'Charme - fertil.forte'!$F$21,'Pin maritime - très forte'!AR66*'Pin maritime - très forte'!$F$21,'P. sylv.+laricio+séquoia -forte'!AR66*'P. sylv.+laricio+séquoia -forte'!$F$21,'Douglas - fertilité moyenne'!AR66*'Douglas - fertilité moyenne'!$F$21)</f>
        <v>0</v>
      </c>
      <c r="Y82" s="188">
        <f>SUM('Chenes+Alisier - f. très forte'!AS66*'Chenes+Alisier - f. très forte'!$F$21,'Chenes+corm+merisier - f. forte'!AS66*'Chenes+corm+merisier - f. forte'!$F$21,'Charme - fertil.forte'!AS66*'Charme - fertil.forte'!$F$21,'Pin maritime - très forte'!AS66*'Pin maritime - très forte'!$F$21,'P. sylv.+laricio+séquoia -forte'!AS66*'P. sylv.+laricio+séquoia -forte'!$F$21,'Douglas - fertilité moyenne'!AS66*'Douglas - fertilité moyenne'!$F$21)</f>
        <v>0</v>
      </c>
      <c r="Z82" s="331">
        <f>SUM('Chenes+Alisier - f. très forte'!AT66*'Chenes+Alisier - f. très forte'!$F$21,'Chenes+corm+merisier - f. forte'!AT66*'Chenes+corm+merisier - f. forte'!$F$21,'Charme - fertil.forte'!AT66*'Charme - fertil.forte'!$F$21,'Pin maritime - très forte'!AT66*'Pin maritime - très forte'!$F$21,'P. sylv.+laricio+séquoia -forte'!AT66*'P. sylv.+laricio+séquoia -forte'!$F$21,'Douglas - fertilité moyenne'!AT66*'Douglas - fertilité moyenne'!$F$21)</f>
        <v>346.67500000000001</v>
      </c>
      <c r="AA82" s="178">
        <f t="shared" si="9"/>
        <v>42589.75</v>
      </c>
      <c r="AB82" s="179">
        <f t="shared" si="8"/>
        <v>2839.9956474402798</v>
      </c>
      <c r="AC82" s="178"/>
      <c r="AD82" s="178"/>
    </row>
    <row r="83" spans="2:30">
      <c r="B83" s="264">
        <f>'Pin maritime - très forte'!B94</f>
        <v>50</v>
      </c>
      <c r="C83" s="228">
        <f>'Pin maritime - très forte'!C94</f>
        <v>392</v>
      </c>
      <c r="D83" s="222">
        <f>'Pin maritime - très forte'!D94</f>
        <v>0.95</v>
      </c>
      <c r="E83" s="234">
        <f>'Pin maritime - très forte'!E94</f>
        <v>2.8000000000000028E-2</v>
      </c>
      <c r="F83" s="234">
        <f>'Pin maritime - très forte'!F94</f>
        <v>2.200000000000002E-2</v>
      </c>
      <c r="G83" s="229">
        <f>'Pin maritime - très forte'!G94</f>
        <v>0</v>
      </c>
      <c r="H83" s="213">
        <f>IFERROR(VLOOKUP($B$69,Tableau14582[],4,FALSE)*(1+$L$9)^$B83,0)</f>
        <v>42</v>
      </c>
      <c r="I83" s="214">
        <f>IFERROR(VLOOKUP($B$69,Tableau14582[],5,FALSE)*(1+$L$9)^$B83,0)</f>
        <v>19.375</v>
      </c>
      <c r="J83" s="214">
        <f>IFERROR(VLOOKUP($B$69,Tableau14582[],5,FALSE)*(1+$L$9)^$B83,0)</f>
        <v>19.375</v>
      </c>
      <c r="K83" s="215">
        <f>IFERROR(VLOOKUP($B$69,Tableau14582[],6,FALSE)*(1+$L$9)^$B83,0)</f>
        <v>10</v>
      </c>
      <c r="L83" s="265">
        <f t="shared" si="15"/>
        <v>61336.277729999994</v>
      </c>
      <c r="N83" s="71">
        <v>62</v>
      </c>
      <c r="O83" s="239"/>
      <c r="P83" s="180"/>
      <c r="Q83" s="240">
        <f t="shared" si="14"/>
        <v>940.00249999999994</v>
      </c>
      <c r="R83" s="180">
        <f t="shared" si="5"/>
        <v>19.270051249999998</v>
      </c>
      <c r="S83" s="180">
        <f>$L$11*(1+$L$9)^N83*'Récapitulatif des résultats'!$I$11</f>
        <v>0</v>
      </c>
      <c r="T83" s="241"/>
      <c r="U83" s="180"/>
      <c r="V83" s="249">
        <f t="shared" si="7"/>
        <v>0</v>
      </c>
      <c r="W83" s="188">
        <f>SUM('Chenes+Alisier - f. très forte'!AQ67*'Chenes+Alisier - f. très forte'!$F$21,'Chenes+corm+merisier - f. forte'!AQ67*'Chenes+corm+merisier - f. forte'!$F$21,'Charme - fertil.forte'!AQ67*'Charme - fertil.forte'!$F$21,'Pin maritime - très forte'!AQ67*'Pin maritime - très forte'!$F$21,'P. sylv.+laricio+séquoia -forte'!AQ67*'P. sylv.+laricio+séquoia -forte'!$F$21,'Douglas - fertilité moyenne'!AQ67*'Douglas - fertilité moyenne'!$F$21)</f>
        <v>0</v>
      </c>
      <c r="X83" s="188">
        <f>SUM('Chenes+Alisier - f. très forte'!AR67*'Chenes+Alisier - f. très forte'!$F$21,'Chenes+corm+merisier - f. forte'!AR67*'Chenes+corm+merisier - f. forte'!$F$21,'Charme - fertil.forte'!AR67*'Charme - fertil.forte'!$F$21,'Pin maritime - très forte'!AR67*'Pin maritime - très forte'!$F$21,'P. sylv.+laricio+séquoia -forte'!AR67*'P. sylv.+laricio+séquoia -forte'!$F$21,'Douglas - fertilité moyenne'!AR67*'Douglas - fertilité moyenne'!$F$21)</f>
        <v>0</v>
      </c>
      <c r="Y83" s="188">
        <f>SUM('Chenes+Alisier - f. très forte'!AS67*'Chenes+Alisier - f. très forte'!$F$21,'Chenes+corm+merisier - f. forte'!AS67*'Chenes+corm+merisier - f. forte'!$F$21,'Charme - fertil.forte'!AS67*'Charme - fertil.forte'!$F$21,'Pin maritime - très forte'!AS67*'Pin maritime - très forte'!$F$21,'P. sylv.+laricio+séquoia -forte'!AS67*'P. sylv.+laricio+séquoia -forte'!$F$21,'Douglas - fertilité moyenne'!AS67*'Douglas - fertilité moyenne'!$F$21)</f>
        <v>0</v>
      </c>
      <c r="Z83" s="331">
        <f>SUM('Chenes+Alisier - f. très forte'!AT67*'Chenes+Alisier - f. très forte'!$F$21,'Chenes+corm+merisier - f. forte'!AT67*'Chenes+corm+merisier - f. forte'!$F$21,'Charme - fertil.forte'!AT67*'Charme - fertil.forte'!$F$21,'Pin maritime - très forte'!AT67*'Pin maritime - très forte'!$F$21,'P. sylv.+laricio+séquoia -forte'!AT67*'P. sylv.+laricio+séquoia -forte'!$F$21,'Douglas - fertilité moyenne'!AT67*'Douglas - fertilité moyenne'!$F$21)</f>
        <v>0</v>
      </c>
      <c r="AA83" s="178">
        <f t="shared" si="9"/>
        <v>0</v>
      </c>
      <c r="AB83" s="179">
        <f t="shared" si="8"/>
        <v>-62.62273194253585</v>
      </c>
      <c r="AC83" s="178"/>
      <c r="AD83" s="178"/>
    </row>
    <row r="84" spans="2:30">
      <c r="B84" s="266"/>
      <c r="C84" s="267"/>
      <c r="D84" s="267"/>
      <c r="E84" s="267"/>
      <c r="F84" s="267"/>
      <c r="G84" s="267"/>
      <c r="H84" s="267"/>
      <c r="I84" s="267"/>
      <c r="J84" s="267"/>
      <c r="K84" s="267"/>
      <c r="L84" s="268"/>
      <c r="N84" s="71">
        <v>63</v>
      </c>
      <c r="O84" s="239"/>
      <c r="P84" s="180"/>
      <c r="Q84" s="240">
        <f t="shared" si="14"/>
        <v>940.00249999999994</v>
      </c>
      <c r="R84" s="180">
        <f t="shared" si="5"/>
        <v>19.270051249999998</v>
      </c>
      <c r="S84" s="180">
        <f>$L$11*(1+$L$9)^N84*'Récapitulatif des résultats'!$I$11</f>
        <v>0</v>
      </c>
      <c r="T84" s="241"/>
      <c r="U84" s="180"/>
      <c r="V84" s="249">
        <f t="shared" si="7"/>
        <v>0</v>
      </c>
      <c r="W84" s="188">
        <f>SUM('Chenes+Alisier - f. très forte'!AQ68*'Chenes+Alisier - f. très forte'!$F$21,'Chenes+corm+merisier - f. forte'!AQ68*'Chenes+corm+merisier - f. forte'!$F$21,'Charme - fertil.forte'!AQ68*'Charme - fertil.forte'!$F$21,'Pin maritime - très forte'!AQ68*'Pin maritime - très forte'!$F$21,'P. sylv.+laricio+séquoia -forte'!AQ68*'P. sylv.+laricio+séquoia -forte'!$F$21,'Douglas - fertilité moyenne'!AQ68*'Douglas - fertilité moyenne'!$F$21)</f>
        <v>0</v>
      </c>
      <c r="X84" s="188">
        <f>SUM('Chenes+Alisier - f. très forte'!AR68*'Chenes+Alisier - f. très forte'!$F$21,'Chenes+corm+merisier - f. forte'!AR68*'Chenes+corm+merisier - f. forte'!$F$21,'Charme - fertil.forte'!AR68*'Charme - fertil.forte'!$F$21,'Pin maritime - très forte'!AR68*'Pin maritime - très forte'!$F$21,'P. sylv.+laricio+séquoia -forte'!AR68*'P. sylv.+laricio+séquoia -forte'!$F$21,'Douglas - fertilité moyenne'!AR68*'Douglas - fertilité moyenne'!$F$21)</f>
        <v>0</v>
      </c>
      <c r="Y84" s="188">
        <f>SUM('Chenes+Alisier - f. très forte'!AS68*'Chenes+Alisier - f. très forte'!$F$21,'Chenes+corm+merisier - f. forte'!AS68*'Chenes+corm+merisier - f. forte'!$F$21,'Charme - fertil.forte'!AS68*'Charme - fertil.forte'!$F$21,'Pin maritime - très forte'!AS68*'Pin maritime - très forte'!$F$21,'P. sylv.+laricio+séquoia -forte'!AS68*'P. sylv.+laricio+séquoia -forte'!$F$21,'Douglas - fertilité moyenne'!AS68*'Douglas - fertilité moyenne'!$F$21)</f>
        <v>0</v>
      </c>
      <c r="Z84" s="331">
        <f>SUM('Chenes+Alisier - f. très forte'!AT68*'Chenes+Alisier - f. très forte'!$F$21,'Chenes+corm+merisier - f. forte'!AT68*'Chenes+corm+merisier - f. forte'!$F$21,'Charme - fertil.forte'!AT68*'Charme - fertil.forte'!$F$21,'Pin maritime - très forte'!AT68*'Pin maritime - très forte'!$F$21,'P. sylv.+laricio+séquoia -forte'!AT68*'P. sylv.+laricio+séquoia -forte'!$F$21,'Douglas - fertilité moyenne'!AT68*'Douglas - fertilité moyenne'!$F$21)</f>
        <v>0</v>
      </c>
      <c r="AA84" s="178">
        <f t="shared" si="9"/>
        <v>0</v>
      </c>
      <c r="AB84" s="179">
        <f t="shared" si="8"/>
        <v>-59.926059275153911</v>
      </c>
      <c r="AC84" s="178"/>
      <c r="AD84" s="178"/>
    </row>
    <row r="85" spans="2:30">
      <c r="B85" s="411" t="str">
        <f>'P. sylv.+laricio+séquoia -forte'!F17</f>
        <v xml:space="preserve">Pin laricio </v>
      </c>
      <c r="C85" s="412">
        <f>'P. sylv.+laricio+séquoia -forte'!C80</f>
        <v>0</v>
      </c>
      <c r="D85" s="412">
        <f>'P. sylv.+laricio+séquoia -forte'!D80</f>
        <v>0</v>
      </c>
      <c r="E85" s="412">
        <f>'P. sylv.+laricio+séquoia -forte'!E80</f>
        <v>0</v>
      </c>
      <c r="F85" s="412">
        <f>'P. sylv.+laricio+séquoia -forte'!F80</f>
        <v>0</v>
      </c>
      <c r="G85" s="413">
        <f>'P. sylv.+laricio+séquoia -forte'!G80</f>
        <v>0</v>
      </c>
      <c r="H85" s="397" t="s">
        <v>248</v>
      </c>
      <c r="I85" s="398"/>
      <c r="J85" s="398"/>
      <c r="K85" s="399"/>
      <c r="L85" s="257">
        <f>AA5</f>
        <v>5.0536000000000003</v>
      </c>
      <c r="N85" s="71">
        <v>64</v>
      </c>
      <c r="O85" s="239"/>
      <c r="P85" s="180"/>
      <c r="Q85" s="240">
        <f t="shared" si="14"/>
        <v>940.00249999999994</v>
      </c>
      <c r="R85" s="180">
        <f t="shared" ref="R85:R148" si="16">$L$10*SUM(O85:Q85)</f>
        <v>19.270051249999998</v>
      </c>
      <c r="S85" s="180">
        <f>$L$11*(1+$L$9)^N85*'Récapitulatif des résultats'!$I$11</f>
        <v>0</v>
      </c>
      <c r="T85" s="241"/>
      <c r="U85" s="180"/>
      <c r="V85" s="249">
        <f t="shared" ref="V85:V148" si="17">SUM(W85:Z85)</f>
        <v>0</v>
      </c>
      <c r="W85" s="188">
        <f>SUM('Chenes+Alisier - f. très forte'!AQ69*'Chenes+Alisier - f. très forte'!$F$21,'Chenes+corm+merisier - f. forte'!AQ69*'Chenes+corm+merisier - f. forte'!$F$21,'Charme - fertil.forte'!AQ69*'Charme - fertil.forte'!$F$21,'Pin maritime - très forte'!AQ69*'Pin maritime - très forte'!$F$21,'P. sylv.+laricio+séquoia -forte'!AQ69*'P. sylv.+laricio+séquoia -forte'!$F$21,'Douglas - fertilité moyenne'!AQ69*'Douglas - fertilité moyenne'!$F$21)</f>
        <v>0</v>
      </c>
      <c r="X85" s="188">
        <f>SUM('Chenes+Alisier - f. très forte'!AR69*'Chenes+Alisier - f. très forte'!$F$21,'Chenes+corm+merisier - f. forte'!AR69*'Chenes+corm+merisier - f. forte'!$F$21,'Charme - fertil.forte'!AR69*'Charme - fertil.forte'!$F$21,'Pin maritime - très forte'!AR69*'Pin maritime - très forte'!$F$21,'P. sylv.+laricio+séquoia -forte'!AR69*'P. sylv.+laricio+séquoia -forte'!$F$21,'Douglas - fertilité moyenne'!AR69*'Douglas - fertilité moyenne'!$F$21)</f>
        <v>0</v>
      </c>
      <c r="Y85" s="188">
        <f>SUM('Chenes+Alisier - f. très forte'!AS69*'Chenes+Alisier - f. très forte'!$F$21,'Chenes+corm+merisier - f. forte'!AS69*'Chenes+corm+merisier - f. forte'!$F$21,'Charme - fertil.forte'!AS69*'Charme - fertil.forte'!$F$21,'Pin maritime - très forte'!AS69*'Pin maritime - très forte'!$F$21,'P. sylv.+laricio+séquoia -forte'!AS69*'P. sylv.+laricio+séquoia -forte'!$F$21,'Douglas - fertilité moyenne'!AS69*'Douglas - fertilité moyenne'!$F$21)</f>
        <v>0</v>
      </c>
      <c r="Z85" s="331">
        <f>SUM('Chenes+Alisier - f. très forte'!AT69*'Chenes+Alisier - f. très forte'!$F$21,'Chenes+corm+merisier - f. forte'!AT69*'Chenes+corm+merisier - f. forte'!$F$21,'Charme - fertil.forte'!AT69*'Charme - fertil.forte'!$F$21,'Pin maritime - très forte'!AT69*'Pin maritime - très forte'!$F$21,'P. sylv.+laricio+séquoia -forte'!AT69*'P. sylv.+laricio+séquoia -forte'!$F$21,'Douglas - fertilité moyenne'!AT69*'Douglas - fertilité moyenne'!$F$21)</f>
        <v>0</v>
      </c>
      <c r="AA85" s="178">
        <f t="shared" si="9"/>
        <v>0</v>
      </c>
      <c r="AB85" s="179">
        <f t="shared" ref="AB85:AB148" si="18">IF(N85&lt;=$L$4,(AA85-SUM(O85:T85))/((1+4.5%)^N85),)</f>
        <v>-57.345511268089901</v>
      </c>
      <c r="AC85" s="178"/>
      <c r="AD85" s="178"/>
    </row>
    <row r="86" spans="2:30">
      <c r="B86" s="269" t="str">
        <f>'P. sylv.+laricio+séquoia -forte'!B81</f>
        <v>Année</v>
      </c>
      <c r="C86" s="230" t="str">
        <f>'P. sylv.+laricio+séquoia -forte'!C81</f>
        <v>Volume d'éclaircie</v>
      </c>
      <c r="D86" s="217" t="str">
        <f>'P. sylv.+laricio+séquoia -forte'!D81</f>
        <v>BO</v>
      </c>
      <c r="E86" s="217" t="str">
        <f>'P. sylv.+laricio+séquoia -forte'!E81</f>
        <v>BI - panneaux</v>
      </c>
      <c r="F86" s="217" t="str">
        <f>'P. sylv.+laricio+séquoia -forte'!F81</f>
        <v>BI - papier</v>
      </c>
      <c r="G86" s="218" t="str">
        <f>'P. sylv.+laricio+séquoia -forte'!G81</f>
        <v>BE</v>
      </c>
      <c r="H86" s="216" t="s">
        <v>78</v>
      </c>
      <c r="I86" s="217" t="s">
        <v>81</v>
      </c>
      <c r="J86" s="217" t="s">
        <v>80</v>
      </c>
      <c r="K86" s="218" t="s">
        <v>79</v>
      </c>
      <c r="L86" s="259" t="s">
        <v>252</v>
      </c>
      <c r="N86" s="71">
        <v>65</v>
      </c>
      <c r="O86" s="239"/>
      <c r="P86" s="180"/>
      <c r="Q86" s="240">
        <f t="shared" si="14"/>
        <v>940.00249999999994</v>
      </c>
      <c r="R86" s="180">
        <f t="shared" si="16"/>
        <v>19.270051249999998</v>
      </c>
      <c r="S86" s="180">
        <f>$L$11*(1+$L$9)^N86*'Récapitulatif des résultats'!$I$11</f>
        <v>0</v>
      </c>
      <c r="T86" s="241"/>
      <c r="U86" s="180"/>
      <c r="V86" s="249">
        <f t="shared" si="17"/>
        <v>0</v>
      </c>
      <c r="W86" s="188">
        <f>SUM('Chenes+Alisier - f. très forte'!AQ70*'Chenes+Alisier - f. très forte'!$F$21,'Chenes+corm+merisier - f. forte'!AQ70*'Chenes+corm+merisier - f. forte'!$F$21,'Charme - fertil.forte'!AQ70*'Charme - fertil.forte'!$F$21,'Pin maritime - très forte'!AQ70*'Pin maritime - très forte'!$F$21,'P. sylv.+laricio+séquoia -forte'!AQ70*'P. sylv.+laricio+séquoia -forte'!$F$21,'Douglas - fertilité moyenne'!AQ70*'Douglas - fertilité moyenne'!$F$21)</f>
        <v>0</v>
      </c>
      <c r="X86" s="188">
        <f>SUM('Chenes+Alisier - f. très forte'!AR70*'Chenes+Alisier - f. très forte'!$F$21,'Chenes+corm+merisier - f. forte'!AR70*'Chenes+corm+merisier - f. forte'!$F$21,'Charme - fertil.forte'!AR70*'Charme - fertil.forte'!$F$21,'Pin maritime - très forte'!AR70*'Pin maritime - très forte'!$F$21,'P. sylv.+laricio+séquoia -forte'!AR70*'P. sylv.+laricio+séquoia -forte'!$F$21,'Douglas - fertilité moyenne'!AR70*'Douglas - fertilité moyenne'!$F$21)</f>
        <v>0</v>
      </c>
      <c r="Y86" s="188">
        <f>SUM('Chenes+Alisier - f. très forte'!AS70*'Chenes+Alisier - f. très forte'!$F$21,'Chenes+corm+merisier - f. forte'!AS70*'Chenes+corm+merisier - f. forte'!$F$21,'Charme - fertil.forte'!AS70*'Charme - fertil.forte'!$F$21,'Pin maritime - très forte'!AS70*'Pin maritime - très forte'!$F$21,'P. sylv.+laricio+séquoia -forte'!AS70*'P. sylv.+laricio+séquoia -forte'!$F$21,'Douglas - fertilité moyenne'!AS70*'Douglas - fertilité moyenne'!$F$21)</f>
        <v>0</v>
      </c>
      <c r="Z86" s="331">
        <f>SUM('Chenes+Alisier - f. très forte'!AT70*'Chenes+Alisier - f. très forte'!$F$21,'Chenes+corm+merisier - f. forte'!AT70*'Chenes+corm+merisier - f. forte'!$F$21,'Charme - fertil.forte'!AT70*'Charme - fertil.forte'!$F$21,'Pin maritime - très forte'!AT70*'Pin maritime - très forte'!$F$21,'P. sylv.+laricio+séquoia -forte'!AT70*'P. sylv.+laricio+séquoia -forte'!$F$21,'Douglas - fertilité moyenne'!AT70*'Douglas - fertilité moyenne'!$F$21)</f>
        <v>0</v>
      </c>
      <c r="AA86" s="178">
        <f t="shared" ref="AA86:AA149" si="19">SUMIF(B$23:B$115,N86,L$23:L$115)+U86</f>
        <v>0</v>
      </c>
      <c r="AB86" s="179">
        <f t="shared" si="18"/>
        <v>-54.876087337885068</v>
      </c>
      <c r="AC86" s="178"/>
      <c r="AD86" s="178"/>
    </row>
    <row r="87" spans="2:30">
      <c r="B87" s="260">
        <f>'P. sylv.+laricio+séquoia -forte'!B82</f>
        <v>16</v>
      </c>
      <c r="C87" s="223">
        <f>'P. sylv.+laricio+séquoia -forte'!C82</f>
        <v>4</v>
      </c>
      <c r="D87" s="220">
        <f>'P. sylv.+laricio+séquoia -forte'!D82</f>
        <v>0</v>
      </c>
      <c r="E87" s="220">
        <f>'P. sylv.+laricio+séquoia -forte'!E82</f>
        <v>0.56000000000000005</v>
      </c>
      <c r="F87" s="220">
        <f>'P. sylv.+laricio+séquoia -forte'!F82</f>
        <v>0.44</v>
      </c>
      <c r="G87" s="224">
        <f>'P. sylv.+laricio+séquoia -forte'!G82</f>
        <v>0</v>
      </c>
      <c r="H87" s="210">
        <f>IFERROR(VLOOKUP($B$85,Tableau14582[],4,FALSE)*(1+$L$9)^$B87,0)</f>
        <v>30</v>
      </c>
      <c r="I87" s="211">
        <f>IFERROR(VLOOKUP($B$85,Tableau14582[],5,FALSE)*(1+$L$9)^$B87,0)</f>
        <v>19.375</v>
      </c>
      <c r="J87" s="211">
        <f>IFERROR(VLOOKUP($B$85,Tableau14582[],5,FALSE)*(1+$L$9)^$B87,0)</f>
        <v>19.375</v>
      </c>
      <c r="K87" s="212">
        <f>IFERROR(VLOOKUP($B$85,Tableau14582[],6,FALSE)*(1+$L$9)^$B87,0)</f>
        <v>10</v>
      </c>
      <c r="L87" s="261">
        <f>(C87*D87*H87+C87*E87*I87+C87*F87*J87+C87*G87*K87)*L$85</f>
        <v>391.654</v>
      </c>
      <c r="N87" s="71">
        <v>66</v>
      </c>
      <c r="O87" s="239"/>
      <c r="P87" s="180"/>
      <c r="Q87" s="240">
        <f t="shared" si="14"/>
        <v>940.00249999999994</v>
      </c>
      <c r="R87" s="180">
        <f t="shared" si="16"/>
        <v>19.270051249999998</v>
      </c>
      <c r="S87" s="180">
        <f>$L$11*(1+$L$9)^N87*'Récapitulatif des résultats'!$I$11</f>
        <v>0</v>
      </c>
      <c r="T87" s="241"/>
      <c r="U87" s="180"/>
      <c r="V87" s="249">
        <f t="shared" si="17"/>
        <v>701.57500000000005</v>
      </c>
      <c r="W87" s="188">
        <f>SUM('Chenes+Alisier - f. très forte'!AQ71*'Chenes+Alisier - f. très forte'!$F$21,'Chenes+corm+merisier - f. forte'!AQ71*'Chenes+corm+merisier - f. forte'!$F$21,'Charme - fertil.forte'!AQ71*'Charme - fertil.forte'!$F$21,'Pin maritime - très forte'!AQ71*'Pin maritime - très forte'!$F$21,'P. sylv.+laricio+séquoia -forte'!AQ71*'P. sylv.+laricio+séquoia -forte'!$F$21,'Douglas - fertilité moyenne'!AQ71*'Douglas - fertilité moyenne'!$F$21)</f>
        <v>425.05750000000006</v>
      </c>
      <c r="X87" s="188">
        <f>SUM('Chenes+Alisier - f. très forte'!AR71*'Chenes+Alisier - f. très forte'!$F$21,'Chenes+corm+merisier - f. forte'!AR71*'Chenes+corm+merisier - f. forte'!$F$21,'Charme - fertil.forte'!AR71*'Charme - fertil.forte'!$F$21,'Pin maritime - très forte'!AR71*'Pin maritime - très forte'!$F$21,'P. sylv.+laricio+séquoia -forte'!AR71*'P. sylv.+laricio+séquoia -forte'!$F$21,'Douglas - fertilité moyenne'!AR71*'Douglas - fertilité moyenne'!$F$21)</f>
        <v>0</v>
      </c>
      <c r="Y87" s="188">
        <f>SUM('Chenes+Alisier - f. très forte'!AS71*'Chenes+Alisier - f. très forte'!$F$21,'Chenes+corm+merisier - f. forte'!AS71*'Chenes+corm+merisier - f. forte'!$F$21,'Charme - fertil.forte'!AS71*'Charme - fertil.forte'!$F$21,'Pin maritime - très forte'!AS71*'Pin maritime - très forte'!$F$21,'P. sylv.+laricio+séquoia -forte'!AS71*'P. sylv.+laricio+séquoia -forte'!$F$21,'Douglas - fertilité moyenne'!AS71*'Douglas - fertilité moyenne'!$F$21)</f>
        <v>0</v>
      </c>
      <c r="Z87" s="331">
        <f>SUM('Chenes+Alisier - f. très forte'!AT71*'Chenes+Alisier - f. très forte'!$F$21,'Chenes+corm+merisier - f. forte'!AT71*'Chenes+corm+merisier - f. forte'!$F$21,'Charme - fertil.forte'!AT71*'Charme - fertil.forte'!$F$21,'Pin maritime - très forte'!AT71*'Pin maritime - très forte'!$F$21,'P. sylv.+laricio+séquoia -forte'!AT71*'P. sylv.+laricio+séquoia -forte'!$F$21,'Douglas - fertilité moyenne'!AT71*'Douglas - fertilité moyenne'!$F$21)</f>
        <v>276.51750000000004</v>
      </c>
      <c r="AA87" s="178">
        <f t="shared" si="19"/>
        <v>50395.8</v>
      </c>
      <c r="AB87" s="179">
        <f t="shared" si="18"/>
        <v>2706.2803716558783</v>
      </c>
      <c r="AC87" s="178"/>
      <c r="AD87" s="178"/>
    </row>
    <row r="88" spans="2:30">
      <c r="B88" s="262">
        <f>'P. sylv.+laricio+séquoia -forte'!B83</f>
        <v>21</v>
      </c>
      <c r="C88" s="225">
        <f>'P. sylv.+laricio+séquoia -forte'!C83</f>
        <v>56</v>
      </c>
      <c r="D88" s="226">
        <f>'P. sylv.+laricio+séquoia -forte'!D83</f>
        <v>0</v>
      </c>
      <c r="E88" s="221">
        <f>'P. sylv.+laricio+séquoia -forte'!E83</f>
        <v>0.56000000000000005</v>
      </c>
      <c r="F88" s="221">
        <f>'P. sylv.+laricio+séquoia -forte'!F83</f>
        <v>0.44</v>
      </c>
      <c r="G88" s="227">
        <f>'P. sylv.+laricio+séquoia -forte'!G83</f>
        <v>0</v>
      </c>
      <c r="H88" s="210">
        <f>IFERROR(VLOOKUP($B$85,Tableau14582[],4,FALSE)*(1+$L$9)^$B88,0)</f>
        <v>30</v>
      </c>
      <c r="I88" s="211">
        <f>IFERROR(VLOOKUP($B$85,Tableau14582[],5,FALSE)*(1+$L$9)^$B88,0)</f>
        <v>19.375</v>
      </c>
      <c r="J88" s="211">
        <f>IFERROR(VLOOKUP($B$85,Tableau14582[],5,FALSE)*(1+$L$9)^$B88,0)</f>
        <v>19.375</v>
      </c>
      <c r="K88" s="212">
        <f>IFERROR(VLOOKUP($B$85,Tableau14582[],6,FALSE)*(1+$L$9)^$B88,0)</f>
        <v>10</v>
      </c>
      <c r="L88" s="263">
        <f t="shared" ref="L88:L99" si="20">(C88*D88*H88+C88*E88*I88+C88*F88*J88+C88*G88*K88)*L$85</f>
        <v>5483.1559999999999</v>
      </c>
      <c r="N88" s="71">
        <v>67</v>
      </c>
      <c r="O88" s="239"/>
      <c r="P88" s="180"/>
      <c r="Q88" s="240">
        <f t="shared" si="14"/>
        <v>940.00249999999994</v>
      </c>
      <c r="R88" s="180">
        <f t="shared" si="16"/>
        <v>19.270051249999998</v>
      </c>
      <c r="S88" s="180">
        <f>$L$11*(1+$L$9)^N88*'Récapitulatif des résultats'!$I$11</f>
        <v>0</v>
      </c>
      <c r="T88" s="241"/>
      <c r="U88" s="180"/>
      <c r="V88" s="249">
        <f t="shared" si="17"/>
        <v>0</v>
      </c>
      <c r="W88" s="188">
        <f>SUM('Chenes+Alisier - f. très forte'!AQ72*'Chenes+Alisier - f. très forte'!$F$21,'Chenes+corm+merisier - f. forte'!AQ72*'Chenes+corm+merisier - f. forte'!$F$21,'Charme - fertil.forte'!AQ72*'Charme - fertil.forte'!$F$21,'Pin maritime - très forte'!AQ72*'Pin maritime - très forte'!$F$21,'P. sylv.+laricio+séquoia -forte'!AQ72*'P. sylv.+laricio+séquoia -forte'!$F$21,'Douglas - fertilité moyenne'!AQ72*'Douglas - fertilité moyenne'!$F$21)</f>
        <v>0</v>
      </c>
      <c r="X88" s="188">
        <f>SUM('Chenes+Alisier - f. très forte'!AR72*'Chenes+Alisier - f. très forte'!$F$21,'Chenes+corm+merisier - f. forte'!AR72*'Chenes+corm+merisier - f. forte'!$F$21,'Charme - fertil.forte'!AR72*'Charme - fertil.forte'!$F$21,'Pin maritime - très forte'!AR72*'Pin maritime - très forte'!$F$21,'P. sylv.+laricio+séquoia -forte'!AR72*'P. sylv.+laricio+séquoia -forte'!$F$21,'Douglas - fertilité moyenne'!AR72*'Douglas - fertilité moyenne'!$F$21)</f>
        <v>0</v>
      </c>
      <c r="Y88" s="188">
        <f>SUM('Chenes+Alisier - f. très forte'!AS72*'Chenes+Alisier - f. très forte'!$F$21,'Chenes+corm+merisier - f. forte'!AS72*'Chenes+corm+merisier - f. forte'!$F$21,'Charme - fertil.forte'!AS72*'Charme - fertil.forte'!$F$21,'Pin maritime - très forte'!AS72*'Pin maritime - très forte'!$F$21,'P. sylv.+laricio+séquoia -forte'!AS72*'P. sylv.+laricio+séquoia -forte'!$F$21,'Douglas - fertilité moyenne'!AS72*'Douglas - fertilité moyenne'!$F$21)</f>
        <v>0</v>
      </c>
      <c r="Z88" s="331">
        <f>SUM('Chenes+Alisier - f. très forte'!AT72*'Chenes+Alisier - f. très forte'!$F$21,'Chenes+corm+merisier - f. forte'!AT72*'Chenes+corm+merisier - f. forte'!$F$21,'Charme - fertil.forte'!AT72*'Charme - fertil.forte'!$F$21,'Pin maritime - très forte'!AT72*'Pin maritime - très forte'!$F$21,'P. sylv.+laricio+séquoia -forte'!AT72*'P. sylv.+laricio+séquoia -forte'!$F$21,'Douglas - fertilité moyenne'!AT72*'Douglas - fertilité moyenne'!$F$21)</f>
        <v>0</v>
      </c>
      <c r="AA88" s="178">
        <f t="shared" si="19"/>
        <v>0</v>
      </c>
      <c r="AB88" s="179">
        <f t="shared" si="18"/>
        <v>-50.251676782019715</v>
      </c>
      <c r="AC88" s="178"/>
      <c r="AD88" s="178"/>
    </row>
    <row r="89" spans="2:30">
      <c r="B89" s="262">
        <f>'P. sylv.+laricio+séquoia -forte'!B84</f>
        <v>26</v>
      </c>
      <c r="C89" s="225">
        <f>'P. sylv.+laricio+séquoia -forte'!C84</f>
        <v>56</v>
      </c>
      <c r="D89" s="226">
        <f>'P. sylv.+laricio+séquoia -forte'!D84</f>
        <v>0</v>
      </c>
      <c r="E89" s="221">
        <f>'P. sylv.+laricio+séquoia -forte'!E84</f>
        <v>0.56000000000000005</v>
      </c>
      <c r="F89" s="221">
        <f>'P. sylv.+laricio+séquoia -forte'!F84</f>
        <v>0.44</v>
      </c>
      <c r="G89" s="227">
        <f>'P. sylv.+laricio+séquoia -forte'!G84</f>
        <v>0</v>
      </c>
      <c r="H89" s="210">
        <f>IFERROR(VLOOKUP($B$85,Tableau14582[],4,FALSE)*(1+$L$9)^$B89,0)</f>
        <v>30</v>
      </c>
      <c r="I89" s="211">
        <f>IFERROR(VLOOKUP($B$85,Tableau14582[],5,FALSE)*(1+$L$9)^$B89,0)</f>
        <v>19.375</v>
      </c>
      <c r="J89" s="211">
        <f>IFERROR(VLOOKUP($B$85,Tableau14582[],5,FALSE)*(1+$L$9)^$B89,0)</f>
        <v>19.375</v>
      </c>
      <c r="K89" s="212">
        <f>IFERROR(VLOOKUP($B$85,Tableau14582[],6,FALSE)*(1+$L$9)^$B89,0)</f>
        <v>10</v>
      </c>
      <c r="L89" s="263">
        <f t="shared" si="20"/>
        <v>5483.1559999999999</v>
      </c>
      <c r="N89" s="71">
        <v>68</v>
      </c>
      <c r="O89" s="239"/>
      <c r="P89" s="180"/>
      <c r="Q89" s="240">
        <f t="shared" si="14"/>
        <v>940.00249999999994</v>
      </c>
      <c r="R89" s="180">
        <f t="shared" si="16"/>
        <v>19.270051249999998</v>
      </c>
      <c r="S89" s="180">
        <f>$L$11*(1+$L$9)^N89*'Récapitulatif des résultats'!$I$11</f>
        <v>0</v>
      </c>
      <c r="T89" s="241"/>
      <c r="U89" s="180"/>
      <c r="V89" s="249">
        <f t="shared" si="17"/>
        <v>0</v>
      </c>
      <c r="W89" s="188">
        <f>SUM('Chenes+Alisier - f. très forte'!AQ73*'Chenes+Alisier - f. très forte'!$F$21,'Chenes+corm+merisier - f. forte'!AQ73*'Chenes+corm+merisier - f. forte'!$F$21,'Charme - fertil.forte'!AQ73*'Charme - fertil.forte'!$F$21,'Pin maritime - très forte'!AQ73*'Pin maritime - très forte'!$F$21,'P. sylv.+laricio+séquoia -forte'!AQ73*'P. sylv.+laricio+séquoia -forte'!$F$21,'Douglas - fertilité moyenne'!AQ73*'Douglas - fertilité moyenne'!$F$21)</f>
        <v>0</v>
      </c>
      <c r="X89" s="188">
        <f>SUM('Chenes+Alisier - f. très forte'!AR73*'Chenes+Alisier - f. très forte'!$F$21,'Chenes+corm+merisier - f. forte'!AR73*'Chenes+corm+merisier - f. forte'!$F$21,'Charme - fertil.forte'!AR73*'Charme - fertil.forte'!$F$21,'Pin maritime - très forte'!AR73*'Pin maritime - très forte'!$F$21,'P. sylv.+laricio+séquoia -forte'!AR73*'P. sylv.+laricio+séquoia -forte'!$F$21,'Douglas - fertilité moyenne'!AR73*'Douglas - fertilité moyenne'!$F$21)</f>
        <v>0</v>
      </c>
      <c r="Y89" s="188">
        <f>SUM('Chenes+Alisier - f. très forte'!AS73*'Chenes+Alisier - f. très forte'!$F$21,'Chenes+corm+merisier - f. forte'!AS73*'Chenes+corm+merisier - f. forte'!$F$21,'Charme - fertil.forte'!AS73*'Charme - fertil.forte'!$F$21,'Pin maritime - très forte'!AS73*'Pin maritime - très forte'!$F$21,'P. sylv.+laricio+séquoia -forte'!AS73*'P. sylv.+laricio+séquoia -forte'!$F$21,'Douglas - fertilité moyenne'!AS73*'Douglas - fertilité moyenne'!$F$21)</f>
        <v>0</v>
      </c>
      <c r="Z89" s="331">
        <f>SUM('Chenes+Alisier - f. très forte'!AT73*'Chenes+Alisier - f. très forte'!$F$21,'Chenes+corm+merisier - f. forte'!AT73*'Chenes+corm+merisier - f. forte'!$F$21,'Charme - fertil.forte'!AT73*'Charme - fertil.forte'!$F$21,'Pin maritime - très forte'!AT73*'Pin maritime - très forte'!$F$21,'P. sylv.+laricio+séquoia -forte'!AT73*'P. sylv.+laricio+séquoia -forte'!$F$21,'Douglas - fertilité moyenne'!AT73*'Douglas - fertilité moyenne'!$F$21)</f>
        <v>0</v>
      </c>
      <c r="AA89" s="178">
        <f t="shared" si="19"/>
        <v>0</v>
      </c>
      <c r="AB89" s="179">
        <f t="shared" si="18"/>
        <v>-48.087728978009309</v>
      </c>
      <c r="AC89" s="178"/>
      <c r="AD89" s="178"/>
    </row>
    <row r="90" spans="2:30">
      <c r="B90" s="262">
        <f>'P. sylv.+laricio+séquoia -forte'!B85</f>
        <v>31</v>
      </c>
      <c r="C90" s="225">
        <f>'P. sylv.+laricio+séquoia -forte'!C85</f>
        <v>56</v>
      </c>
      <c r="D90" s="226">
        <f>'P. sylv.+laricio+séquoia -forte'!D85</f>
        <v>0.2</v>
      </c>
      <c r="E90" s="221">
        <f>'P. sylv.+laricio+séquoia -forte'!E85</f>
        <v>0.44800000000000006</v>
      </c>
      <c r="F90" s="221">
        <f>'P. sylv.+laricio+séquoia -forte'!F85</f>
        <v>0.35200000000000004</v>
      </c>
      <c r="G90" s="227">
        <f>'P. sylv.+laricio+séquoia -forte'!G85</f>
        <v>0</v>
      </c>
      <c r="H90" s="210">
        <f>IFERROR(VLOOKUP($B$85,Tableau14582[],4,FALSE)*(1+$L$9)^$B90,0)</f>
        <v>30</v>
      </c>
      <c r="I90" s="211">
        <f>IFERROR(VLOOKUP($B$85,Tableau14582[],5,FALSE)*(1+$L$9)^$B90,0)</f>
        <v>19.375</v>
      </c>
      <c r="J90" s="211">
        <f>IFERROR(VLOOKUP($B$85,Tableau14582[],5,FALSE)*(1+$L$9)^$B90,0)</f>
        <v>19.375</v>
      </c>
      <c r="K90" s="212">
        <f>IFERROR(VLOOKUP($B$85,Tableau14582[],6,FALSE)*(1+$L$9)^$B90,0)</f>
        <v>10</v>
      </c>
      <c r="L90" s="263">
        <f t="shared" si="20"/>
        <v>6084.5344000000014</v>
      </c>
      <c r="N90" s="71">
        <v>69</v>
      </c>
      <c r="O90" s="239"/>
      <c r="P90" s="180"/>
      <c r="Q90" s="240">
        <f t="shared" si="14"/>
        <v>940.00249999999994</v>
      </c>
      <c r="R90" s="180">
        <f t="shared" si="16"/>
        <v>19.270051249999998</v>
      </c>
      <c r="S90" s="180">
        <f>$L$11*(1+$L$9)^N90*'Récapitulatif des résultats'!$I$11</f>
        <v>0</v>
      </c>
      <c r="T90" s="241"/>
      <c r="U90" s="180"/>
      <c r="V90" s="249">
        <f t="shared" si="17"/>
        <v>0</v>
      </c>
      <c r="W90" s="188">
        <f>SUM('Chenes+Alisier - f. très forte'!AQ74*'Chenes+Alisier - f. très forte'!$F$21,'Chenes+corm+merisier - f. forte'!AQ74*'Chenes+corm+merisier - f. forte'!$F$21,'Charme - fertil.forte'!AQ74*'Charme - fertil.forte'!$F$21,'Pin maritime - très forte'!AQ74*'Pin maritime - très forte'!$F$21,'P. sylv.+laricio+séquoia -forte'!AQ74*'P. sylv.+laricio+séquoia -forte'!$F$21,'Douglas - fertilité moyenne'!AQ74*'Douglas - fertilité moyenne'!$F$21)</f>
        <v>0</v>
      </c>
      <c r="X90" s="188">
        <f>SUM('Chenes+Alisier - f. très forte'!AR74*'Chenes+Alisier - f. très forte'!$F$21,'Chenes+corm+merisier - f. forte'!AR74*'Chenes+corm+merisier - f. forte'!$F$21,'Charme - fertil.forte'!AR74*'Charme - fertil.forte'!$F$21,'Pin maritime - très forte'!AR74*'Pin maritime - très forte'!$F$21,'P. sylv.+laricio+séquoia -forte'!AR74*'P. sylv.+laricio+séquoia -forte'!$F$21,'Douglas - fertilité moyenne'!AR74*'Douglas - fertilité moyenne'!$F$21)</f>
        <v>0</v>
      </c>
      <c r="Y90" s="188">
        <f>SUM('Chenes+Alisier - f. très forte'!AS74*'Chenes+Alisier - f. très forte'!$F$21,'Chenes+corm+merisier - f. forte'!AS74*'Chenes+corm+merisier - f. forte'!$F$21,'Charme - fertil.forte'!AS74*'Charme - fertil.forte'!$F$21,'Pin maritime - très forte'!AS74*'Pin maritime - très forte'!$F$21,'P. sylv.+laricio+séquoia -forte'!AS74*'P. sylv.+laricio+séquoia -forte'!$F$21,'Douglas - fertilité moyenne'!AS74*'Douglas - fertilité moyenne'!$F$21)</f>
        <v>0</v>
      </c>
      <c r="Z90" s="331">
        <f>SUM('Chenes+Alisier - f. très forte'!AT74*'Chenes+Alisier - f. très forte'!$F$21,'Chenes+corm+merisier - f. forte'!AT74*'Chenes+corm+merisier - f. forte'!$F$21,'Charme - fertil.forte'!AT74*'Charme - fertil.forte'!$F$21,'Pin maritime - très forte'!AT74*'Pin maritime - très forte'!$F$21,'P. sylv.+laricio+séquoia -forte'!AT74*'P. sylv.+laricio+séquoia -forte'!$F$21,'Douglas - fertilité moyenne'!AT74*'Douglas - fertilité moyenne'!$F$21)</f>
        <v>0</v>
      </c>
      <c r="AA90" s="178">
        <f t="shared" si="19"/>
        <v>0</v>
      </c>
      <c r="AB90" s="179">
        <f t="shared" si="18"/>
        <v>-46.01696552919551</v>
      </c>
      <c r="AC90" s="178"/>
      <c r="AD90" s="178"/>
    </row>
    <row r="91" spans="2:30">
      <c r="B91" s="262">
        <f>'P. sylv.+laricio+séquoia -forte'!B86</f>
        <v>36</v>
      </c>
      <c r="C91" s="225">
        <f>'P. sylv.+laricio+séquoia -forte'!C86</f>
        <v>56</v>
      </c>
      <c r="D91" s="226">
        <f>'P. sylv.+laricio+séquoia -forte'!D86</f>
        <v>0.4</v>
      </c>
      <c r="E91" s="221">
        <f>'P. sylv.+laricio+séquoia -forte'!E86</f>
        <v>0.33600000000000002</v>
      </c>
      <c r="F91" s="221">
        <f>'P. sylv.+laricio+séquoia -forte'!F86</f>
        <v>0.26400000000000001</v>
      </c>
      <c r="G91" s="227">
        <f>'P. sylv.+laricio+séquoia -forte'!G86</f>
        <v>0</v>
      </c>
      <c r="H91" s="210">
        <f>IFERROR(VLOOKUP($B$85,Tableau14582[],4,FALSE)*(1+$L$9)^$B91,0)</f>
        <v>30</v>
      </c>
      <c r="I91" s="211">
        <f>IFERROR(VLOOKUP($B$85,Tableau14582[],5,FALSE)*(1+$L$9)^$B91,0)</f>
        <v>19.375</v>
      </c>
      <c r="J91" s="211">
        <f>IFERROR(VLOOKUP($B$85,Tableau14582[],5,FALSE)*(1+$L$9)^$B91,0)</f>
        <v>19.375</v>
      </c>
      <c r="K91" s="212">
        <f>IFERROR(VLOOKUP($B$85,Tableau14582[],6,FALSE)*(1+$L$9)^$B91,0)</f>
        <v>10</v>
      </c>
      <c r="L91" s="263">
        <f t="shared" si="20"/>
        <v>6685.9128000000019</v>
      </c>
      <c r="N91" s="71">
        <v>70</v>
      </c>
      <c r="O91" s="239"/>
      <c r="P91" s="180"/>
      <c r="Q91" s="240">
        <f t="shared" ref="Q91:Q122" si="21">$L$13*(1+$L$9)^N91*$L$5</f>
        <v>940.00249999999994</v>
      </c>
      <c r="R91" s="180">
        <f t="shared" si="16"/>
        <v>19.270051249999998</v>
      </c>
      <c r="S91" s="180">
        <f>$L$11*(1+$L$9)^N91*'Récapitulatif des résultats'!$I$11</f>
        <v>0</v>
      </c>
      <c r="T91" s="241"/>
      <c r="U91" s="180"/>
      <c r="V91" s="249">
        <f t="shared" si="17"/>
        <v>0</v>
      </c>
      <c r="W91" s="188">
        <f>SUM('Chenes+Alisier - f. très forte'!AQ75*'Chenes+Alisier - f. très forte'!$F$21,'Chenes+corm+merisier - f. forte'!AQ75*'Chenes+corm+merisier - f. forte'!$F$21,'Charme - fertil.forte'!AQ75*'Charme - fertil.forte'!$F$21,'Pin maritime - très forte'!AQ75*'Pin maritime - très forte'!$F$21,'P. sylv.+laricio+séquoia -forte'!AQ75*'P. sylv.+laricio+séquoia -forte'!$F$21,'Douglas - fertilité moyenne'!AQ75*'Douglas - fertilité moyenne'!$F$21)</f>
        <v>0</v>
      </c>
      <c r="X91" s="188">
        <f>SUM('Chenes+Alisier - f. très forte'!AR75*'Chenes+Alisier - f. très forte'!$F$21,'Chenes+corm+merisier - f. forte'!AR75*'Chenes+corm+merisier - f. forte'!$F$21,'Charme - fertil.forte'!AR75*'Charme - fertil.forte'!$F$21,'Pin maritime - très forte'!AR75*'Pin maritime - très forte'!$F$21,'P. sylv.+laricio+séquoia -forte'!AR75*'P. sylv.+laricio+séquoia -forte'!$F$21,'Douglas - fertilité moyenne'!AR75*'Douglas - fertilité moyenne'!$F$21)</f>
        <v>0</v>
      </c>
      <c r="Y91" s="188">
        <f>SUM('Chenes+Alisier - f. très forte'!AS75*'Chenes+Alisier - f. très forte'!$F$21,'Chenes+corm+merisier - f. forte'!AS75*'Chenes+corm+merisier - f. forte'!$F$21,'Charme - fertil.forte'!AS75*'Charme - fertil.forte'!$F$21,'Pin maritime - très forte'!AS75*'Pin maritime - très forte'!$F$21,'P. sylv.+laricio+séquoia -forte'!AS75*'P. sylv.+laricio+séquoia -forte'!$F$21,'Douglas - fertilité moyenne'!AS75*'Douglas - fertilité moyenne'!$F$21)</f>
        <v>0</v>
      </c>
      <c r="Z91" s="331">
        <f>SUM('Chenes+Alisier - f. très forte'!AT75*'Chenes+Alisier - f. très forte'!$F$21,'Chenes+corm+merisier - f. forte'!AT75*'Chenes+corm+merisier - f. forte'!$F$21,'Charme - fertil.forte'!AT75*'Charme - fertil.forte'!$F$21,'Pin maritime - très forte'!AT75*'Pin maritime - très forte'!$F$21,'P. sylv.+laricio+séquoia -forte'!AT75*'P. sylv.+laricio+séquoia -forte'!$F$21,'Douglas - fertilité moyenne'!AT75*'Douglas - fertilité moyenne'!$F$21)</f>
        <v>0</v>
      </c>
      <c r="AA91" s="178">
        <f t="shared" si="19"/>
        <v>0</v>
      </c>
      <c r="AB91" s="179">
        <f t="shared" si="18"/>
        <v>-44.035373712148825</v>
      </c>
      <c r="AC91" s="178"/>
      <c r="AD91" s="178"/>
    </row>
    <row r="92" spans="2:30">
      <c r="B92" s="262">
        <f>'P. sylv.+laricio+séquoia -forte'!B87</f>
        <v>41</v>
      </c>
      <c r="C92" s="225">
        <f>'P. sylv.+laricio+séquoia -forte'!C87</f>
        <v>56</v>
      </c>
      <c r="D92" s="226">
        <f>'P. sylv.+laricio+séquoia -forte'!D87</f>
        <v>0.6</v>
      </c>
      <c r="E92" s="221">
        <f>'P. sylv.+laricio+séquoia -forte'!E87</f>
        <v>0.22400000000000003</v>
      </c>
      <c r="F92" s="221">
        <f>'P. sylv.+laricio+séquoia -forte'!F87</f>
        <v>0.17600000000000002</v>
      </c>
      <c r="G92" s="227">
        <f>'P. sylv.+laricio+séquoia -forte'!G87</f>
        <v>0</v>
      </c>
      <c r="H92" s="210">
        <f>IFERROR(VLOOKUP($B$85,Tableau14582[],4,FALSE)*(1+$L$9)^$B92,0)</f>
        <v>30</v>
      </c>
      <c r="I92" s="211">
        <f>IFERROR(VLOOKUP($B$85,Tableau14582[],5,FALSE)*(1+$L$9)^$B92,0)</f>
        <v>19.375</v>
      </c>
      <c r="J92" s="211">
        <f>IFERROR(VLOOKUP($B$85,Tableau14582[],5,FALSE)*(1+$L$9)^$B92,0)</f>
        <v>19.375</v>
      </c>
      <c r="K92" s="212">
        <f>IFERROR(VLOOKUP($B$85,Tableau14582[],6,FALSE)*(1+$L$9)^$B92,0)</f>
        <v>10</v>
      </c>
      <c r="L92" s="263">
        <f t="shared" si="20"/>
        <v>7287.2912000000006</v>
      </c>
      <c r="N92" s="71">
        <v>71</v>
      </c>
      <c r="O92" s="239"/>
      <c r="P92" s="180"/>
      <c r="Q92" s="240">
        <f t="shared" si="21"/>
        <v>940.00249999999994</v>
      </c>
      <c r="R92" s="180">
        <f t="shared" si="16"/>
        <v>19.270051249999998</v>
      </c>
      <c r="S92" s="180">
        <f>$L$11*(1+$L$9)^N92*'Récapitulatif des résultats'!$I$11</f>
        <v>0</v>
      </c>
      <c r="T92" s="241"/>
      <c r="U92" s="180"/>
      <c r="V92" s="249">
        <f t="shared" si="17"/>
        <v>701.57500000000005</v>
      </c>
      <c r="W92" s="188">
        <f>SUM('Chenes+Alisier - f. très forte'!AQ76*'Chenes+Alisier - f. très forte'!$F$21,'Chenes+corm+merisier - f. forte'!AQ76*'Chenes+corm+merisier - f. forte'!$F$21,'Charme - fertil.forte'!AQ76*'Charme - fertil.forte'!$F$21,'Pin maritime - très forte'!AQ76*'Pin maritime - très forte'!$F$21,'P. sylv.+laricio+séquoia -forte'!AQ76*'P. sylv.+laricio+séquoia -forte'!$F$21,'Douglas - fertilité moyenne'!AQ76*'Douglas - fertilité moyenne'!$F$21)</f>
        <v>445.21750000000003</v>
      </c>
      <c r="X92" s="188">
        <f>SUM('Chenes+Alisier - f. très forte'!AR76*'Chenes+Alisier - f. très forte'!$F$21,'Chenes+corm+merisier - f. forte'!AR76*'Chenes+corm+merisier - f. forte'!$F$21,'Charme - fertil.forte'!AR76*'Charme - fertil.forte'!$F$21,'Pin maritime - très forte'!AR76*'Pin maritime - très forte'!$F$21,'P. sylv.+laricio+séquoia -forte'!AR76*'P. sylv.+laricio+séquoia -forte'!$F$21,'Douglas - fertilité moyenne'!AR76*'Douglas - fertilité moyenne'!$F$21)</f>
        <v>0</v>
      </c>
      <c r="Y92" s="188">
        <f>SUM('Chenes+Alisier - f. très forte'!AS76*'Chenes+Alisier - f. très forte'!$F$21,'Chenes+corm+merisier - f. forte'!AS76*'Chenes+corm+merisier - f. forte'!$F$21,'Charme - fertil.forte'!AS76*'Charme - fertil.forte'!$F$21,'Pin maritime - très forte'!AS76*'Pin maritime - très forte'!$F$21,'P. sylv.+laricio+séquoia -forte'!AS76*'P. sylv.+laricio+séquoia -forte'!$F$21,'Douglas - fertilité moyenne'!AS76*'Douglas - fertilité moyenne'!$F$21)</f>
        <v>0</v>
      </c>
      <c r="Z92" s="331">
        <f>SUM('Chenes+Alisier - f. très forte'!AT76*'Chenes+Alisier - f. très forte'!$F$21,'Chenes+corm+merisier - f. forte'!AT76*'Chenes+corm+merisier - f. forte'!$F$21,'Charme - fertil.forte'!AT76*'Charme - fertil.forte'!$F$21,'Pin maritime - très forte'!AT76*'Pin maritime - très forte'!$F$21,'P. sylv.+laricio+séquoia -forte'!AT76*'P. sylv.+laricio+séquoia -forte'!$F$21,'Douglas - fertilité moyenne'!AT76*'Douglas - fertilité moyenne'!$F$21)</f>
        <v>256.35750000000002</v>
      </c>
      <c r="AA92" s="178">
        <f t="shared" si="19"/>
        <v>51202.200000000004</v>
      </c>
      <c r="AB92" s="179">
        <f t="shared" si="18"/>
        <v>2207.0812144137126</v>
      </c>
      <c r="AC92" s="178"/>
      <c r="AD92" s="178"/>
    </row>
    <row r="93" spans="2:30">
      <c r="B93" s="262">
        <f>'P. sylv.+laricio+séquoia -forte'!B88</f>
        <v>46</v>
      </c>
      <c r="C93" s="225">
        <f>'P. sylv.+laricio+séquoia -forte'!C88</f>
        <v>54</v>
      </c>
      <c r="D93" s="226">
        <f>'P. sylv.+laricio+séquoia -forte'!D88</f>
        <v>0.8</v>
      </c>
      <c r="E93" s="221">
        <f>'P. sylv.+laricio+séquoia -forte'!E88</f>
        <v>0.11199999999999999</v>
      </c>
      <c r="F93" s="221">
        <f>'P. sylv.+laricio+séquoia -forte'!F88</f>
        <v>8.7999999999999981E-2</v>
      </c>
      <c r="G93" s="227">
        <f>'P. sylv.+laricio+séquoia -forte'!G88</f>
        <v>0</v>
      </c>
      <c r="H93" s="210">
        <f>IFERROR(VLOOKUP($B$85,Tableau14582[],4,FALSE)*(1+$L$9)^$B93,0)</f>
        <v>30</v>
      </c>
      <c r="I93" s="211">
        <f>IFERROR(VLOOKUP($B$85,Tableau14582[],5,FALSE)*(1+$L$9)^$B93,0)</f>
        <v>19.375</v>
      </c>
      <c r="J93" s="211">
        <f>IFERROR(VLOOKUP($B$85,Tableau14582[],5,FALSE)*(1+$L$9)^$B93,0)</f>
        <v>19.375</v>
      </c>
      <c r="K93" s="212">
        <f>IFERROR(VLOOKUP($B$85,Tableau14582[],6,FALSE)*(1+$L$9)^$B93,0)</f>
        <v>10</v>
      </c>
      <c r="L93" s="263">
        <f t="shared" si="20"/>
        <v>7606.9314000000004</v>
      </c>
      <c r="N93" s="71">
        <v>72</v>
      </c>
      <c r="O93" s="239"/>
      <c r="P93" s="180"/>
      <c r="Q93" s="240">
        <f t="shared" si="21"/>
        <v>940.00249999999994</v>
      </c>
      <c r="R93" s="180">
        <f t="shared" si="16"/>
        <v>19.270051249999998</v>
      </c>
      <c r="S93" s="180">
        <f>$L$11*(1+$L$9)^N93*'Récapitulatif des résultats'!$I$11</f>
        <v>0</v>
      </c>
      <c r="T93" s="241"/>
      <c r="U93" s="180"/>
      <c r="V93" s="249">
        <f t="shared" si="17"/>
        <v>0</v>
      </c>
      <c r="W93" s="188">
        <f>SUM('Chenes+Alisier - f. très forte'!AQ77*'Chenes+Alisier - f. très forte'!$F$21,'Chenes+corm+merisier - f. forte'!AQ77*'Chenes+corm+merisier - f. forte'!$F$21,'Charme - fertil.forte'!AQ77*'Charme - fertil.forte'!$F$21,'Pin maritime - très forte'!AQ77*'Pin maritime - très forte'!$F$21,'P. sylv.+laricio+séquoia -forte'!AQ77*'P. sylv.+laricio+séquoia -forte'!$F$21,'Douglas - fertilité moyenne'!AQ77*'Douglas - fertilité moyenne'!$F$21)</f>
        <v>0</v>
      </c>
      <c r="X93" s="188">
        <f>SUM('Chenes+Alisier - f. très forte'!AR77*'Chenes+Alisier - f. très forte'!$F$21,'Chenes+corm+merisier - f. forte'!AR77*'Chenes+corm+merisier - f. forte'!$F$21,'Charme - fertil.forte'!AR77*'Charme - fertil.forte'!$F$21,'Pin maritime - très forte'!AR77*'Pin maritime - très forte'!$F$21,'P. sylv.+laricio+séquoia -forte'!AR77*'P. sylv.+laricio+séquoia -forte'!$F$21,'Douglas - fertilité moyenne'!AR77*'Douglas - fertilité moyenne'!$F$21)</f>
        <v>0</v>
      </c>
      <c r="Y93" s="188">
        <f>SUM('Chenes+Alisier - f. très forte'!AS77*'Chenes+Alisier - f. très forte'!$F$21,'Chenes+corm+merisier - f. forte'!AS77*'Chenes+corm+merisier - f. forte'!$F$21,'Charme - fertil.forte'!AS77*'Charme - fertil.forte'!$F$21,'Pin maritime - très forte'!AS77*'Pin maritime - très forte'!$F$21,'P. sylv.+laricio+séquoia -forte'!AS77*'P. sylv.+laricio+séquoia -forte'!$F$21,'Douglas - fertilité moyenne'!AS77*'Douglas - fertilité moyenne'!$F$21)</f>
        <v>0</v>
      </c>
      <c r="Z93" s="331">
        <f>SUM('Chenes+Alisier - f. très forte'!AT77*'Chenes+Alisier - f. très forte'!$F$21,'Chenes+corm+merisier - f. forte'!AT77*'Chenes+corm+merisier - f. forte'!$F$21,'Charme - fertil.forte'!AT77*'Charme - fertil.forte'!$F$21,'Pin maritime - très forte'!AT77*'Pin maritime - très forte'!$F$21,'P. sylv.+laricio+séquoia -forte'!AT77*'P. sylv.+laricio+séquoia -forte'!$F$21,'Douglas - fertilité moyenne'!AT77*'Douglas - fertilité moyenne'!$F$21)</f>
        <v>0</v>
      </c>
      <c r="AA93" s="178">
        <f t="shared" si="19"/>
        <v>0</v>
      </c>
      <c r="AB93" s="179">
        <f t="shared" si="18"/>
        <v>-40.324510622145866</v>
      </c>
      <c r="AC93" s="178"/>
      <c r="AD93" s="178"/>
    </row>
    <row r="94" spans="2:30">
      <c r="B94" s="262">
        <f>'P. sylv.+laricio+séquoia -forte'!B89</f>
        <v>51</v>
      </c>
      <c r="C94" s="225">
        <f>'P. sylv.+laricio+séquoia -forte'!C89</f>
        <v>49</v>
      </c>
      <c r="D94" s="226">
        <f>'P. sylv.+laricio+séquoia -forte'!D89</f>
        <v>0.9</v>
      </c>
      <c r="E94" s="221">
        <f>'P. sylv.+laricio+séquoia -forte'!E89</f>
        <v>5.5999999999999994E-2</v>
      </c>
      <c r="F94" s="221">
        <f>'P. sylv.+laricio+séquoia -forte'!F89</f>
        <v>4.3999999999999991E-2</v>
      </c>
      <c r="G94" s="227">
        <f>'P. sylv.+laricio+séquoia -forte'!G89</f>
        <v>0</v>
      </c>
      <c r="H94" s="210">
        <f>IFERROR(VLOOKUP($B$85,Tableau14582[],4,FALSE)*(1+$L$9)^$B94,0)</f>
        <v>30</v>
      </c>
      <c r="I94" s="211">
        <f>IFERROR(VLOOKUP($B$85,Tableau14582[],5,FALSE)*(1+$L$9)^$B94,0)</f>
        <v>19.375</v>
      </c>
      <c r="J94" s="211">
        <f>IFERROR(VLOOKUP($B$85,Tableau14582[],5,FALSE)*(1+$L$9)^$B94,0)</f>
        <v>19.375</v>
      </c>
      <c r="K94" s="212">
        <f>IFERROR(VLOOKUP($B$85,Tableau14582[],6,FALSE)*(1+$L$9)^$B94,0)</f>
        <v>10</v>
      </c>
      <c r="L94" s="263">
        <f t="shared" si="20"/>
        <v>7165.6889500000007</v>
      </c>
      <c r="N94" s="71">
        <v>73</v>
      </c>
      <c r="O94" s="239"/>
      <c r="P94" s="180"/>
      <c r="Q94" s="240">
        <f t="shared" si="21"/>
        <v>940.00249999999994</v>
      </c>
      <c r="R94" s="180">
        <f t="shared" si="16"/>
        <v>19.270051249999998</v>
      </c>
      <c r="S94" s="180">
        <f>$L$11*(1+$L$9)^N94*'Récapitulatif des résultats'!$I$11</f>
        <v>0</v>
      </c>
      <c r="T94" s="241"/>
      <c r="U94" s="180"/>
      <c r="V94" s="249">
        <f t="shared" si="17"/>
        <v>0</v>
      </c>
      <c r="W94" s="188">
        <f>SUM('Chenes+Alisier - f. très forte'!AQ78*'Chenes+Alisier - f. très forte'!$F$21,'Chenes+corm+merisier - f. forte'!AQ78*'Chenes+corm+merisier - f. forte'!$F$21,'Charme - fertil.forte'!AQ78*'Charme - fertil.forte'!$F$21,'Pin maritime - très forte'!AQ78*'Pin maritime - très forte'!$F$21,'P. sylv.+laricio+séquoia -forte'!AQ78*'P. sylv.+laricio+séquoia -forte'!$F$21,'Douglas - fertilité moyenne'!AQ78*'Douglas - fertilité moyenne'!$F$21)</f>
        <v>0</v>
      </c>
      <c r="X94" s="188">
        <f>SUM('Chenes+Alisier - f. très forte'!AR78*'Chenes+Alisier - f. très forte'!$F$21,'Chenes+corm+merisier - f. forte'!AR78*'Chenes+corm+merisier - f. forte'!$F$21,'Charme - fertil.forte'!AR78*'Charme - fertil.forte'!$F$21,'Pin maritime - très forte'!AR78*'Pin maritime - très forte'!$F$21,'P. sylv.+laricio+séquoia -forte'!AR78*'P. sylv.+laricio+séquoia -forte'!$F$21,'Douglas - fertilité moyenne'!AR78*'Douglas - fertilité moyenne'!$F$21)</f>
        <v>0</v>
      </c>
      <c r="Y94" s="188">
        <f>SUM('Chenes+Alisier - f. très forte'!AS78*'Chenes+Alisier - f. très forte'!$F$21,'Chenes+corm+merisier - f. forte'!AS78*'Chenes+corm+merisier - f. forte'!$F$21,'Charme - fertil.forte'!AS78*'Charme - fertil.forte'!$F$21,'Pin maritime - très forte'!AS78*'Pin maritime - très forte'!$F$21,'P. sylv.+laricio+séquoia -forte'!AS78*'P. sylv.+laricio+séquoia -forte'!$F$21,'Douglas - fertilité moyenne'!AS78*'Douglas - fertilité moyenne'!$F$21)</f>
        <v>0</v>
      </c>
      <c r="Z94" s="331">
        <f>SUM('Chenes+Alisier - f. très forte'!AT78*'Chenes+Alisier - f. très forte'!$F$21,'Chenes+corm+merisier - f. forte'!AT78*'Chenes+corm+merisier - f. forte'!$F$21,'Charme - fertil.forte'!AT78*'Charme - fertil.forte'!$F$21,'Pin maritime - très forte'!AT78*'Pin maritime - très forte'!$F$21,'P. sylv.+laricio+séquoia -forte'!AT78*'P. sylv.+laricio+séquoia -forte'!$F$21,'Douglas - fertilité moyenne'!AT78*'Douglas - fertilité moyenne'!$F$21)</f>
        <v>0</v>
      </c>
      <c r="AA94" s="178">
        <f t="shared" si="19"/>
        <v>0</v>
      </c>
      <c r="AB94" s="179">
        <f t="shared" si="18"/>
        <v>-38.588048442244848</v>
      </c>
      <c r="AC94" s="178"/>
      <c r="AD94" s="178"/>
    </row>
    <row r="95" spans="2:30">
      <c r="B95" s="262" t="str">
        <f>'P. sylv.+laricio+séquoia -forte'!B90</f>
        <v>-</v>
      </c>
      <c r="C95" s="225">
        <f>'P. sylv.+laricio+séquoia -forte'!C90</f>
        <v>42</v>
      </c>
      <c r="D95" s="226">
        <f>'P. sylv.+laricio+séquoia -forte'!D90</f>
        <v>0.6</v>
      </c>
      <c r="E95" s="221">
        <f>'P. sylv.+laricio+séquoia -forte'!E90</f>
        <v>0.22400000000000003</v>
      </c>
      <c r="F95" s="221">
        <f>'P. sylv.+laricio+séquoia -forte'!F90</f>
        <v>0.17600000000000002</v>
      </c>
      <c r="G95" s="227">
        <f>'P. sylv.+laricio+séquoia -forte'!G90</f>
        <v>0</v>
      </c>
      <c r="H95" s="210">
        <f>IFERROR(VLOOKUP($B$85,Tableau14582[],4,FALSE)*(1+$L$9)^$B95,0)</f>
        <v>0</v>
      </c>
      <c r="I95" s="211">
        <f>IFERROR(VLOOKUP($B$85,Tableau14582[],5,FALSE)*(1+$L$9)^$B95,0)</f>
        <v>0</v>
      </c>
      <c r="J95" s="211">
        <f>IFERROR(VLOOKUP($B$85,Tableau14582[],5,FALSE)*(1+$L$9)^$B95,0)</f>
        <v>0</v>
      </c>
      <c r="K95" s="212">
        <f>IFERROR(VLOOKUP($B$85,Tableau14582[],6,FALSE)*(1+$L$9)^$B95,0)</f>
        <v>0</v>
      </c>
      <c r="L95" s="263">
        <f t="shared" si="20"/>
        <v>0</v>
      </c>
      <c r="N95" s="71">
        <v>74</v>
      </c>
      <c r="O95" s="239"/>
      <c r="P95" s="180"/>
      <c r="Q95" s="240">
        <f t="shared" si="21"/>
        <v>940.00249999999994</v>
      </c>
      <c r="R95" s="180">
        <f t="shared" si="16"/>
        <v>19.270051249999998</v>
      </c>
      <c r="S95" s="180">
        <f>$L$11*(1+$L$9)^N95*'Récapitulatif des résultats'!$I$11</f>
        <v>0</v>
      </c>
      <c r="T95" s="241"/>
      <c r="U95" s="180"/>
      <c r="V95" s="249">
        <f t="shared" si="17"/>
        <v>0</v>
      </c>
      <c r="W95" s="188">
        <f>SUM('Chenes+Alisier - f. très forte'!AQ79*'Chenes+Alisier - f. très forte'!$F$21,'Chenes+corm+merisier - f. forte'!AQ79*'Chenes+corm+merisier - f. forte'!$F$21,'Charme - fertil.forte'!AQ79*'Charme - fertil.forte'!$F$21,'Pin maritime - très forte'!AQ79*'Pin maritime - très forte'!$F$21,'P. sylv.+laricio+séquoia -forte'!AQ79*'P. sylv.+laricio+séquoia -forte'!$F$21,'Douglas - fertilité moyenne'!AQ79*'Douglas - fertilité moyenne'!$F$21)</f>
        <v>0</v>
      </c>
      <c r="X95" s="188">
        <f>SUM('Chenes+Alisier - f. très forte'!AR79*'Chenes+Alisier - f. très forte'!$F$21,'Chenes+corm+merisier - f. forte'!AR79*'Chenes+corm+merisier - f. forte'!$F$21,'Charme - fertil.forte'!AR79*'Charme - fertil.forte'!$F$21,'Pin maritime - très forte'!AR79*'Pin maritime - très forte'!$F$21,'P. sylv.+laricio+séquoia -forte'!AR79*'P. sylv.+laricio+séquoia -forte'!$F$21,'Douglas - fertilité moyenne'!AR79*'Douglas - fertilité moyenne'!$F$21)</f>
        <v>0</v>
      </c>
      <c r="Y95" s="188">
        <f>SUM('Chenes+Alisier - f. très forte'!AS79*'Chenes+Alisier - f. très forte'!$F$21,'Chenes+corm+merisier - f. forte'!AS79*'Chenes+corm+merisier - f. forte'!$F$21,'Charme - fertil.forte'!AS79*'Charme - fertil.forte'!$F$21,'Pin maritime - très forte'!AS79*'Pin maritime - très forte'!$F$21,'P. sylv.+laricio+séquoia -forte'!AS79*'P. sylv.+laricio+séquoia -forte'!$F$21,'Douglas - fertilité moyenne'!AS79*'Douglas - fertilité moyenne'!$F$21)</f>
        <v>0</v>
      </c>
      <c r="Z95" s="331">
        <f>SUM('Chenes+Alisier - f. très forte'!AT79*'Chenes+Alisier - f. très forte'!$F$21,'Chenes+corm+merisier - f. forte'!AT79*'Chenes+corm+merisier - f. forte'!$F$21,'Charme - fertil.forte'!AT79*'Charme - fertil.forte'!$F$21,'Pin maritime - très forte'!AT79*'Pin maritime - très forte'!$F$21,'P. sylv.+laricio+séquoia -forte'!AT79*'P. sylv.+laricio+séquoia -forte'!$F$21,'Douglas - fertilité moyenne'!AT79*'Douglas - fertilité moyenne'!$F$21)</f>
        <v>0</v>
      </c>
      <c r="AA95" s="178">
        <f t="shared" si="19"/>
        <v>0</v>
      </c>
      <c r="AB95" s="179">
        <f t="shared" si="18"/>
        <v>-36.926362145688856</v>
      </c>
      <c r="AC95" s="178"/>
      <c r="AD95" s="178"/>
    </row>
    <row r="96" spans="2:30">
      <c r="B96" s="262" t="str">
        <f>'P. sylv.+laricio+séquoia -forte'!B91</f>
        <v>-</v>
      </c>
      <c r="C96" s="225">
        <f>'P. sylv.+laricio+séquoia -forte'!C91</f>
        <v>36</v>
      </c>
      <c r="D96" s="226">
        <f>'P. sylv.+laricio+séquoia -forte'!D91</f>
        <v>0.7</v>
      </c>
      <c r="E96" s="221">
        <f>'P. sylv.+laricio+séquoia -forte'!E91</f>
        <v>0.16800000000000004</v>
      </c>
      <c r="F96" s="221">
        <f>'P. sylv.+laricio+séquoia -forte'!F91</f>
        <v>0.13200000000000003</v>
      </c>
      <c r="G96" s="227">
        <f>'P. sylv.+laricio+séquoia -forte'!G91</f>
        <v>0</v>
      </c>
      <c r="H96" s="210">
        <f>IFERROR(VLOOKUP($B$85,Tableau14582[],4,FALSE)*(1+$L$9)^$B96,0)</f>
        <v>0</v>
      </c>
      <c r="I96" s="211">
        <f>IFERROR(VLOOKUP($B$85,Tableau14582[],5,FALSE)*(1+$L$9)^$B96,0)</f>
        <v>0</v>
      </c>
      <c r="J96" s="211">
        <f>IFERROR(VLOOKUP($B$85,Tableau14582[],5,FALSE)*(1+$L$9)^$B96,0)</f>
        <v>0</v>
      </c>
      <c r="K96" s="212">
        <f>IFERROR(VLOOKUP($B$85,Tableau14582[],6,FALSE)*(1+$L$9)^$B96,0)</f>
        <v>0</v>
      </c>
      <c r="L96" s="263">
        <f t="shared" si="20"/>
        <v>0</v>
      </c>
      <c r="N96" s="71">
        <v>75</v>
      </c>
      <c r="O96" s="239"/>
      <c r="P96" s="180"/>
      <c r="Q96" s="240">
        <f t="shared" si="21"/>
        <v>940.00249999999994</v>
      </c>
      <c r="R96" s="180">
        <f t="shared" si="16"/>
        <v>19.270051249999998</v>
      </c>
      <c r="S96" s="180">
        <f>$L$11*(1+$L$9)^N96*'Récapitulatif des résultats'!$I$11</f>
        <v>0</v>
      </c>
      <c r="T96" s="241"/>
      <c r="U96" s="180"/>
      <c r="V96" s="249">
        <f t="shared" si="17"/>
        <v>0</v>
      </c>
      <c r="W96" s="188">
        <f>SUM('Chenes+Alisier - f. très forte'!AQ80*'Chenes+Alisier - f. très forte'!$F$21,'Chenes+corm+merisier - f. forte'!AQ80*'Chenes+corm+merisier - f. forte'!$F$21,'Charme - fertil.forte'!AQ80*'Charme - fertil.forte'!$F$21,'Pin maritime - très forte'!AQ80*'Pin maritime - très forte'!$F$21,'P. sylv.+laricio+séquoia -forte'!AQ80*'P. sylv.+laricio+séquoia -forte'!$F$21,'Douglas - fertilité moyenne'!AQ80*'Douglas - fertilité moyenne'!$F$21)</f>
        <v>0</v>
      </c>
      <c r="X96" s="188">
        <f>SUM('Chenes+Alisier - f. très forte'!AR80*'Chenes+Alisier - f. très forte'!$F$21,'Chenes+corm+merisier - f. forte'!AR80*'Chenes+corm+merisier - f. forte'!$F$21,'Charme - fertil.forte'!AR80*'Charme - fertil.forte'!$F$21,'Pin maritime - très forte'!AR80*'Pin maritime - très forte'!$F$21,'P. sylv.+laricio+séquoia -forte'!AR80*'P. sylv.+laricio+séquoia -forte'!$F$21,'Douglas - fertilité moyenne'!AR80*'Douglas - fertilité moyenne'!$F$21)</f>
        <v>0</v>
      </c>
      <c r="Y96" s="188">
        <f>SUM('Chenes+Alisier - f. très forte'!AS80*'Chenes+Alisier - f. très forte'!$F$21,'Chenes+corm+merisier - f. forte'!AS80*'Chenes+corm+merisier - f. forte'!$F$21,'Charme - fertil.forte'!AS80*'Charme - fertil.forte'!$F$21,'Pin maritime - très forte'!AS80*'Pin maritime - très forte'!$F$21,'P. sylv.+laricio+séquoia -forte'!AS80*'P. sylv.+laricio+séquoia -forte'!$F$21,'Douglas - fertilité moyenne'!AS80*'Douglas - fertilité moyenne'!$F$21)</f>
        <v>0</v>
      </c>
      <c r="Z96" s="331">
        <f>SUM('Chenes+Alisier - f. très forte'!AT80*'Chenes+Alisier - f. très forte'!$F$21,'Chenes+corm+merisier - f. forte'!AT80*'Chenes+corm+merisier - f. forte'!$F$21,'Charme - fertil.forte'!AT80*'Charme - fertil.forte'!$F$21,'Pin maritime - très forte'!AT80*'Pin maritime - très forte'!$F$21,'P. sylv.+laricio+séquoia -forte'!AT80*'P. sylv.+laricio+séquoia -forte'!$F$21,'Douglas - fertilité moyenne'!AT80*'Douglas - fertilité moyenne'!$F$21)</f>
        <v>0</v>
      </c>
      <c r="AA96" s="178">
        <f t="shared" si="19"/>
        <v>0</v>
      </c>
      <c r="AB96" s="179">
        <f t="shared" si="18"/>
        <v>-35.336231718362541</v>
      </c>
      <c r="AC96" s="178"/>
      <c r="AD96" s="178"/>
    </row>
    <row r="97" spans="2:30">
      <c r="B97" s="262" t="str">
        <f>'P. sylv.+laricio+séquoia -forte'!B92</f>
        <v>-</v>
      </c>
      <c r="C97" s="225">
        <f>'P. sylv.+laricio+séquoia -forte'!C92</f>
        <v>31</v>
      </c>
      <c r="D97" s="226">
        <f>'P. sylv.+laricio+séquoia -forte'!D92</f>
        <v>0.8</v>
      </c>
      <c r="E97" s="221">
        <f>'P. sylv.+laricio+séquoia -forte'!E92</f>
        <v>0.11199999999999999</v>
      </c>
      <c r="F97" s="221">
        <f>'P. sylv.+laricio+séquoia -forte'!F92</f>
        <v>8.7999999999999981E-2</v>
      </c>
      <c r="G97" s="227">
        <f>'P. sylv.+laricio+séquoia -forte'!G92</f>
        <v>0</v>
      </c>
      <c r="H97" s="210">
        <f>IFERROR(VLOOKUP($B$85,Tableau14582[],4,FALSE)*(1+$L$9)^$B97,0)</f>
        <v>0</v>
      </c>
      <c r="I97" s="211">
        <f>IFERROR(VLOOKUP($B$85,Tableau14582[],5,FALSE)*(1+$L$9)^$B97,0)</f>
        <v>0</v>
      </c>
      <c r="J97" s="211">
        <f>IFERROR(VLOOKUP($B$85,Tableau14582[],5,FALSE)*(1+$L$9)^$B97,0)</f>
        <v>0</v>
      </c>
      <c r="K97" s="212">
        <f>IFERROR(VLOOKUP($B$85,Tableau14582[],6,FALSE)*(1+$L$9)^$B97,0)</f>
        <v>0</v>
      </c>
      <c r="L97" s="263">
        <f t="shared" si="20"/>
        <v>0</v>
      </c>
      <c r="N97" s="71">
        <v>76</v>
      </c>
      <c r="O97" s="239"/>
      <c r="P97" s="180"/>
      <c r="Q97" s="240">
        <f t="shared" si="21"/>
        <v>940.00249999999994</v>
      </c>
      <c r="R97" s="180">
        <f t="shared" si="16"/>
        <v>19.270051249999998</v>
      </c>
      <c r="S97" s="180">
        <f>$L$11*(1+$L$9)^N97*'Récapitulatif des résultats'!$I$11</f>
        <v>0</v>
      </c>
      <c r="T97" s="241"/>
      <c r="U97" s="180"/>
      <c r="V97" s="249">
        <f t="shared" si="17"/>
        <v>701.57500000000005</v>
      </c>
      <c r="W97" s="188">
        <f>SUM('Chenes+Alisier - f. très forte'!AQ81*'Chenes+Alisier - f. très forte'!$F$21,'Chenes+corm+merisier - f. forte'!AQ81*'Chenes+corm+merisier - f. forte'!$F$21,'Charme - fertil.forte'!AQ81*'Charme - fertil.forte'!$F$21,'Pin maritime - très forte'!AQ81*'Pin maritime - très forte'!$F$21,'P. sylv.+laricio+séquoia -forte'!AQ81*'P. sylv.+laricio+séquoia -forte'!$F$21,'Douglas - fertilité moyenne'!AQ81*'Douglas - fertilité moyenne'!$F$21)</f>
        <v>488.83625000000001</v>
      </c>
      <c r="X97" s="188">
        <f>SUM('Chenes+Alisier - f. très forte'!AR81*'Chenes+Alisier - f. très forte'!$F$21,'Chenes+corm+merisier - f. forte'!AR81*'Chenes+corm+merisier - f. forte'!$F$21,'Charme - fertil.forte'!AR81*'Charme - fertil.forte'!$F$21,'Pin maritime - très forte'!AR81*'Pin maritime - très forte'!$F$21,'P. sylv.+laricio+séquoia -forte'!AR81*'P. sylv.+laricio+séquoia -forte'!$F$21,'Douglas - fertilité moyenne'!AR81*'Douglas - fertilité moyenne'!$F$21)</f>
        <v>0</v>
      </c>
      <c r="Y97" s="188">
        <f>SUM('Chenes+Alisier - f. très forte'!AS81*'Chenes+Alisier - f. très forte'!$F$21,'Chenes+corm+merisier - f. forte'!AS81*'Chenes+corm+merisier - f. forte'!$F$21,'Charme - fertil.forte'!AS81*'Charme - fertil.forte'!$F$21,'Pin maritime - très forte'!AS81*'Pin maritime - très forte'!$F$21,'P. sylv.+laricio+séquoia -forte'!AS81*'P. sylv.+laricio+séquoia -forte'!$F$21,'Douglas - fertilité moyenne'!AS81*'Douglas - fertilité moyenne'!$F$21)</f>
        <v>0</v>
      </c>
      <c r="Z97" s="331">
        <f>SUM('Chenes+Alisier - f. très forte'!AT81*'Chenes+Alisier - f. très forte'!$F$21,'Chenes+corm+merisier - f. forte'!AT81*'Chenes+corm+merisier - f. forte'!$F$21,'Charme - fertil.forte'!AT81*'Charme - fertil.forte'!$F$21,'Pin maritime - très forte'!AT81*'Pin maritime - très forte'!$F$21,'P. sylv.+laricio+séquoia -forte'!AT81*'P. sylv.+laricio+séquoia -forte'!$F$21,'Douglas - fertilité moyenne'!AT81*'Douglas - fertilité moyenne'!$F$21)</f>
        <v>212.73875000000001</v>
      </c>
      <c r="AA97" s="178">
        <f t="shared" si="19"/>
        <v>57308.825000000004</v>
      </c>
      <c r="AB97" s="179">
        <f t="shared" si="18"/>
        <v>1986.3345516229203</v>
      </c>
      <c r="AC97" s="178"/>
      <c r="AD97" s="178"/>
    </row>
    <row r="98" spans="2:30">
      <c r="B98" s="262" t="str">
        <f>'P. sylv.+laricio+séquoia -forte'!B93</f>
        <v>-</v>
      </c>
      <c r="C98" s="225">
        <f>'P. sylv.+laricio+séquoia -forte'!C93</f>
        <v>29</v>
      </c>
      <c r="D98" s="226">
        <f>'P. sylv.+laricio+séquoia -forte'!D93</f>
        <v>0.9</v>
      </c>
      <c r="E98" s="221">
        <f>'P. sylv.+laricio+séquoia -forte'!E93</f>
        <v>5.5999999999999994E-2</v>
      </c>
      <c r="F98" s="221">
        <f>'P. sylv.+laricio+séquoia -forte'!F93</f>
        <v>4.3999999999999991E-2</v>
      </c>
      <c r="G98" s="227">
        <f>'P. sylv.+laricio+séquoia -forte'!G93</f>
        <v>0</v>
      </c>
      <c r="H98" s="210">
        <f>IFERROR(VLOOKUP($B$85,Tableau14582[],4,FALSE)*(1+$L$9)^$B98,0)</f>
        <v>0</v>
      </c>
      <c r="I98" s="211">
        <f>IFERROR(VLOOKUP($B$85,Tableau14582[],5,FALSE)*(1+$L$9)^$B98,0)</f>
        <v>0</v>
      </c>
      <c r="J98" s="211">
        <f>IFERROR(VLOOKUP($B$85,Tableau14582[],5,FALSE)*(1+$L$9)^$B98,0)</f>
        <v>0</v>
      </c>
      <c r="K98" s="212">
        <f>IFERROR(VLOOKUP($B$85,Tableau14582[],6,FALSE)*(1+$L$9)^$B98,0)</f>
        <v>0</v>
      </c>
      <c r="L98" s="263">
        <f t="shared" si="20"/>
        <v>0</v>
      </c>
      <c r="N98" s="71">
        <v>77</v>
      </c>
      <c r="O98" s="239"/>
      <c r="P98" s="180"/>
      <c r="Q98" s="240">
        <f t="shared" si="21"/>
        <v>940.00249999999994</v>
      </c>
      <c r="R98" s="180">
        <f t="shared" si="16"/>
        <v>19.270051249999998</v>
      </c>
      <c r="S98" s="180">
        <f>$L$11*(1+$L$9)^N98*'Récapitulatif des résultats'!$I$11</f>
        <v>0</v>
      </c>
      <c r="T98" s="241"/>
      <c r="U98" s="180"/>
      <c r="V98" s="249">
        <f t="shared" si="17"/>
        <v>0</v>
      </c>
      <c r="W98" s="188">
        <f>SUM('Chenes+Alisier - f. très forte'!AQ82*'Chenes+Alisier - f. très forte'!$F$21,'Chenes+corm+merisier - f. forte'!AQ82*'Chenes+corm+merisier - f. forte'!$F$21,'Charme - fertil.forte'!AQ82*'Charme - fertil.forte'!$F$21,'Pin maritime - très forte'!AQ82*'Pin maritime - très forte'!$F$21,'P. sylv.+laricio+séquoia -forte'!AQ82*'P. sylv.+laricio+séquoia -forte'!$F$21,'Douglas - fertilité moyenne'!AQ82*'Douglas - fertilité moyenne'!$F$21)</f>
        <v>0</v>
      </c>
      <c r="X98" s="188">
        <f>SUM('Chenes+Alisier - f. très forte'!AR82*'Chenes+Alisier - f. très forte'!$F$21,'Chenes+corm+merisier - f. forte'!AR82*'Chenes+corm+merisier - f. forte'!$F$21,'Charme - fertil.forte'!AR82*'Charme - fertil.forte'!$F$21,'Pin maritime - très forte'!AR82*'Pin maritime - très forte'!$F$21,'P. sylv.+laricio+séquoia -forte'!AR82*'P. sylv.+laricio+séquoia -forte'!$F$21,'Douglas - fertilité moyenne'!AR82*'Douglas - fertilité moyenne'!$F$21)</f>
        <v>0</v>
      </c>
      <c r="Y98" s="188">
        <f>SUM('Chenes+Alisier - f. très forte'!AS82*'Chenes+Alisier - f. très forte'!$F$21,'Chenes+corm+merisier - f. forte'!AS82*'Chenes+corm+merisier - f. forte'!$F$21,'Charme - fertil.forte'!AS82*'Charme - fertil.forte'!$F$21,'Pin maritime - très forte'!AS82*'Pin maritime - très forte'!$F$21,'P. sylv.+laricio+séquoia -forte'!AS82*'P. sylv.+laricio+séquoia -forte'!$F$21,'Douglas - fertilité moyenne'!AS82*'Douglas - fertilité moyenne'!$F$21)</f>
        <v>0</v>
      </c>
      <c r="Z98" s="331">
        <f>SUM('Chenes+Alisier - f. très forte'!AT82*'Chenes+Alisier - f. très forte'!$F$21,'Chenes+corm+merisier - f. forte'!AT82*'Chenes+corm+merisier - f. forte'!$F$21,'Charme - fertil.forte'!AT82*'Charme - fertil.forte'!$F$21,'Pin maritime - très forte'!AT82*'Pin maritime - très forte'!$F$21,'P. sylv.+laricio+séquoia -forte'!AT82*'P. sylv.+laricio+séquoia -forte'!$F$21,'Douglas - fertilité moyenne'!AT82*'Douglas - fertilité moyenne'!$F$21)</f>
        <v>0</v>
      </c>
      <c r="AA98" s="178">
        <f t="shared" si="19"/>
        <v>0</v>
      </c>
      <c r="AB98" s="179">
        <f t="shared" si="18"/>
        <v>-32.358445748368901</v>
      </c>
      <c r="AC98" s="178"/>
      <c r="AD98" s="178"/>
    </row>
    <row r="99" spans="2:30">
      <c r="B99" s="264">
        <f>'P. sylv.+laricio+séquoia -forte'!B94</f>
        <v>50</v>
      </c>
      <c r="C99" s="228">
        <f>'P. sylv.+laricio+séquoia -forte'!C94</f>
        <v>458</v>
      </c>
      <c r="D99" s="222">
        <f>'P. sylv.+laricio+séquoia -forte'!D94</f>
        <v>0.95</v>
      </c>
      <c r="E99" s="234">
        <f>'P. sylv.+laricio+séquoia -forte'!E94</f>
        <v>2.8000000000000028E-2</v>
      </c>
      <c r="F99" s="234">
        <f>'P. sylv.+laricio+séquoia -forte'!F94</f>
        <v>2.200000000000002E-2</v>
      </c>
      <c r="G99" s="229">
        <f>'P. sylv.+laricio+séquoia -forte'!G94</f>
        <v>0</v>
      </c>
      <c r="H99" s="213">
        <f>IFERROR(VLOOKUP($B$85,Tableau14582[],4,FALSE)*(1+$L$9)^$B99,0)</f>
        <v>30</v>
      </c>
      <c r="I99" s="214">
        <f>IFERROR(VLOOKUP($B$85,Tableau14582[],5,FALSE)*(1+$L$9)^$B99,0)</f>
        <v>19.375</v>
      </c>
      <c r="J99" s="214">
        <f>IFERROR(VLOOKUP($B$85,Tableau14582[],5,FALSE)*(1+$L$9)^$B99,0)</f>
        <v>19.375</v>
      </c>
      <c r="K99" s="215">
        <f>IFERROR(VLOOKUP($B$85,Tableau14582[],6,FALSE)*(1+$L$9)^$B99,0)</f>
        <v>10</v>
      </c>
      <c r="L99" s="265">
        <f t="shared" si="20"/>
        <v>68206.859949999998</v>
      </c>
      <c r="N99" s="71">
        <v>78</v>
      </c>
      <c r="O99" s="239"/>
      <c r="P99" s="180"/>
      <c r="Q99" s="240">
        <f t="shared" si="21"/>
        <v>940.00249999999994</v>
      </c>
      <c r="R99" s="180">
        <f t="shared" si="16"/>
        <v>19.270051249999998</v>
      </c>
      <c r="S99" s="180">
        <f>$L$11*(1+$L$9)^N99*'Récapitulatif des résultats'!$I$11</f>
        <v>0</v>
      </c>
      <c r="T99" s="241"/>
      <c r="U99" s="180"/>
      <c r="V99" s="249">
        <f t="shared" si="17"/>
        <v>0</v>
      </c>
      <c r="W99" s="188">
        <f>SUM('Chenes+Alisier - f. très forte'!AQ83*'Chenes+Alisier - f. très forte'!$F$21,'Chenes+corm+merisier - f. forte'!AQ83*'Chenes+corm+merisier - f. forte'!$F$21,'Charme - fertil.forte'!AQ83*'Charme - fertil.forte'!$F$21,'Pin maritime - très forte'!AQ83*'Pin maritime - très forte'!$F$21,'P. sylv.+laricio+séquoia -forte'!AQ83*'P. sylv.+laricio+séquoia -forte'!$F$21,'Douglas - fertilité moyenne'!AQ83*'Douglas - fertilité moyenne'!$F$21)</f>
        <v>0</v>
      </c>
      <c r="X99" s="188">
        <f>SUM('Chenes+Alisier - f. très forte'!AR83*'Chenes+Alisier - f. très forte'!$F$21,'Chenes+corm+merisier - f. forte'!AR83*'Chenes+corm+merisier - f. forte'!$F$21,'Charme - fertil.forte'!AR83*'Charme - fertil.forte'!$F$21,'Pin maritime - très forte'!AR83*'Pin maritime - très forte'!$F$21,'P. sylv.+laricio+séquoia -forte'!AR83*'P. sylv.+laricio+séquoia -forte'!$F$21,'Douglas - fertilité moyenne'!AR83*'Douglas - fertilité moyenne'!$F$21)</f>
        <v>0</v>
      </c>
      <c r="Y99" s="188">
        <f>SUM('Chenes+Alisier - f. très forte'!AS83*'Chenes+Alisier - f. très forte'!$F$21,'Chenes+corm+merisier - f. forte'!AS83*'Chenes+corm+merisier - f. forte'!$F$21,'Charme - fertil.forte'!AS83*'Charme - fertil.forte'!$F$21,'Pin maritime - très forte'!AS83*'Pin maritime - très forte'!$F$21,'P. sylv.+laricio+séquoia -forte'!AS83*'P. sylv.+laricio+séquoia -forte'!$F$21,'Douglas - fertilité moyenne'!AS83*'Douglas - fertilité moyenne'!$F$21)</f>
        <v>0</v>
      </c>
      <c r="Z99" s="331">
        <f>SUM('Chenes+Alisier - f. très forte'!AT83*'Chenes+Alisier - f. très forte'!$F$21,'Chenes+corm+merisier - f. forte'!AT83*'Chenes+corm+merisier - f. forte'!$F$21,'Charme - fertil.forte'!AT83*'Charme - fertil.forte'!$F$21,'Pin maritime - très forte'!AT83*'Pin maritime - très forte'!$F$21,'P. sylv.+laricio+séquoia -forte'!AT83*'P. sylv.+laricio+séquoia -forte'!$F$21,'Douglas - fertilité moyenne'!AT83*'Douglas - fertilité moyenne'!$F$21)</f>
        <v>0</v>
      </c>
      <c r="AA99" s="178">
        <f t="shared" si="19"/>
        <v>0</v>
      </c>
      <c r="AB99" s="179">
        <f t="shared" si="18"/>
        <v>-30.965019854898479</v>
      </c>
      <c r="AC99" s="178"/>
      <c r="AD99" s="178"/>
    </row>
    <row r="100" spans="2:30">
      <c r="B100" s="266"/>
      <c r="C100" s="267"/>
      <c r="D100" s="267"/>
      <c r="E100" s="267"/>
      <c r="F100" s="267"/>
      <c r="G100" s="267"/>
      <c r="H100" s="267"/>
      <c r="I100" s="267"/>
      <c r="J100" s="267"/>
      <c r="K100" s="267"/>
      <c r="L100" s="268"/>
      <c r="N100" s="71">
        <v>79</v>
      </c>
      <c r="O100" s="239"/>
      <c r="P100" s="180"/>
      <c r="Q100" s="240">
        <f t="shared" si="21"/>
        <v>940.00249999999994</v>
      </c>
      <c r="R100" s="180">
        <f t="shared" si="16"/>
        <v>19.270051249999998</v>
      </c>
      <c r="S100" s="180">
        <f>$L$11*(1+$L$9)^N100*'Récapitulatif des résultats'!$I$11</f>
        <v>0</v>
      </c>
      <c r="T100" s="241"/>
      <c r="U100" s="180"/>
      <c r="V100" s="249">
        <f t="shared" si="17"/>
        <v>0</v>
      </c>
      <c r="W100" s="188">
        <f>SUM('Chenes+Alisier - f. très forte'!AQ84*'Chenes+Alisier - f. très forte'!$F$21,'Chenes+corm+merisier - f. forte'!AQ84*'Chenes+corm+merisier - f. forte'!$F$21,'Charme - fertil.forte'!AQ84*'Charme - fertil.forte'!$F$21,'Pin maritime - très forte'!AQ84*'Pin maritime - très forte'!$F$21,'P. sylv.+laricio+séquoia -forte'!AQ84*'P. sylv.+laricio+séquoia -forte'!$F$21,'Douglas - fertilité moyenne'!AQ84*'Douglas - fertilité moyenne'!$F$21)</f>
        <v>0</v>
      </c>
      <c r="X100" s="188">
        <f>SUM('Chenes+Alisier - f. très forte'!AR84*'Chenes+Alisier - f. très forte'!$F$21,'Chenes+corm+merisier - f. forte'!AR84*'Chenes+corm+merisier - f. forte'!$F$21,'Charme - fertil.forte'!AR84*'Charme - fertil.forte'!$F$21,'Pin maritime - très forte'!AR84*'Pin maritime - très forte'!$F$21,'P. sylv.+laricio+séquoia -forte'!AR84*'P. sylv.+laricio+séquoia -forte'!$F$21,'Douglas - fertilité moyenne'!AR84*'Douglas - fertilité moyenne'!$F$21)</f>
        <v>0</v>
      </c>
      <c r="Y100" s="188">
        <f>SUM('Chenes+Alisier - f. très forte'!AS84*'Chenes+Alisier - f. très forte'!$F$21,'Chenes+corm+merisier - f. forte'!AS84*'Chenes+corm+merisier - f. forte'!$F$21,'Charme - fertil.forte'!AS84*'Charme - fertil.forte'!$F$21,'Pin maritime - très forte'!AS84*'Pin maritime - très forte'!$F$21,'P. sylv.+laricio+séquoia -forte'!AS84*'P. sylv.+laricio+séquoia -forte'!$F$21,'Douglas - fertilité moyenne'!AS84*'Douglas - fertilité moyenne'!$F$21)</f>
        <v>0</v>
      </c>
      <c r="Z100" s="331">
        <f>SUM('Chenes+Alisier - f. très forte'!AT84*'Chenes+Alisier - f. très forte'!$F$21,'Chenes+corm+merisier - f. forte'!AT84*'Chenes+corm+merisier - f. forte'!$F$21,'Charme - fertil.forte'!AT84*'Charme - fertil.forte'!$F$21,'Pin maritime - très forte'!AT84*'Pin maritime - très forte'!$F$21,'P. sylv.+laricio+séquoia -forte'!AT84*'P. sylv.+laricio+séquoia -forte'!$F$21,'Douglas - fertilité moyenne'!AT84*'Douglas - fertilité moyenne'!$F$21)</f>
        <v>0</v>
      </c>
      <c r="AA100" s="178">
        <f t="shared" si="19"/>
        <v>0</v>
      </c>
      <c r="AB100" s="179">
        <f t="shared" si="18"/>
        <v>-29.63159794727127</v>
      </c>
      <c r="AC100" s="178"/>
      <c r="AD100" s="178"/>
    </row>
    <row r="101" spans="2:30">
      <c r="B101" s="411" t="str">
        <f>'Douglas - fertilité moyenne'!F17</f>
        <v xml:space="preserve">Douglas </v>
      </c>
      <c r="C101" s="412">
        <f>'Douglas - fertilité moyenne'!C80</f>
        <v>0</v>
      </c>
      <c r="D101" s="412">
        <f>'Douglas - fertilité moyenne'!D80</f>
        <v>0</v>
      </c>
      <c r="E101" s="412">
        <f>'Douglas - fertilité moyenne'!E80</f>
        <v>0</v>
      </c>
      <c r="F101" s="412">
        <f>'Douglas - fertilité moyenne'!F80</f>
        <v>0</v>
      </c>
      <c r="G101" s="413">
        <f>'Douglas - fertilité moyenne'!G80</f>
        <v>0</v>
      </c>
      <c r="H101" s="397" t="s">
        <v>248</v>
      </c>
      <c r="I101" s="398"/>
      <c r="J101" s="398"/>
      <c r="K101" s="399"/>
      <c r="L101" s="257">
        <f>AD5</f>
        <v>2.1429</v>
      </c>
      <c r="N101" s="71">
        <v>80</v>
      </c>
      <c r="O101" s="239"/>
      <c r="P101" s="180"/>
      <c r="Q101" s="240">
        <f t="shared" si="21"/>
        <v>940.00249999999994</v>
      </c>
      <c r="R101" s="180">
        <f t="shared" si="16"/>
        <v>19.270051249999998</v>
      </c>
      <c r="S101" s="180">
        <f>$L$11*(1+$L$9)^N101*'Récapitulatif des résultats'!$I$11</f>
        <v>0</v>
      </c>
      <c r="T101" s="241"/>
      <c r="U101" s="180"/>
      <c r="V101" s="249">
        <f t="shared" si="17"/>
        <v>0</v>
      </c>
      <c r="W101" s="188">
        <f>SUM('Chenes+Alisier - f. très forte'!AQ85*'Chenes+Alisier - f. très forte'!$F$21,'Chenes+corm+merisier - f. forte'!AQ85*'Chenes+corm+merisier - f. forte'!$F$21,'Charme - fertil.forte'!AQ85*'Charme - fertil.forte'!$F$21,'Pin maritime - très forte'!AQ85*'Pin maritime - très forte'!$F$21,'P. sylv.+laricio+séquoia -forte'!AQ85*'P. sylv.+laricio+séquoia -forte'!$F$21,'Douglas - fertilité moyenne'!AQ85*'Douglas - fertilité moyenne'!$F$21)</f>
        <v>0</v>
      </c>
      <c r="X101" s="188">
        <f>SUM('Chenes+Alisier - f. très forte'!AR85*'Chenes+Alisier - f. très forte'!$F$21,'Chenes+corm+merisier - f. forte'!AR85*'Chenes+corm+merisier - f. forte'!$F$21,'Charme - fertil.forte'!AR85*'Charme - fertil.forte'!$F$21,'Pin maritime - très forte'!AR85*'Pin maritime - très forte'!$F$21,'P. sylv.+laricio+séquoia -forte'!AR85*'P. sylv.+laricio+séquoia -forte'!$F$21,'Douglas - fertilité moyenne'!AR85*'Douglas - fertilité moyenne'!$F$21)</f>
        <v>0</v>
      </c>
      <c r="Y101" s="188">
        <f>SUM('Chenes+Alisier - f. très forte'!AS85*'Chenes+Alisier - f. très forte'!$F$21,'Chenes+corm+merisier - f. forte'!AS85*'Chenes+corm+merisier - f. forte'!$F$21,'Charme - fertil.forte'!AS85*'Charme - fertil.forte'!$F$21,'Pin maritime - très forte'!AS85*'Pin maritime - très forte'!$F$21,'P. sylv.+laricio+séquoia -forte'!AS85*'P. sylv.+laricio+séquoia -forte'!$F$21,'Douglas - fertilité moyenne'!AS85*'Douglas - fertilité moyenne'!$F$21)</f>
        <v>0</v>
      </c>
      <c r="Z101" s="331">
        <f>SUM('Chenes+Alisier - f. très forte'!AT85*'Chenes+Alisier - f. très forte'!$F$21,'Chenes+corm+merisier - f. forte'!AT85*'Chenes+corm+merisier - f. forte'!$F$21,'Charme - fertil.forte'!AT85*'Charme - fertil.forte'!$F$21,'Pin maritime - très forte'!AT85*'Pin maritime - très forte'!$F$21,'P. sylv.+laricio+séquoia -forte'!AT85*'P. sylv.+laricio+séquoia -forte'!$F$21,'Douglas - fertilité moyenne'!AT85*'Douglas - fertilité moyenne'!$F$21)</f>
        <v>0</v>
      </c>
      <c r="AA101" s="178">
        <f t="shared" si="19"/>
        <v>0</v>
      </c>
      <c r="AB101" s="179">
        <f t="shared" si="18"/>
        <v>-28.355596121790697</v>
      </c>
      <c r="AC101" s="178"/>
      <c r="AD101" s="178"/>
    </row>
    <row r="102" spans="2:30">
      <c r="B102" s="269" t="str">
        <f>'Douglas - fertilité moyenne'!B81</f>
        <v>Année</v>
      </c>
      <c r="C102" s="230" t="str">
        <f>'Douglas - fertilité moyenne'!C81</f>
        <v>Volume d'éclaircie</v>
      </c>
      <c r="D102" s="217" t="str">
        <f>'Douglas - fertilité moyenne'!D81</f>
        <v>BO</v>
      </c>
      <c r="E102" s="217" t="str">
        <f>'Douglas - fertilité moyenne'!E81</f>
        <v>BI - panneaux</v>
      </c>
      <c r="F102" s="217" t="str">
        <f>'Douglas - fertilité moyenne'!F81</f>
        <v>BI - papier</v>
      </c>
      <c r="G102" s="218" t="str">
        <f>'Douglas - fertilité moyenne'!G81</f>
        <v>BE</v>
      </c>
      <c r="H102" s="216" t="s">
        <v>78</v>
      </c>
      <c r="I102" s="217" t="s">
        <v>81</v>
      </c>
      <c r="J102" s="217" t="s">
        <v>80</v>
      </c>
      <c r="K102" s="218" t="s">
        <v>79</v>
      </c>
      <c r="L102" s="259" t="s">
        <v>252</v>
      </c>
      <c r="N102" s="71">
        <v>81</v>
      </c>
      <c r="O102" s="239"/>
      <c r="P102" s="180"/>
      <c r="Q102" s="240">
        <f t="shared" si="21"/>
        <v>940.00249999999994</v>
      </c>
      <c r="R102" s="180">
        <f t="shared" si="16"/>
        <v>19.270051249999998</v>
      </c>
      <c r="S102" s="180">
        <f>$L$11*(1+$L$9)^N102*'Récapitulatif des résultats'!$I$11</f>
        <v>0</v>
      </c>
      <c r="T102" s="241"/>
      <c r="U102" s="180"/>
      <c r="V102" s="249">
        <f t="shared" si="17"/>
        <v>372.40000000000003</v>
      </c>
      <c r="W102" s="188">
        <f>SUM('Chenes+Alisier - f. très forte'!AQ86*'Chenes+Alisier - f. très forte'!$F$21,'Chenes+corm+merisier - f. forte'!AQ86*'Chenes+corm+merisier - f. forte'!$F$21,'Charme - fertil.forte'!AQ86*'Charme - fertil.forte'!$F$21,'Pin maritime - très forte'!AQ86*'Pin maritime - très forte'!$F$21,'P. sylv.+laricio+séquoia -forte'!AQ86*'P. sylv.+laricio+séquoia -forte'!$F$21,'Douglas - fertilité moyenne'!AQ86*'Douglas - fertilité moyenne'!$F$21)</f>
        <v>186.20000000000002</v>
      </c>
      <c r="X102" s="188">
        <f>SUM('Chenes+Alisier - f. très forte'!AR86*'Chenes+Alisier - f. très forte'!$F$21,'Chenes+corm+merisier - f. forte'!AR86*'Chenes+corm+merisier - f. forte'!$F$21,'Charme - fertil.forte'!AR86*'Charme - fertil.forte'!$F$21,'Pin maritime - très forte'!AR86*'Pin maritime - très forte'!$F$21,'P. sylv.+laricio+séquoia -forte'!AR86*'P. sylv.+laricio+séquoia -forte'!$F$21,'Douglas - fertilité moyenne'!AR86*'Douglas - fertilité moyenne'!$F$21)</f>
        <v>0</v>
      </c>
      <c r="Y102" s="188">
        <f>SUM('Chenes+Alisier - f. très forte'!AS86*'Chenes+Alisier - f. très forte'!$F$21,'Chenes+corm+merisier - f. forte'!AS86*'Chenes+corm+merisier - f. forte'!$F$21,'Charme - fertil.forte'!AS86*'Charme - fertil.forte'!$F$21,'Pin maritime - très forte'!AS86*'Pin maritime - très forte'!$F$21,'P. sylv.+laricio+séquoia -forte'!AS86*'P. sylv.+laricio+séquoia -forte'!$F$21,'Douglas - fertilité moyenne'!AS86*'Douglas - fertilité moyenne'!$F$21)</f>
        <v>0</v>
      </c>
      <c r="Z102" s="331">
        <f>SUM('Chenes+Alisier - f. très forte'!AT86*'Chenes+Alisier - f. très forte'!$F$21,'Chenes+corm+merisier - f. forte'!AT86*'Chenes+corm+merisier - f. forte'!$F$21,'Charme - fertil.forte'!AT86*'Charme - fertil.forte'!$F$21,'Pin maritime - très forte'!AT86*'Pin maritime - très forte'!$F$21,'P. sylv.+laricio+séquoia -forte'!AT86*'P. sylv.+laricio+séquoia -forte'!$F$21,'Douglas - fertilité moyenne'!AT86*'Douglas - fertilité moyenne'!$F$21)</f>
        <v>186.20000000000002</v>
      </c>
      <c r="AA102" s="178">
        <f t="shared" si="19"/>
        <v>0</v>
      </c>
      <c r="AB102" s="179">
        <f t="shared" si="18"/>
        <v>-27.134541743340382</v>
      </c>
      <c r="AC102" s="178"/>
      <c r="AD102" s="178"/>
    </row>
    <row r="103" spans="2:30">
      <c r="B103" s="270">
        <f>'Douglas - fertilité moyenne'!B82</f>
        <v>11</v>
      </c>
      <c r="C103" s="223">
        <f>'Douglas - fertilité moyenne'!C82</f>
        <v>0</v>
      </c>
      <c r="D103" s="220">
        <f>'Douglas - fertilité moyenne'!D82</f>
        <v>0</v>
      </c>
      <c r="E103" s="220">
        <f>'Douglas - fertilité moyenne'!E82</f>
        <v>0.56000000000000005</v>
      </c>
      <c r="F103" s="220">
        <f>'Douglas - fertilité moyenne'!F82</f>
        <v>0.44</v>
      </c>
      <c r="G103" s="224">
        <f>'Douglas - fertilité moyenne'!G82</f>
        <v>0</v>
      </c>
      <c r="H103" s="210">
        <f>IFERROR(VLOOKUP($B$101,Tableau14582[],4,FALSE)*(1+$L$9)^$B103,0)</f>
        <v>59</v>
      </c>
      <c r="I103" s="211">
        <f>IFERROR(VLOOKUP($B$101,Tableau14582[],5,FALSE)*(1+$L$9)^$B103,0)</f>
        <v>19.375</v>
      </c>
      <c r="J103" s="211">
        <f>IFERROR(VLOOKUP($B$101,Tableau14582[],5,FALSE)*(1+$L$9)^$B103,0)</f>
        <v>19.375</v>
      </c>
      <c r="K103" s="212">
        <f>IFERROR(VLOOKUP($B$101,Tableau14582[],6,FALSE)*(1+$L$9)^$B103,0)</f>
        <v>10</v>
      </c>
      <c r="L103" s="261">
        <f>(C103*D103*H103+C103*E103*I103+C103*F103*J103+C103*G103*K103)*L$101</f>
        <v>0</v>
      </c>
      <c r="N103" s="71">
        <v>82</v>
      </c>
      <c r="O103" s="239"/>
      <c r="P103" s="180"/>
      <c r="Q103" s="240">
        <f t="shared" si="21"/>
        <v>940.00249999999994</v>
      </c>
      <c r="R103" s="180">
        <f t="shared" si="16"/>
        <v>19.270051249999998</v>
      </c>
      <c r="S103" s="180">
        <f>$L$11*(1+$L$9)^N103*'Récapitulatif des résultats'!$I$11</f>
        <v>0</v>
      </c>
      <c r="T103" s="241"/>
      <c r="U103" s="180"/>
      <c r="V103" s="249">
        <f t="shared" si="17"/>
        <v>0</v>
      </c>
      <c r="W103" s="188">
        <f>SUM('Chenes+Alisier - f. très forte'!AQ87*'Chenes+Alisier - f. très forte'!$F$21,'Chenes+corm+merisier - f. forte'!AQ87*'Chenes+corm+merisier - f. forte'!$F$21,'Charme - fertil.forte'!AQ87*'Charme - fertil.forte'!$F$21,'Pin maritime - très forte'!AQ87*'Pin maritime - très forte'!$F$21,'P. sylv.+laricio+séquoia -forte'!AQ87*'P. sylv.+laricio+séquoia -forte'!$F$21,'Douglas - fertilité moyenne'!AQ87*'Douglas - fertilité moyenne'!$F$21)</f>
        <v>0</v>
      </c>
      <c r="X103" s="188">
        <f>SUM('Chenes+Alisier - f. très forte'!AR87*'Chenes+Alisier - f. très forte'!$F$21,'Chenes+corm+merisier - f. forte'!AR87*'Chenes+corm+merisier - f. forte'!$F$21,'Charme - fertil.forte'!AR87*'Charme - fertil.forte'!$F$21,'Pin maritime - très forte'!AR87*'Pin maritime - très forte'!$F$21,'P. sylv.+laricio+séquoia -forte'!AR87*'P. sylv.+laricio+séquoia -forte'!$F$21,'Douglas - fertilité moyenne'!AR87*'Douglas - fertilité moyenne'!$F$21)</f>
        <v>0</v>
      </c>
      <c r="Y103" s="188">
        <f>SUM('Chenes+Alisier - f. très forte'!AS87*'Chenes+Alisier - f. très forte'!$F$21,'Chenes+corm+merisier - f. forte'!AS87*'Chenes+corm+merisier - f. forte'!$F$21,'Charme - fertil.forte'!AS87*'Charme - fertil.forte'!$F$21,'Pin maritime - très forte'!AS87*'Pin maritime - très forte'!$F$21,'P. sylv.+laricio+séquoia -forte'!AS87*'P. sylv.+laricio+séquoia -forte'!$F$21,'Douglas - fertilité moyenne'!AS87*'Douglas - fertilité moyenne'!$F$21)</f>
        <v>0</v>
      </c>
      <c r="Z103" s="331">
        <f>SUM('Chenes+Alisier - f. très forte'!AT87*'Chenes+Alisier - f. très forte'!$F$21,'Chenes+corm+merisier - f. forte'!AT87*'Chenes+corm+merisier - f. forte'!$F$21,'Charme - fertil.forte'!AT87*'Charme - fertil.forte'!$F$21,'Pin maritime - très forte'!AT87*'Pin maritime - très forte'!$F$21,'P. sylv.+laricio+séquoia -forte'!AT87*'P. sylv.+laricio+séquoia -forte'!$F$21,'Douglas - fertilité moyenne'!AT87*'Douglas - fertilité moyenne'!$F$21)</f>
        <v>0</v>
      </c>
      <c r="AA103" s="178">
        <f t="shared" si="19"/>
        <v>0</v>
      </c>
      <c r="AB103" s="179">
        <f t="shared" si="18"/>
        <v>-25.966068653914245</v>
      </c>
      <c r="AC103" s="178"/>
      <c r="AD103" s="178"/>
    </row>
    <row r="104" spans="2:30">
      <c r="B104" s="271">
        <f>'Douglas - fertilité moyenne'!B83</f>
        <v>16</v>
      </c>
      <c r="C104" s="225">
        <f>'Douglas - fertilité moyenne'!C83</f>
        <v>7</v>
      </c>
      <c r="D104" s="226">
        <f>'Douglas - fertilité moyenne'!D83</f>
        <v>0</v>
      </c>
      <c r="E104" s="221">
        <f>'Douglas - fertilité moyenne'!E83</f>
        <v>0.56000000000000005</v>
      </c>
      <c r="F104" s="221">
        <f>'Douglas - fertilité moyenne'!F83</f>
        <v>0.44</v>
      </c>
      <c r="G104" s="227">
        <f>'Douglas - fertilité moyenne'!G83</f>
        <v>0</v>
      </c>
      <c r="H104" s="210">
        <f>IFERROR(VLOOKUP($B$101,Tableau14582[],4,FALSE)*(1+$L$9)^$B104,0)</f>
        <v>59</v>
      </c>
      <c r="I104" s="211">
        <f>IFERROR(VLOOKUP($B$101,Tableau14582[],5,FALSE)*(1+$L$9)^$B104,0)</f>
        <v>19.375</v>
      </c>
      <c r="J104" s="211">
        <f>IFERROR(VLOOKUP($B$101,Tableau14582[],5,FALSE)*(1+$L$9)^$B104,0)</f>
        <v>19.375</v>
      </c>
      <c r="K104" s="212">
        <f>IFERROR(VLOOKUP($B$101,Tableau14582[],6,FALSE)*(1+$L$9)^$B104,0)</f>
        <v>10</v>
      </c>
      <c r="L104" s="263">
        <f t="shared" ref="L104:L115" si="22">(C104*D104*H104+C104*E104*I104+C104*F104*J104+C104*G104*K104)*L$101</f>
        <v>290.63081249999999</v>
      </c>
      <c r="N104" s="71">
        <v>83</v>
      </c>
      <c r="O104" s="239"/>
      <c r="P104" s="180"/>
      <c r="Q104" s="240">
        <f t="shared" si="21"/>
        <v>940.00249999999994</v>
      </c>
      <c r="R104" s="180">
        <f t="shared" si="16"/>
        <v>19.270051249999998</v>
      </c>
      <c r="S104" s="180">
        <f>$L$11*(1+$L$9)^N104*'Récapitulatif des résultats'!$I$11</f>
        <v>0</v>
      </c>
      <c r="T104" s="241"/>
      <c r="U104" s="180"/>
      <c r="V104" s="249">
        <f t="shared" si="17"/>
        <v>0</v>
      </c>
      <c r="W104" s="188">
        <f>SUM('Chenes+Alisier - f. très forte'!AQ88*'Chenes+Alisier - f. très forte'!$F$21,'Chenes+corm+merisier - f. forte'!AQ88*'Chenes+corm+merisier - f. forte'!$F$21,'Charme - fertil.forte'!AQ88*'Charme - fertil.forte'!$F$21,'Pin maritime - très forte'!AQ88*'Pin maritime - très forte'!$F$21,'P. sylv.+laricio+séquoia -forte'!AQ88*'P. sylv.+laricio+séquoia -forte'!$F$21,'Douglas - fertilité moyenne'!AQ88*'Douglas - fertilité moyenne'!$F$21)</f>
        <v>0</v>
      </c>
      <c r="X104" s="188">
        <f>SUM('Chenes+Alisier - f. très forte'!AR88*'Chenes+Alisier - f. très forte'!$F$21,'Chenes+corm+merisier - f. forte'!AR88*'Chenes+corm+merisier - f. forte'!$F$21,'Charme - fertil.forte'!AR88*'Charme - fertil.forte'!$F$21,'Pin maritime - très forte'!AR88*'Pin maritime - très forte'!$F$21,'P. sylv.+laricio+séquoia -forte'!AR88*'P. sylv.+laricio+séquoia -forte'!$F$21,'Douglas - fertilité moyenne'!AR88*'Douglas - fertilité moyenne'!$F$21)</f>
        <v>0</v>
      </c>
      <c r="Y104" s="188">
        <f>SUM('Chenes+Alisier - f. très forte'!AS88*'Chenes+Alisier - f. très forte'!$F$21,'Chenes+corm+merisier - f. forte'!AS88*'Chenes+corm+merisier - f. forte'!$F$21,'Charme - fertil.forte'!AS88*'Charme - fertil.forte'!$F$21,'Pin maritime - très forte'!AS88*'Pin maritime - très forte'!$F$21,'P. sylv.+laricio+séquoia -forte'!AS88*'P. sylv.+laricio+séquoia -forte'!$F$21,'Douglas - fertilité moyenne'!AS88*'Douglas - fertilité moyenne'!$F$21)</f>
        <v>0</v>
      </c>
      <c r="Z104" s="331">
        <f>SUM('Chenes+Alisier - f. très forte'!AT88*'Chenes+Alisier - f. très forte'!$F$21,'Chenes+corm+merisier - f. forte'!AT88*'Chenes+corm+merisier - f. forte'!$F$21,'Charme - fertil.forte'!AT88*'Charme - fertil.forte'!$F$21,'Pin maritime - très forte'!AT88*'Pin maritime - très forte'!$F$21,'P. sylv.+laricio+séquoia -forte'!AT88*'P. sylv.+laricio+séquoia -forte'!$F$21,'Douglas - fertilité moyenne'!AT88*'Douglas - fertilité moyenne'!$F$21)</f>
        <v>0</v>
      </c>
      <c r="AA104" s="178">
        <f t="shared" si="19"/>
        <v>0</v>
      </c>
      <c r="AB104" s="179">
        <f t="shared" si="18"/>
        <v>-24.847912587477751</v>
      </c>
      <c r="AC104" s="178"/>
      <c r="AD104" s="178"/>
    </row>
    <row r="105" spans="2:30">
      <c r="B105" s="271">
        <f>'Douglas - fertilité moyenne'!B84</f>
        <v>21</v>
      </c>
      <c r="C105" s="225">
        <f>'Douglas - fertilité moyenne'!C84</f>
        <v>56</v>
      </c>
      <c r="D105" s="226">
        <f>'Douglas - fertilité moyenne'!D84</f>
        <v>0</v>
      </c>
      <c r="E105" s="221">
        <f>'Douglas - fertilité moyenne'!E84</f>
        <v>0.56000000000000005</v>
      </c>
      <c r="F105" s="221">
        <f>'Douglas - fertilité moyenne'!F84</f>
        <v>0.44</v>
      </c>
      <c r="G105" s="227">
        <f>'Douglas - fertilité moyenne'!G84</f>
        <v>0</v>
      </c>
      <c r="H105" s="210">
        <f>IFERROR(VLOOKUP($B$101,Tableau14582[],4,FALSE)*(1+$L$9)^$B105,0)</f>
        <v>59</v>
      </c>
      <c r="I105" s="211">
        <f>IFERROR(VLOOKUP($B$101,Tableau14582[],5,FALSE)*(1+$L$9)^$B105,0)</f>
        <v>19.375</v>
      </c>
      <c r="J105" s="211">
        <f>IFERROR(VLOOKUP($B$101,Tableau14582[],5,FALSE)*(1+$L$9)^$B105,0)</f>
        <v>19.375</v>
      </c>
      <c r="K105" s="212">
        <f>IFERROR(VLOOKUP($B$101,Tableau14582[],6,FALSE)*(1+$L$9)^$B105,0)</f>
        <v>10</v>
      </c>
      <c r="L105" s="263">
        <f t="shared" si="22"/>
        <v>2325.0464999999999</v>
      </c>
      <c r="N105" s="71">
        <v>84</v>
      </c>
      <c r="O105" s="239"/>
      <c r="P105" s="180"/>
      <c r="Q105" s="240">
        <f t="shared" si="21"/>
        <v>940.00249999999994</v>
      </c>
      <c r="R105" s="180">
        <f t="shared" si="16"/>
        <v>19.270051249999998</v>
      </c>
      <c r="S105" s="180">
        <f>$L$11*(1+$L$9)^N105*'Récapitulatif des résultats'!$I$11</f>
        <v>0</v>
      </c>
      <c r="T105" s="241"/>
      <c r="U105" s="180"/>
      <c r="V105" s="249">
        <f t="shared" si="17"/>
        <v>0</v>
      </c>
      <c r="W105" s="188">
        <f>SUM('Chenes+Alisier - f. très forte'!AQ89*'Chenes+Alisier - f. très forte'!$F$21,'Chenes+corm+merisier - f. forte'!AQ89*'Chenes+corm+merisier - f. forte'!$F$21,'Charme - fertil.forte'!AQ89*'Charme - fertil.forte'!$F$21,'Pin maritime - très forte'!AQ89*'Pin maritime - très forte'!$F$21,'P. sylv.+laricio+séquoia -forte'!AQ89*'P. sylv.+laricio+séquoia -forte'!$F$21,'Douglas - fertilité moyenne'!AQ89*'Douglas - fertilité moyenne'!$F$21)</f>
        <v>0</v>
      </c>
      <c r="X105" s="188">
        <f>SUM('Chenes+Alisier - f. très forte'!AR89*'Chenes+Alisier - f. très forte'!$F$21,'Chenes+corm+merisier - f. forte'!AR89*'Chenes+corm+merisier - f. forte'!$F$21,'Charme - fertil.forte'!AR89*'Charme - fertil.forte'!$F$21,'Pin maritime - très forte'!AR89*'Pin maritime - très forte'!$F$21,'P. sylv.+laricio+séquoia -forte'!AR89*'P. sylv.+laricio+séquoia -forte'!$F$21,'Douglas - fertilité moyenne'!AR89*'Douglas - fertilité moyenne'!$F$21)</f>
        <v>0</v>
      </c>
      <c r="Y105" s="188">
        <f>SUM('Chenes+Alisier - f. très forte'!AS89*'Chenes+Alisier - f. très forte'!$F$21,'Chenes+corm+merisier - f. forte'!AS89*'Chenes+corm+merisier - f. forte'!$F$21,'Charme - fertil.forte'!AS89*'Charme - fertil.forte'!$F$21,'Pin maritime - très forte'!AS89*'Pin maritime - très forte'!$F$21,'P. sylv.+laricio+séquoia -forte'!AS89*'P. sylv.+laricio+séquoia -forte'!$F$21,'Douglas - fertilité moyenne'!AS89*'Douglas - fertilité moyenne'!$F$21)</f>
        <v>0</v>
      </c>
      <c r="Z105" s="331">
        <f>SUM('Chenes+Alisier - f. très forte'!AT89*'Chenes+Alisier - f. très forte'!$F$21,'Chenes+corm+merisier - f. forte'!AT89*'Chenes+corm+merisier - f. forte'!$F$21,'Charme - fertil.forte'!AT89*'Charme - fertil.forte'!$F$21,'Pin maritime - très forte'!AT89*'Pin maritime - très forte'!$F$21,'P. sylv.+laricio+séquoia -forte'!AT89*'P. sylv.+laricio+séquoia -forte'!$F$21,'Douglas - fertilité moyenne'!AT89*'Douglas - fertilité moyenne'!$F$21)</f>
        <v>0</v>
      </c>
      <c r="AA105" s="178">
        <f t="shared" si="19"/>
        <v>0</v>
      </c>
      <c r="AB105" s="179">
        <f t="shared" si="18"/>
        <v>-23.777906782275362</v>
      </c>
      <c r="AC105" s="178"/>
      <c r="AD105" s="178"/>
    </row>
    <row r="106" spans="2:30">
      <c r="B106" s="271">
        <f>'Douglas - fertilité moyenne'!B85</f>
        <v>26</v>
      </c>
      <c r="C106" s="225">
        <f>'Douglas - fertilité moyenne'!C85</f>
        <v>56</v>
      </c>
      <c r="D106" s="226">
        <f>'Douglas - fertilité moyenne'!D85</f>
        <v>0</v>
      </c>
      <c r="E106" s="221">
        <f>'Douglas - fertilité moyenne'!E85</f>
        <v>0.56000000000000005</v>
      </c>
      <c r="F106" s="221">
        <f>'Douglas - fertilité moyenne'!F85</f>
        <v>0.44</v>
      </c>
      <c r="G106" s="227">
        <f>'Douglas - fertilité moyenne'!G85</f>
        <v>0</v>
      </c>
      <c r="H106" s="210">
        <f>IFERROR(VLOOKUP($B$101,Tableau14582[],4,FALSE)*(1+$L$9)^$B106,0)</f>
        <v>59</v>
      </c>
      <c r="I106" s="211">
        <f>IFERROR(VLOOKUP($B$101,Tableau14582[],5,FALSE)*(1+$L$9)^$B106,0)</f>
        <v>19.375</v>
      </c>
      <c r="J106" s="211">
        <f>IFERROR(VLOOKUP($B$101,Tableau14582[],5,FALSE)*(1+$L$9)^$B106,0)</f>
        <v>19.375</v>
      </c>
      <c r="K106" s="212">
        <f>IFERROR(VLOOKUP($B$101,Tableau14582[],6,FALSE)*(1+$L$9)^$B106,0)</f>
        <v>10</v>
      </c>
      <c r="L106" s="263">
        <f t="shared" si="22"/>
        <v>2325.0464999999999</v>
      </c>
      <c r="N106" s="71">
        <v>85</v>
      </c>
      <c r="O106" s="239"/>
      <c r="P106" s="180"/>
      <c r="Q106" s="240">
        <f t="shared" si="21"/>
        <v>940.00249999999994</v>
      </c>
      <c r="R106" s="180">
        <f t="shared" si="16"/>
        <v>19.270051249999998</v>
      </c>
      <c r="S106" s="180">
        <f>$L$11*(1+$L$9)^N106*'Récapitulatif des résultats'!$I$11</f>
        <v>0</v>
      </c>
      <c r="T106" s="241"/>
      <c r="U106" s="180"/>
      <c r="V106" s="249">
        <f t="shared" si="17"/>
        <v>0</v>
      </c>
      <c r="W106" s="188">
        <f>SUM('Chenes+Alisier - f. très forte'!AQ90*'Chenes+Alisier - f. très forte'!$F$21,'Chenes+corm+merisier - f. forte'!AQ90*'Chenes+corm+merisier - f. forte'!$F$21,'Charme - fertil.forte'!AQ90*'Charme - fertil.forte'!$F$21,'Pin maritime - très forte'!AQ90*'Pin maritime - très forte'!$F$21,'P. sylv.+laricio+séquoia -forte'!AQ90*'P. sylv.+laricio+séquoia -forte'!$F$21,'Douglas - fertilité moyenne'!AQ90*'Douglas - fertilité moyenne'!$F$21)</f>
        <v>0</v>
      </c>
      <c r="X106" s="188">
        <f>SUM('Chenes+Alisier - f. très forte'!AR90*'Chenes+Alisier - f. très forte'!$F$21,'Chenes+corm+merisier - f. forte'!AR90*'Chenes+corm+merisier - f. forte'!$F$21,'Charme - fertil.forte'!AR90*'Charme - fertil.forte'!$F$21,'Pin maritime - très forte'!AR90*'Pin maritime - très forte'!$F$21,'P. sylv.+laricio+séquoia -forte'!AR90*'P. sylv.+laricio+séquoia -forte'!$F$21,'Douglas - fertilité moyenne'!AR90*'Douglas - fertilité moyenne'!$F$21)</f>
        <v>0</v>
      </c>
      <c r="Y106" s="188">
        <f>SUM('Chenes+Alisier - f. très forte'!AS90*'Chenes+Alisier - f. très forte'!$F$21,'Chenes+corm+merisier - f. forte'!AS90*'Chenes+corm+merisier - f. forte'!$F$21,'Charme - fertil.forte'!AS90*'Charme - fertil.forte'!$F$21,'Pin maritime - très forte'!AS90*'Pin maritime - très forte'!$F$21,'P. sylv.+laricio+séquoia -forte'!AS90*'P. sylv.+laricio+séquoia -forte'!$F$21,'Douglas - fertilité moyenne'!AS90*'Douglas - fertilité moyenne'!$F$21)</f>
        <v>0</v>
      </c>
      <c r="Z106" s="331">
        <f>SUM('Chenes+Alisier - f. très forte'!AT90*'Chenes+Alisier - f. très forte'!$F$21,'Chenes+corm+merisier - f. forte'!AT90*'Chenes+corm+merisier - f. forte'!$F$21,'Charme - fertil.forte'!AT90*'Charme - fertil.forte'!$F$21,'Pin maritime - très forte'!AT90*'Pin maritime - très forte'!$F$21,'P. sylv.+laricio+séquoia -forte'!AT90*'P. sylv.+laricio+séquoia -forte'!$F$21,'Douglas - fertilité moyenne'!AT90*'Douglas - fertilité moyenne'!$F$21)</f>
        <v>0</v>
      </c>
      <c r="AA106" s="178">
        <f t="shared" si="19"/>
        <v>0</v>
      </c>
      <c r="AB106" s="179">
        <f t="shared" si="18"/>
        <v>-22.753977782081687</v>
      </c>
      <c r="AC106" s="178"/>
      <c r="AD106" s="178"/>
    </row>
    <row r="107" spans="2:30">
      <c r="B107" s="271">
        <f>'Douglas - fertilité moyenne'!B86</f>
        <v>31</v>
      </c>
      <c r="C107" s="225">
        <f>'Douglas - fertilité moyenne'!C86</f>
        <v>56</v>
      </c>
      <c r="D107" s="226">
        <f>'Douglas - fertilité moyenne'!D86</f>
        <v>0.2</v>
      </c>
      <c r="E107" s="221">
        <f>'Douglas - fertilité moyenne'!E86</f>
        <v>0.44800000000000006</v>
      </c>
      <c r="F107" s="221">
        <f>'Douglas - fertilité moyenne'!F86</f>
        <v>0.35200000000000004</v>
      </c>
      <c r="G107" s="227">
        <f>'Douglas - fertilité moyenne'!G86</f>
        <v>0</v>
      </c>
      <c r="H107" s="210">
        <f>IFERROR(VLOOKUP($B$101,Tableau14582[],4,FALSE)*(1+$L$9)^$B107,0)</f>
        <v>59</v>
      </c>
      <c r="I107" s="211">
        <f>IFERROR(VLOOKUP($B$101,Tableau14582[],5,FALSE)*(1+$L$9)^$B107,0)</f>
        <v>19.375</v>
      </c>
      <c r="J107" s="211">
        <f>IFERROR(VLOOKUP($B$101,Tableau14582[],5,FALSE)*(1+$L$9)^$B107,0)</f>
        <v>19.375</v>
      </c>
      <c r="K107" s="212">
        <f>IFERROR(VLOOKUP($B$101,Tableau14582[],6,FALSE)*(1+$L$9)^$B107,0)</f>
        <v>10</v>
      </c>
      <c r="L107" s="263">
        <f t="shared" si="22"/>
        <v>3276.0655200000006</v>
      </c>
      <c r="N107" s="71">
        <v>86</v>
      </c>
      <c r="O107" s="239"/>
      <c r="P107" s="180"/>
      <c r="Q107" s="240">
        <f t="shared" si="21"/>
        <v>940.00249999999994</v>
      </c>
      <c r="R107" s="180">
        <f t="shared" si="16"/>
        <v>19.270051249999998</v>
      </c>
      <c r="S107" s="180">
        <f>$L$11*(1+$L$9)^N107*'Récapitulatif des résultats'!$I$11</f>
        <v>0</v>
      </c>
      <c r="T107" s="241"/>
      <c r="U107" s="180"/>
      <c r="V107" s="249">
        <f t="shared" si="17"/>
        <v>0</v>
      </c>
      <c r="W107" s="188">
        <f>SUM('Chenes+Alisier - f. très forte'!AQ91*'Chenes+Alisier - f. très forte'!$F$21,'Chenes+corm+merisier - f. forte'!AQ91*'Chenes+corm+merisier - f. forte'!$F$21,'Charme - fertil.forte'!AQ91*'Charme - fertil.forte'!$F$21,'Pin maritime - très forte'!AQ91*'Pin maritime - très forte'!$F$21,'P. sylv.+laricio+séquoia -forte'!AQ91*'P. sylv.+laricio+séquoia -forte'!$F$21,'Douglas - fertilité moyenne'!AQ91*'Douglas - fertilité moyenne'!$F$21)</f>
        <v>0</v>
      </c>
      <c r="X107" s="188">
        <f>SUM('Chenes+Alisier - f. très forte'!AR91*'Chenes+Alisier - f. très forte'!$F$21,'Chenes+corm+merisier - f. forte'!AR91*'Chenes+corm+merisier - f. forte'!$F$21,'Charme - fertil.forte'!AR91*'Charme - fertil.forte'!$F$21,'Pin maritime - très forte'!AR91*'Pin maritime - très forte'!$F$21,'P. sylv.+laricio+séquoia -forte'!AR91*'P. sylv.+laricio+séquoia -forte'!$F$21,'Douglas - fertilité moyenne'!AR91*'Douglas - fertilité moyenne'!$F$21)</f>
        <v>0</v>
      </c>
      <c r="Y107" s="188">
        <f>SUM('Chenes+Alisier - f. très forte'!AS91*'Chenes+Alisier - f. très forte'!$F$21,'Chenes+corm+merisier - f. forte'!AS91*'Chenes+corm+merisier - f. forte'!$F$21,'Charme - fertil.forte'!AS91*'Charme - fertil.forte'!$F$21,'Pin maritime - très forte'!AS91*'Pin maritime - très forte'!$F$21,'P. sylv.+laricio+séquoia -forte'!AS91*'P. sylv.+laricio+séquoia -forte'!$F$21,'Douglas - fertilité moyenne'!AS91*'Douglas - fertilité moyenne'!$F$21)</f>
        <v>0</v>
      </c>
      <c r="Z107" s="331">
        <f>SUM('Chenes+Alisier - f. très forte'!AT91*'Chenes+Alisier - f. très forte'!$F$21,'Chenes+corm+merisier - f. forte'!AT91*'Chenes+corm+merisier - f. forte'!$F$21,'Charme - fertil.forte'!AT91*'Charme - fertil.forte'!$F$21,'Pin maritime - très forte'!AT91*'Pin maritime - très forte'!$F$21,'P. sylv.+laricio+séquoia -forte'!AT91*'P. sylv.+laricio+séquoia -forte'!$F$21,'Douglas - fertilité moyenne'!AT91*'Douglas - fertilité moyenne'!$F$21)</f>
        <v>0</v>
      </c>
      <c r="AA107" s="178">
        <f t="shared" si="19"/>
        <v>0</v>
      </c>
      <c r="AB107" s="179">
        <f t="shared" si="18"/>
        <v>-21.77414141825999</v>
      </c>
      <c r="AC107" s="178"/>
      <c r="AD107" s="178"/>
    </row>
    <row r="108" spans="2:30">
      <c r="B108" s="271">
        <f>'Douglas - fertilité moyenne'!B87</f>
        <v>36</v>
      </c>
      <c r="C108" s="225">
        <f>'Douglas - fertilité moyenne'!C87</f>
        <v>56</v>
      </c>
      <c r="D108" s="226">
        <f>'Douglas - fertilité moyenne'!D87</f>
        <v>0.4</v>
      </c>
      <c r="E108" s="221">
        <f>'Douglas - fertilité moyenne'!E87</f>
        <v>0.33600000000000002</v>
      </c>
      <c r="F108" s="221">
        <f>'Douglas - fertilité moyenne'!F87</f>
        <v>0.26400000000000001</v>
      </c>
      <c r="G108" s="227">
        <f>'Douglas - fertilité moyenne'!G87</f>
        <v>0</v>
      </c>
      <c r="H108" s="210">
        <f>IFERROR(VLOOKUP($B$101,Tableau14582[],4,FALSE)*(1+$L$9)^$B108,0)</f>
        <v>59</v>
      </c>
      <c r="I108" s="211">
        <f>IFERROR(VLOOKUP($B$101,Tableau14582[],5,FALSE)*(1+$L$9)^$B108,0)</f>
        <v>19.375</v>
      </c>
      <c r="J108" s="211">
        <f>IFERROR(VLOOKUP($B$101,Tableau14582[],5,FALSE)*(1+$L$9)^$B108,0)</f>
        <v>19.375</v>
      </c>
      <c r="K108" s="212">
        <f>IFERROR(VLOOKUP($B$101,Tableau14582[],6,FALSE)*(1+$L$9)^$B108,0)</f>
        <v>10</v>
      </c>
      <c r="L108" s="263">
        <f t="shared" si="22"/>
        <v>4227.0845400000007</v>
      </c>
      <c r="N108" s="71">
        <v>87</v>
      </c>
      <c r="O108" s="239"/>
      <c r="P108" s="180"/>
      <c r="Q108" s="240">
        <f t="shared" si="21"/>
        <v>940.00249999999994</v>
      </c>
      <c r="R108" s="180">
        <f t="shared" si="16"/>
        <v>19.270051249999998</v>
      </c>
      <c r="S108" s="180">
        <f>$L$11*(1+$L$9)^N108*'Récapitulatif des résultats'!$I$11</f>
        <v>0</v>
      </c>
      <c r="T108" s="241"/>
      <c r="U108" s="180"/>
      <c r="V108" s="249">
        <f t="shared" si="17"/>
        <v>0</v>
      </c>
      <c r="W108" s="188">
        <f>SUM('Chenes+Alisier - f. très forte'!AQ92*'Chenes+Alisier - f. très forte'!$F$21,'Chenes+corm+merisier - f. forte'!AQ92*'Chenes+corm+merisier - f. forte'!$F$21,'Charme - fertil.forte'!AQ92*'Charme - fertil.forte'!$F$21,'Pin maritime - très forte'!AQ92*'Pin maritime - très forte'!$F$21,'P. sylv.+laricio+séquoia -forte'!AQ92*'P. sylv.+laricio+séquoia -forte'!$F$21,'Douglas - fertilité moyenne'!AQ92*'Douglas - fertilité moyenne'!$F$21)</f>
        <v>0</v>
      </c>
      <c r="X108" s="188">
        <f>SUM('Chenes+Alisier - f. très forte'!AR92*'Chenes+Alisier - f. très forte'!$F$21,'Chenes+corm+merisier - f. forte'!AR92*'Chenes+corm+merisier - f. forte'!$F$21,'Charme - fertil.forte'!AR92*'Charme - fertil.forte'!$F$21,'Pin maritime - très forte'!AR92*'Pin maritime - très forte'!$F$21,'P. sylv.+laricio+séquoia -forte'!AR92*'P. sylv.+laricio+séquoia -forte'!$F$21,'Douglas - fertilité moyenne'!AR92*'Douglas - fertilité moyenne'!$F$21)</f>
        <v>0</v>
      </c>
      <c r="Y108" s="188">
        <f>SUM('Chenes+Alisier - f. très forte'!AS92*'Chenes+Alisier - f. très forte'!$F$21,'Chenes+corm+merisier - f. forte'!AS92*'Chenes+corm+merisier - f. forte'!$F$21,'Charme - fertil.forte'!AS92*'Charme - fertil.forte'!$F$21,'Pin maritime - très forte'!AS92*'Pin maritime - très forte'!$F$21,'P. sylv.+laricio+séquoia -forte'!AS92*'P. sylv.+laricio+séquoia -forte'!$F$21,'Douglas - fertilité moyenne'!AS92*'Douglas - fertilité moyenne'!$F$21)</f>
        <v>0</v>
      </c>
      <c r="Z108" s="331">
        <f>SUM('Chenes+Alisier - f. très forte'!AT92*'Chenes+Alisier - f. très forte'!$F$21,'Chenes+corm+merisier - f. forte'!AT92*'Chenes+corm+merisier - f. forte'!$F$21,'Charme - fertil.forte'!AT92*'Charme - fertil.forte'!$F$21,'Pin maritime - très forte'!AT92*'Pin maritime - très forte'!$F$21,'P. sylv.+laricio+séquoia -forte'!AT92*'P. sylv.+laricio+séquoia -forte'!$F$21,'Douglas - fertilité moyenne'!AT92*'Douglas - fertilité moyenne'!$F$21)</f>
        <v>0</v>
      </c>
      <c r="AA108" s="178">
        <f t="shared" si="19"/>
        <v>0</v>
      </c>
      <c r="AB108" s="179">
        <f t="shared" si="18"/>
        <v>-20.836498964842097</v>
      </c>
      <c r="AC108" s="178"/>
      <c r="AD108" s="178"/>
    </row>
    <row r="109" spans="2:30">
      <c r="B109" s="271">
        <f>'Douglas - fertilité moyenne'!B88</f>
        <v>41</v>
      </c>
      <c r="C109" s="225">
        <f>'Douglas - fertilité moyenne'!C88</f>
        <v>56</v>
      </c>
      <c r="D109" s="226">
        <f>'Douglas - fertilité moyenne'!D88</f>
        <v>0.6</v>
      </c>
      <c r="E109" s="221">
        <f>'Douglas - fertilité moyenne'!E88</f>
        <v>0.22400000000000003</v>
      </c>
      <c r="F109" s="221">
        <f>'Douglas - fertilité moyenne'!F88</f>
        <v>0.17600000000000002</v>
      </c>
      <c r="G109" s="227">
        <f>'Douglas - fertilité moyenne'!G88</f>
        <v>0</v>
      </c>
      <c r="H109" s="210">
        <f>IFERROR(VLOOKUP($B$101,Tableau14582[],4,FALSE)*(1+$L$9)^$B109,0)</f>
        <v>59</v>
      </c>
      <c r="I109" s="211">
        <f>IFERROR(VLOOKUP($B$101,Tableau14582[],5,FALSE)*(1+$L$9)^$B109,0)</f>
        <v>19.375</v>
      </c>
      <c r="J109" s="211">
        <f>IFERROR(VLOOKUP($B$101,Tableau14582[],5,FALSE)*(1+$L$9)^$B109,0)</f>
        <v>19.375</v>
      </c>
      <c r="K109" s="212">
        <f>IFERROR(VLOOKUP($B$101,Tableau14582[],6,FALSE)*(1+$L$9)^$B109,0)</f>
        <v>10</v>
      </c>
      <c r="L109" s="263">
        <f t="shared" si="22"/>
        <v>5178.1035600000005</v>
      </c>
      <c r="N109" s="71">
        <v>88</v>
      </c>
      <c r="O109" s="239"/>
      <c r="P109" s="180"/>
      <c r="Q109" s="240">
        <f t="shared" si="21"/>
        <v>940.00249999999994</v>
      </c>
      <c r="R109" s="180">
        <f t="shared" si="16"/>
        <v>19.270051249999998</v>
      </c>
      <c r="S109" s="180">
        <f>$L$11*(1+$L$9)^N109*'Récapitulatif des résultats'!$I$11</f>
        <v>0</v>
      </c>
      <c r="T109" s="241"/>
      <c r="U109" s="180"/>
      <c r="V109" s="249">
        <f t="shared" si="17"/>
        <v>0</v>
      </c>
      <c r="W109" s="188">
        <f>SUM('Chenes+Alisier - f. très forte'!AQ93*'Chenes+Alisier - f. très forte'!$F$21,'Chenes+corm+merisier - f. forte'!AQ93*'Chenes+corm+merisier - f. forte'!$F$21,'Charme - fertil.forte'!AQ93*'Charme - fertil.forte'!$F$21,'Pin maritime - très forte'!AQ93*'Pin maritime - très forte'!$F$21,'P. sylv.+laricio+séquoia -forte'!AQ93*'P. sylv.+laricio+séquoia -forte'!$F$21,'Douglas - fertilité moyenne'!AQ93*'Douglas - fertilité moyenne'!$F$21)</f>
        <v>0</v>
      </c>
      <c r="X109" s="188">
        <f>SUM('Chenes+Alisier - f. très forte'!AR93*'Chenes+Alisier - f. très forte'!$F$21,'Chenes+corm+merisier - f. forte'!AR93*'Chenes+corm+merisier - f. forte'!$F$21,'Charme - fertil.forte'!AR93*'Charme - fertil.forte'!$F$21,'Pin maritime - très forte'!AR93*'Pin maritime - très forte'!$F$21,'P. sylv.+laricio+séquoia -forte'!AR93*'P. sylv.+laricio+séquoia -forte'!$F$21,'Douglas - fertilité moyenne'!AR93*'Douglas - fertilité moyenne'!$F$21)</f>
        <v>0</v>
      </c>
      <c r="Y109" s="188">
        <f>SUM('Chenes+Alisier - f. très forte'!AS93*'Chenes+Alisier - f. très forte'!$F$21,'Chenes+corm+merisier - f. forte'!AS93*'Chenes+corm+merisier - f. forte'!$F$21,'Charme - fertil.forte'!AS93*'Charme - fertil.forte'!$F$21,'Pin maritime - très forte'!AS93*'Pin maritime - très forte'!$F$21,'P. sylv.+laricio+séquoia -forte'!AS93*'P. sylv.+laricio+séquoia -forte'!$F$21,'Douglas - fertilité moyenne'!AS93*'Douglas - fertilité moyenne'!$F$21)</f>
        <v>0</v>
      </c>
      <c r="Z109" s="331">
        <f>SUM('Chenes+Alisier - f. très forte'!AT93*'Chenes+Alisier - f. très forte'!$F$21,'Chenes+corm+merisier - f. forte'!AT93*'Chenes+corm+merisier - f. forte'!$F$21,'Charme - fertil.forte'!AT93*'Charme - fertil.forte'!$F$21,'Pin maritime - très forte'!AT93*'Pin maritime - très forte'!$F$21,'P. sylv.+laricio+séquoia -forte'!AT93*'P. sylv.+laricio+séquoia -forte'!$F$21,'Douglas - fertilité moyenne'!AT93*'Douglas - fertilité moyenne'!$F$21)</f>
        <v>0</v>
      </c>
      <c r="AA109" s="178">
        <f t="shared" si="19"/>
        <v>0</v>
      </c>
      <c r="AB109" s="179">
        <f t="shared" si="18"/>
        <v>-19.939233459179043</v>
      </c>
      <c r="AC109" s="178"/>
      <c r="AD109" s="178"/>
    </row>
    <row r="110" spans="2:30">
      <c r="B110" s="271">
        <f>'Douglas - fertilité moyenne'!B89</f>
        <v>46</v>
      </c>
      <c r="C110" s="225">
        <f>'Douglas - fertilité moyenne'!C89</f>
        <v>56</v>
      </c>
      <c r="D110" s="226">
        <f>'Douglas - fertilité moyenne'!D89</f>
        <v>0.8</v>
      </c>
      <c r="E110" s="221">
        <f>'Douglas - fertilité moyenne'!E89</f>
        <v>0.11199999999999999</v>
      </c>
      <c r="F110" s="221">
        <f>'Douglas - fertilité moyenne'!F89</f>
        <v>8.7999999999999981E-2</v>
      </c>
      <c r="G110" s="227">
        <f>'Douglas - fertilité moyenne'!G89</f>
        <v>0</v>
      </c>
      <c r="H110" s="210">
        <f>IFERROR(VLOOKUP($B$101,Tableau14582[],4,FALSE)*(1+$L$9)^$B110,0)</f>
        <v>59</v>
      </c>
      <c r="I110" s="211">
        <f>IFERROR(VLOOKUP($B$101,Tableau14582[],5,FALSE)*(1+$L$9)^$B110,0)</f>
        <v>19.375</v>
      </c>
      <c r="J110" s="211">
        <f>IFERROR(VLOOKUP($B$101,Tableau14582[],5,FALSE)*(1+$L$9)^$B110,0)</f>
        <v>19.375</v>
      </c>
      <c r="K110" s="212">
        <f>IFERROR(VLOOKUP($B$101,Tableau14582[],6,FALSE)*(1+$L$9)^$B110,0)</f>
        <v>10</v>
      </c>
      <c r="L110" s="263">
        <f t="shared" si="22"/>
        <v>6129.1225800000011</v>
      </c>
      <c r="N110" s="71">
        <v>89</v>
      </c>
      <c r="O110" s="239"/>
      <c r="P110" s="180"/>
      <c r="Q110" s="240">
        <f t="shared" si="21"/>
        <v>940.00249999999994</v>
      </c>
      <c r="R110" s="180">
        <f t="shared" si="16"/>
        <v>19.270051249999998</v>
      </c>
      <c r="S110" s="180">
        <f>$L$11*(1+$L$9)^N110*'Récapitulatif des résultats'!$I$11</f>
        <v>0</v>
      </c>
      <c r="T110" s="241"/>
      <c r="U110" s="180"/>
      <c r="V110" s="249">
        <f t="shared" si="17"/>
        <v>0</v>
      </c>
      <c r="W110" s="188">
        <f>SUM('Chenes+Alisier - f. très forte'!AQ94*'Chenes+Alisier - f. très forte'!$F$21,'Chenes+corm+merisier - f. forte'!AQ94*'Chenes+corm+merisier - f. forte'!$F$21,'Charme - fertil.forte'!AQ94*'Charme - fertil.forte'!$F$21,'Pin maritime - très forte'!AQ94*'Pin maritime - très forte'!$F$21,'P. sylv.+laricio+séquoia -forte'!AQ94*'P. sylv.+laricio+séquoia -forte'!$F$21,'Douglas - fertilité moyenne'!AQ94*'Douglas - fertilité moyenne'!$F$21)</f>
        <v>0</v>
      </c>
      <c r="X110" s="188">
        <f>SUM('Chenes+Alisier - f. très forte'!AR94*'Chenes+Alisier - f. très forte'!$F$21,'Chenes+corm+merisier - f. forte'!AR94*'Chenes+corm+merisier - f. forte'!$F$21,'Charme - fertil.forte'!AR94*'Charme - fertil.forte'!$F$21,'Pin maritime - très forte'!AR94*'Pin maritime - très forte'!$F$21,'P. sylv.+laricio+séquoia -forte'!AR94*'P. sylv.+laricio+séquoia -forte'!$F$21,'Douglas - fertilité moyenne'!AR94*'Douglas - fertilité moyenne'!$F$21)</f>
        <v>0</v>
      </c>
      <c r="Y110" s="188">
        <f>SUM('Chenes+Alisier - f. très forte'!AS94*'Chenes+Alisier - f. très forte'!$F$21,'Chenes+corm+merisier - f. forte'!AS94*'Chenes+corm+merisier - f. forte'!$F$21,'Charme - fertil.forte'!AS94*'Charme - fertil.forte'!$F$21,'Pin maritime - très forte'!AS94*'Pin maritime - très forte'!$F$21,'P. sylv.+laricio+séquoia -forte'!AS94*'P. sylv.+laricio+séquoia -forte'!$F$21,'Douglas - fertilité moyenne'!AS94*'Douglas - fertilité moyenne'!$F$21)</f>
        <v>0</v>
      </c>
      <c r="Z110" s="331">
        <f>SUM('Chenes+Alisier - f. très forte'!AT94*'Chenes+Alisier - f. très forte'!$F$21,'Chenes+corm+merisier - f. forte'!AT94*'Chenes+corm+merisier - f. forte'!$F$21,'Charme - fertil.forte'!AT94*'Charme - fertil.forte'!$F$21,'Pin maritime - très forte'!AT94*'Pin maritime - très forte'!$F$21,'P. sylv.+laricio+séquoia -forte'!AT94*'P. sylv.+laricio+séquoia -forte'!$F$21,'Douglas - fertilité moyenne'!AT94*'Douglas - fertilité moyenne'!$F$21)</f>
        <v>0</v>
      </c>
      <c r="AA110" s="178">
        <f t="shared" si="19"/>
        <v>0</v>
      </c>
      <c r="AB110" s="179">
        <f t="shared" si="18"/>
        <v>-19.080606181032579</v>
      </c>
      <c r="AC110" s="178"/>
      <c r="AD110" s="178"/>
    </row>
    <row r="111" spans="2:30">
      <c r="B111" s="271">
        <f>'Douglas - fertilité moyenne'!B90</f>
        <v>51</v>
      </c>
      <c r="C111" s="225">
        <f>'Douglas - fertilité moyenne'!C90</f>
        <v>52</v>
      </c>
      <c r="D111" s="226">
        <f>'Douglas - fertilité moyenne'!D90</f>
        <v>0.9</v>
      </c>
      <c r="E111" s="221">
        <f>'Douglas - fertilité moyenne'!E90</f>
        <v>5.5999999999999994E-2</v>
      </c>
      <c r="F111" s="221">
        <f>'Douglas - fertilité moyenne'!F90</f>
        <v>4.3999999999999991E-2</v>
      </c>
      <c r="G111" s="227">
        <f>'Douglas - fertilité moyenne'!G90</f>
        <v>0</v>
      </c>
      <c r="H111" s="210">
        <f>IFERROR(VLOOKUP($B$101,Tableau14582[],4,FALSE)*(1+$L$9)^$B111,0)</f>
        <v>59</v>
      </c>
      <c r="I111" s="211">
        <f>IFERROR(VLOOKUP($B$101,Tableau14582[],5,FALSE)*(1+$L$9)^$B111,0)</f>
        <v>19.375</v>
      </c>
      <c r="J111" s="211">
        <f>IFERROR(VLOOKUP($B$101,Tableau14582[],5,FALSE)*(1+$L$9)^$B111,0)</f>
        <v>19.375</v>
      </c>
      <c r="K111" s="212">
        <f>IFERROR(VLOOKUP($B$101,Tableau14582[],6,FALSE)*(1+$L$9)^$B111,0)</f>
        <v>10</v>
      </c>
      <c r="L111" s="263">
        <f t="shared" si="22"/>
        <v>6132.872655000001</v>
      </c>
      <c r="N111" s="71">
        <v>90</v>
      </c>
      <c r="O111" s="239"/>
      <c r="P111" s="180"/>
      <c r="Q111" s="240">
        <f t="shared" si="21"/>
        <v>940.00249999999994</v>
      </c>
      <c r="R111" s="180">
        <f t="shared" si="16"/>
        <v>19.270051249999998</v>
      </c>
      <c r="S111" s="180">
        <f>$L$11*(1+$L$9)^N111*'Récapitulatif des résultats'!$I$11</f>
        <v>0</v>
      </c>
      <c r="T111" s="241"/>
      <c r="U111" s="180"/>
      <c r="V111" s="249">
        <f t="shared" si="17"/>
        <v>0</v>
      </c>
      <c r="W111" s="188">
        <f>SUM('Chenes+Alisier - f. très forte'!AQ95*'Chenes+Alisier - f. très forte'!$F$21,'Chenes+corm+merisier - f. forte'!AQ95*'Chenes+corm+merisier - f. forte'!$F$21,'Charme - fertil.forte'!AQ95*'Charme - fertil.forte'!$F$21,'Pin maritime - très forte'!AQ95*'Pin maritime - très forte'!$F$21,'P. sylv.+laricio+séquoia -forte'!AQ95*'P. sylv.+laricio+séquoia -forte'!$F$21,'Douglas - fertilité moyenne'!AQ95*'Douglas - fertilité moyenne'!$F$21)</f>
        <v>0</v>
      </c>
      <c r="X111" s="188">
        <f>SUM('Chenes+Alisier - f. très forte'!AR95*'Chenes+Alisier - f. très forte'!$F$21,'Chenes+corm+merisier - f. forte'!AR95*'Chenes+corm+merisier - f. forte'!$F$21,'Charme - fertil.forte'!AR95*'Charme - fertil.forte'!$F$21,'Pin maritime - très forte'!AR95*'Pin maritime - très forte'!$F$21,'P. sylv.+laricio+séquoia -forte'!AR95*'P. sylv.+laricio+séquoia -forte'!$F$21,'Douglas - fertilité moyenne'!AR95*'Douglas - fertilité moyenne'!$F$21)</f>
        <v>0</v>
      </c>
      <c r="Y111" s="188">
        <f>SUM('Chenes+Alisier - f. très forte'!AS95*'Chenes+Alisier - f. très forte'!$F$21,'Chenes+corm+merisier - f. forte'!AS95*'Chenes+corm+merisier - f. forte'!$F$21,'Charme - fertil.forte'!AS95*'Charme - fertil.forte'!$F$21,'Pin maritime - très forte'!AS95*'Pin maritime - très forte'!$F$21,'P. sylv.+laricio+séquoia -forte'!AS95*'P. sylv.+laricio+séquoia -forte'!$F$21,'Douglas - fertilité moyenne'!AS95*'Douglas - fertilité moyenne'!$F$21)</f>
        <v>0</v>
      </c>
      <c r="Z111" s="331">
        <f>SUM('Chenes+Alisier - f. très forte'!AT95*'Chenes+Alisier - f. très forte'!$F$21,'Chenes+corm+merisier - f. forte'!AT95*'Chenes+corm+merisier - f. forte'!$F$21,'Charme - fertil.forte'!AT95*'Charme - fertil.forte'!$F$21,'Pin maritime - très forte'!AT95*'Pin maritime - très forte'!$F$21,'P. sylv.+laricio+séquoia -forte'!AT95*'P. sylv.+laricio+séquoia -forte'!$F$21,'Douglas - fertilité moyenne'!AT95*'Douglas - fertilité moyenne'!$F$21)</f>
        <v>0</v>
      </c>
      <c r="AA111" s="178">
        <f t="shared" si="19"/>
        <v>0</v>
      </c>
      <c r="AB111" s="179">
        <f t="shared" si="18"/>
        <v>-18.258953283284772</v>
      </c>
      <c r="AC111" s="178"/>
      <c r="AD111" s="178"/>
    </row>
    <row r="112" spans="2:30">
      <c r="B112" s="271" t="str">
        <f>'Douglas - fertilité moyenne'!B91</f>
        <v>-</v>
      </c>
      <c r="C112" s="225">
        <f>'Douglas - fertilité moyenne'!C91</f>
        <v>44</v>
      </c>
      <c r="D112" s="226">
        <f>'Douglas - fertilité moyenne'!D91</f>
        <v>0.6</v>
      </c>
      <c r="E112" s="221">
        <f>'Douglas - fertilité moyenne'!E91</f>
        <v>0.22400000000000003</v>
      </c>
      <c r="F112" s="221">
        <f>'Douglas - fertilité moyenne'!F91</f>
        <v>0.17600000000000002</v>
      </c>
      <c r="G112" s="227">
        <f>'Douglas - fertilité moyenne'!G91</f>
        <v>0</v>
      </c>
      <c r="H112" s="210">
        <f>IFERROR(VLOOKUP($B$101,Tableau14582[],4,FALSE)*(1+$L$9)^$B112,0)</f>
        <v>0</v>
      </c>
      <c r="I112" s="211">
        <f>IFERROR(VLOOKUP($B$101,Tableau14582[],5,FALSE)*(1+$L$9)^$B112,0)</f>
        <v>0</v>
      </c>
      <c r="J112" s="211">
        <f>IFERROR(VLOOKUP($B$101,Tableau14582[],5,FALSE)*(1+$L$9)^$B112,0)</f>
        <v>0</v>
      </c>
      <c r="K112" s="212">
        <f>IFERROR(VLOOKUP($B$101,Tableau14582[],6,FALSE)*(1+$L$9)^$B112,0)</f>
        <v>0</v>
      </c>
      <c r="L112" s="263">
        <f t="shared" si="22"/>
        <v>0</v>
      </c>
      <c r="N112" s="71">
        <v>91</v>
      </c>
      <c r="O112" s="239"/>
      <c r="P112" s="180"/>
      <c r="Q112" s="240">
        <f t="shared" si="21"/>
        <v>940.00249999999994</v>
      </c>
      <c r="R112" s="180">
        <f t="shared" si="16"/>
        <v>19.270051249999998</v>
      </c>
      <c r="S112" s="180">
        <f>$L$11*(1+$L$9)^N112*'Récapitulatif des résultats'!$I$11</f>
        <v>0</v>
      </c>
      <c r="T112" s="241"/>
      <c r="U112" s="180"/>
      <c r="V112" s="249">
        <f t="shared" si="17"/>
        <v>0</v>
      </c>
      <c r="W112" s="188">
        <f>SUM('Chenes+Alisier - f. très forte'!AQ96*'Chenes+Alisier - f. très forte'!$F$21,'Chenes+corm+merisier - f. forte'!AQ96*'Chenes+corm+merisier - f. forte'!$F$21,'Charme - fertil.forte'!AQ96*'Charme - fertil.forte'!$F$21,'Pin maritime - très forte'!AQ96*'Pin maritime - très forte'!$F$21,'P. sylv.+laricio+séquoia -forte'!AQ96*'P. sylv.+laricio+séquoia -forte'!$F$21,'Douglas - fertilité moyenne'!AQ96*'Douglas - fertilité moyenne'!$F$21)</f>
        <v>0</v>
      </c>
      <c r="X112" s="188">
        <f>SUM('Chenes+Alisier - f. très forte'!AR96*'Chenes+Alisier - f. très forte'!$F$21,'Chenes+corm+merisier - f. forte'!AR96*'Chenes+corm+merisier - f. forte'!$F$21,'Charme - fertil.forte'!AR96*'Charme - fertil.forte'!$F$21,'Pin maritime - très forte'!AR96*'Pin maritime - très forte'!$F$21,'P. sylv.+laricio+séquoia -forte'!AR96*'P. sylv.+laricio+séquoia -forte'!$F$21,'Douglas - fertilité moyenne'!AR96*'Douglas - fertilité moyenne'!$F$21)</f>
        <v>0</v>
      </c>
      <c r="Y112" s="188">
        <f>SUM('Chenes+Alisier - f. très forte'!AS96*'Chenes+Alisier - f. très forte'!$F$21,'Chenes+corm+merisier - f. forte'!AS96*'Chenes+corm+merisier - f. forte'!$F$21,'Charme - fertil.forte'!AS96*'Charme - fertil.forte'!$F$21,'Pin maritime - très forte'!AS96*'Pin maritime - très forte'!$F$21,'P. sylv.+laricio+séquoia -forte'!AS96*'P. sylv.+laricio+séquoia -forte'!$F$21,'Douglas - fertilité moyenne'!AS96*'Douglas - fertilité moyenne'!$F$21)</f>
        <v>0</v>
      </c>
      <c r="Z112" s="331">
        <f>SUM('Chenes+Alisier - f. très forte'!AT96*'Chenes+Alisier - f. très forte'!$F$21,'Chenes+corm+merisier - f. forte'!AT96*'Chenes+corm+merisier - f. forte'!$F$21,'Charme - fertil.forte'!AT96*'Charme - fertil.forte'!$F$21,'Pin maritime - très forte'!AT96*'Pin maritime - très forte'!$F$21,'P. sylv.+laricio+séquoia -forte'!AT96*'P. sylv.+laricio+séquoia -forte'!$F$21,'Douglas - fertilité moyenne'!AT96*'Douglas - fertilité moyenne'!$F$21)</f>
        <v>0</v>
      </c>
      <c r="AA112" s="178">
        <f t="shared" si="19"/>
        <v>0</v>
      </c>
      <c r="AB112" s="179">
        <f t="shared" si="18"/>
        <v>-17.472682567736619</v>
      </c>
      <c r="AC112" s="178"/>
      <c r="AD112" s="178"/>
    </row>
    <row r="113" spans="2:30">
      <c r="B113" s="271" t="str">
        <f>'Douglas - fertilité moyenne'!B92</f>
        <v>-</v>
      </c>
      <c r="C113" s="225">
        <f>'Douglas - fertilité moyenne'!C92</f>
        <v>39</v>
      </c>
      <c r="D113" s="226">
        <f>'Douglas - fertilité moyenne'!D92</f>
        <v>0.7</v>
      </c>
      <c r="E113" s="221">
        <f>'Douglas - fertilité moyenne'!E92</f>
        <v>0.16800000000000004</v>
      </c>
      <c r="F113" s="221">
        <f>'Douglas - fertilité moyenne'!F92</f>
        <v>0.13200000000000003</v>
      </c>
      <c r="G113" s="227">
        <f>'Douglas - fertilité moyenne'!G92</f>
        <v>0</v>
      </c>
      <c r="H113" s="210">
        <f>IFERROR(VLOOKUP($B$101,Tableau14582[],4,FALSE)*(1+$L$9)^$B113,0)</f>
        <v>0</v>
      </c>
      <c r="I113" s="211">
        <f>IFERROR(VLOOKUP($B$101,Tableau14582[],5,FALSE)*(1+$L$9)^$B113,0)</f>
        <v>0</v>
      </c>
      <c r="J113" s="211">
        <f>IFERROR(VLOOKUP($B$101,Tableau14582[],5,FALSE)*(1+$L$9)^$B113,0)</f>
        <v>0</v>
      </c>
      <c r="K113" s="212">
        <f>IFERROR(VLOOKUP($B$101,Tableau14582[],6,FALSE)*(1+$L$9)^$B113,0)</f>
        <v>0</v>
      </c>
      <c r="L113" s="263">
        <f t="shared" si="22"/>
        <v>0</v>
      </c>
      <c r="N113" s="71">
        <v>92</v>
      </c>
      <c r="O113" s="239"/>
      <c r="P113" s="180"/>
      <c r="Q113" s="240">
        <f t="shared" si="21"/>
        <v>940.00249999999994</v>
      </c>
      <c r="R113" s="180">
        <f t="shared" si="16"/>
        <v>19.270051249999998</v>
      </c>
      <c r="S113" s="180">
        <f>$L$11*(1+$L$9)^N113*'Récapitulatif des résultats'!$I$11</f>
        <v>0</v>
      </c>
      <c r="T113" s="241"/>
      <c r="U113" s="180"/>
      <c r="V113" s="249">
        <f t="shared" si="17"/>
        <v>0</v>
      </c>
      <c r="W113" s="188">
        <f>SUM('Chenes+Alisier - f. très forte'!AQ97*'Chenes+Alisier - f. très forte'!$F$21,'Chenes+corm+merisier - f. forte'!AQ97*'Chenes+corm+merisier - f. forte'!$F$21,'Charme - fertil.forte'!AQ97*'Charme - fertil.forte'!$F$21,'Pin maritime - très forte'!AQ97*'Pin maritime - très forte'!$F$21,'P. sylv.+laricio+séquoia -forte'!AQ97*'P. sylv.+laricio+séquoia -forte'!$F$21,'Douglas - fertilité moyenne'!AQ97*'Douglas - fertilité moyenne'!$F$21)</f>
        <v>0</v>
      </c>
      <c r="X113" s="188">
        <f>SUM('Chenes+Alisier - f. très forte'!AR97*'Chenes+Alisier - f. très forte'!$F$21,'Chenes+corm+merisier - f. forte'!AR97*'Chenes+corm+merisier - f. forte'!$F$21,'Charme - fertil.forte'!AR97*'Charme - fertil.forte'!$F$21,'Pin maritime - très forte'!AR97*'Pin maritime - très forte'!$F$21,'P. sylv.+laricio+séquoia -forte'!AR97*'P. sylv.+laricio+séquoia -forte'!$F$21,'Douglas - fertilité moyenne'!AR97*'Douglas - fertilité moyenne'!$F$21)</f>
        <v>0</v>
      </c>
      <c r="Y113" s="188">
        <f>SUM('Chenes+Alisier - f. très forte'!AS97*'Chenes+Alisier - f. très forte'!$F$21,'Chenes+corm+merisier - f. forte'!AS97*'Chenes+corm+merisier - f. forte'!$F$21,'Charme - fertil.forte'!AS97*'Charme - fertil.forte'!$F$21,'Pin maritime - très forte'!AS97*'Pin maritime - très forte'!$F$21,'P. sylv.+laricio+séquoia -forte'!AS97*'P. sylv.+laricio+séquoia -forte'!$F$21,'Douglas - fertilité moyenne'!AS97*'Douglas - fertilité moyenne'!$F$21)</f>
        <v>0</v>
      </c>
      <c r="Z113" s="331">
        <f>SUM('Chenes+Alisier - f. très forte'!AT97*'Chenes+Alisier - f. très forte'!$F$21,'Chenes+corm+merisier - f. forte'!AT97*'Chenes+corm+merisier - f. forte'!$F$21,'Charme - fertil.forte'!AT97*'Charme - fertil.forte'!$F$21,'Pin maritime - très forte'!AT97*'Pin maritime - très forte'!$F$21,'P. sylv.+laricio+séquoia -forte'!AT97*'P. sylv.+laricio+séquoia -forte'!$F$21,'Douglas - fertilité moyenne'!AT97*'Douglas - fertilité moyenne'!$F$21)</f>
        <v>0</v>
      </c>
      <c r="AA113" s="178">
        <f t="shared" si="19"/>
        <v>0</v>
      </c>
      <c r="AB113" s="179">
        <f t="shared" si="18"/>
        <v>-16.720270399747967</v>
      </c>
      <c r="AC113" s="178"/>
      <c r="AD113" s="178"/>
    </row>
    <row r="114" spans="2:30">
      <c r="B114" s="271" t="str">
        <f>'Douglas - fertilité moyenne'!B93</f>
        <v>-</v>
      </c>
      <c r="C114" s="225">
        <f>'Douglas - fertilité moyenne'!C93</f>
        <v>35</v>
      </c>
      <c r="D114" s="226">
        <f>'Douglas - fertilité moyenne'!D93</f>
        <v>0.8</v>
      </c>
      <c r="E114" s="221">
        <f>'Douglas - fertilité moyenne'!E93</f>
        <v>0.11199999999999999</v>
      </c>
      <c r="F114" s="221">
        <f>'Douglas - fertilité moyenne'!F93</f>
        <v>8.7999999999999981E-2</v>
      </c>
      <c r="G114" s="227">
        <f>'Douglas - fertilité moyenne'!G93</f>
        <v>0</v>
      </c>
      <c r="H114" s="210">
        <f>IFERROR(VLOOKUP($B$101,Tableau14582[],4,FALSE)*(1+$L$9)^$B114,0)</f>
        <v>0</v>
      </c>
      <c r="I114" s="211">
        <f>IFERROR(VLOOKUP($B$101,Tableau14582[],5,FALSE)*(1+$L$9)^$B114,0)</f>
        <v>0</v>
      </c>
      <c r="J114" s="211">
        <f>IFERROR(VLOOKUP($B$101,Tableau14582[],5,FALSE)*(1+$L$9)^$B114,0)</f>
        <v>0</v>
      </c>
      <c r="K114" s="212">
        <f>IFERROR(VLOOKUP($B$101,Tableau14582[],6,FALSE)*(1+$L$9)^$B114,0)</f>
        <v>0</v>
      </c>
      <c r="L114" s="263">
        <f t="shared" si="22"/>
        <v>0</v>
      </c>
      <c r="N114" s="71">
        <v>93</v>
      </c>
      <c r="O114" s="239"/>
      <c r="P114" s="180"/>
      <c r="Q114" s="240">
        <f t="shared" si="21"/>
        <v>940.00249999999994</v>
      </c>
      <c r="R114" s="180">
        <f t="shared" si="16"/>
        <v>19.270051249999998</v>
      </c>
      <c r="S114" s="180">
        <f>$L$11*(1+$L$9)^N114*'Récapitulatif des résultats'!$I$11</f>
        <v>0</v>
      </c>
      <c r="T114" s="241"/>
      <c r="U114" s="180"/>
      <c r="V114" s="249">
        <f t="shared" si="17"/>
        <v>0</v>
      </c>
      <c r="W114" s="188">
        <f>SUM('Chenes+Alisier - f. très forte'!AQ98*'Chenes+Alisier - f. très forte'!$F$21,'Chenes+corm+merisier - f. forte'!AQ98*'Chenes+corm+merisier - f. forte'!$F$21,'Charme - fertil.forte'!AQ98*'Charme - fertil.forte'!$F$21,'Pin maritime - très forte'!AQ98*'Pin maritime - très forte'!$F$21,'P. sylv.+laricio+séquoia -forte'!AQ98*'P. sylv.+laricio+séquoia -forte'!$F$21,'Douglas - fertilité moyenne'!AQ98*'Douglas - fertilité moyenne'!$F$21)</f>
        <v>0</v>
      </c>
      <c r="X114" s="188">
        <f>SUM('Chenes+Alisier - f. très forte'!AR98*'Chenes+Alisier - f. très forte'!$F$21,'Chenes+corm+merisier - f. forte'!AR98*'Chenes+corm+merisier - f. forte'!$F$21,'Charme - fertil.forte'!AR98*'Charme - fertil.forte'!$F$21,'Pin maritime - très forte'!AR98*'Pin maritime - très forte'!$F$21,'P. sylv.+laricio+séquoia -forte'!AR98*'P. sylv.+laricio+séquoia -forte'!$F$21,'Douglas - fertilité moyenne'!AR98*'Douglas - fertilité moyenne'!$F$21)</f>
        <v>0</v>
      </c>
      <c r="Y114" s="188">
        <f>SUM('Chenes+Alisier - f. très forte'!AS98*'Chenes+Alisier - f. très forte'!$F$21,'Chenes+corm+merisier - f. forte'!AS98*'Chenes+corm+merisier - f. forte'!$F$21,'Charme - fertil.forte'!AS98*'Charme - fertil.forte'!$F$21,'Pin maritime - très forte'!AS98*'Pin maritime - très forte'!$F$21,'P. sylv.+laricio+séquoia -forte'!AS98*'P. sylv.+laricio+séquoia -forte'!$F$21,'Douglas - fertilité moyenne'!AS98*'Douglas - fertilité moyenne'!$F$21)</f>
        <v>0</v>
      </c>
      <c r="Z114" s="331">
        <f>SUM('Chenes+Alisier - f. très forte'!AT98*'Chenes+Alisier - f. très forte'!$F$21,'Chenes+corm+merisier - f. forte'!AT98*'Chenes+corm+merisier - f. forte'!$F$21,'Charme - fertil.forte'!AT98*'Charme - fertil.forte'!$F$21,'Pin maritime - très forte'!AT98*'Pin maritime - très forte'!$F$21,'P. sylv.+laricio+séquoia -forte'!AT98*'P. sylv.+laricio+séquoia -forte'!$F$21,'Douglas - fertilité moyenne'!AT98*'Douglas - fertilité moyenne'!$F$21)</f>
        <v>0</v>
      </c>
      <c r="AA114" s="178">
        <f t="shared" si="19"/>
        <v>0</v>
      </c>
      <c r="AB114" s="179">
        <f t="shared" si="18"/>
        <v>-16.000258755739679</v>
      </c>
      <c r="AC114" s="178"/>
      <c r="AD114" s="178"/>
    </row>
    <row r="115" spans="2:30" ht="16" thickBot="1">
      <c r="B115" s="272">
        <f>'Douglas - fertilité moyenne'!B94</f>
        <v>50</v>
      </c>
      <c r="C115" s="273">
        <f>'Douglas - fertilité moyenne'!C94</f>
        <v>453</v>
      </c>
      <c r="D115" s="274">
        <f>'Douglas - fertilité moyenne'!D94</f>
        <v>0.95</v>
      </c>
      <c r="E115" s="274">
        <f>'Douglas - fertilité moyenne'!E94</f>
        <v>2.8000000000000028E-2</v>
      </c>
      <c r="F115" s="275">
        <f>'Douglas - fertilité moyenne'!F94</f>
        <v>2.200000000000002E-2</v>
      </c>
      <c r="G115" s="276">
        <f>'Douglas - fertilité moyenne'!G94</f>
        <v>0</v>
      </c>
      <c r="H115" s="277">
        <f>IFERROR(VLOOKUP($B$101,Tableau14582[],4,FALSE)*(1+$L$9)^$B115,0)</f>
        <v>59</v>
      </c>
      <c r="I115" s="278">
        <f>IFERROR(VLOOKUP($B$101,Tableau14582[],5,FALSE)*(1+$L$9)^$B115,0)</f>
        <v>19.375</v>
      </c>
      <c r="J115" s="278">
        <f>IFERROR(VLOOKUP($B$101,Tableau14582[],5,FALSE)*(1+$L$9)^$B115,0)</f>
        <v>19.375</v>
      </c>
      <c r="K115" s="279">
        <f>IFERROR(VLOOKUP($B$101,Tableau14582[],6,FALSE)*(1+$L$9)^$B115,0)</f>
        <v>10</v>
      </c>
      <c r="L115" s="280">
        <f t="shared" si="22"/>
        <v>55350.022156874998</v>
      </c>
      <c r="N115" s="71">
        <v>94</v>
      </c>
      <c r="O115" s="239"/>
      <c r="P115" s="180"/>
      <c r="Q115" s="240">
        <f t="shared" si="21"/>
        <v>940.00249999999994</v>
      </c>
      <c r="R115" s="180">
        <f t="shared" si="16"/>
        <v>19.270051249999998</v>
      </c>
      <c r="S115" s="180">
        <f>$L$11*(1+$L$9)^N115*'Récapitulatif des résultats'!$I$11</f>
        <v>0</v>
      </c>
      <c r="T115" s="241"/>
      <c r="U115" s="180"/>
      <c r="V115" s="249">
        <f t="shared" si="17"/>
        <v>0</v>
      </c>
      <c r="W115" s="188">
        <f>SUM('Chenes+Alisier - f. très forte'!AQ99*'Chenes+Alisier - f. très forte'!$F$21,'Chenes+corm+merisier - f. forte'!AQ99*'Chenes+corm+merisier - f. forte'!$F$21,'Charme - fertil.forte'!AQ99*'Charme - fertil.forte'!$F$21,'Pin maritime - très forte'!AQ99*'Pin maritime - très forte'!$F$21,'P. sylv.+laricio+séquoia -forte'!AQ99*'P. sylv.+laricio+séquoia -forte'!$F$21,'Douglas - fertilité moyenne'!AQ99*'Douglas - fertilité moyenne'!$F$21)</f>
        <v>0</v>
      </c>
      <c r="X115" s="188">
        <f>SUM('Chenes+Alisier - f. très forte'!AR99*'Chenes+Alisier - f. très forte'!$F$21,'Chenes+corm+merisier - f. forte'!AR99*'Chenes+corm+merisier - f. forte'!$F$21,'Charme - fertil.forte'!AR99*'Charme - fertil.forte'!$F$21,'Pin maritime - très forte'!AR99*'Pin maritime - très forte'!$F$21,'P. sylv.+laricio+séquoia -forte'!AR99*'P. sylv.+laricio+séquoia -forte'!$F$21,'Douglas - fertilité moyenne'!AR99*'Douglas - fertilité moyenne'!$F$21)</f>
        <v>0</v>
      </c>
      <c r="Y115" s="188">
        <f>SUM('Chenes+Alisier - f. très forte'!AS99*'Chenes+Alisier - f. très forte'!$F$21,'Chenes+corm+merisier - f. forte'!AS99*'Chenes+corm+merisier - f. forte'!$F$21,'Charme - fertil.forte'!AS99*'Charme - fertil.forte'!$F$21,'Pin maritime - très forte'!AS99*'Pin maritime - très forte'!$F$21,'P. sylv.+laricio+séquoia -forte'!AS99*'P. sylv.+laricio+séquoia -forte'!$F$21,'Douglas - fertilité moyenne'!AS99*'Douglas - fertilité moyenne'!$F$21)</f>
        <v>0</v>
      </c>
      <c r="Z115" s="331">
        <f>SUM('Chenes+Alisier - f. très forte'!AT99*'Chenes+Alisier - f. très forte'!$F$21,'Chenes+corm+merisier - f. forte'!AT99*'Chenes+corm+merisier - f. forte'!$F$21,'Charme - fertil.forte'!AT99*'Charme - fertil.forte'!$F$21,'Pin maritime - très forte'!AT99*'Pin maritime - très forte'!$F$21,'P. sylv.+laricio+séquoia -forte'!AT99*'P. sylv.+laricio+séquoia -forte'!$F$21,'Douglas - fertilité moyenne'!AT99*'Douglas - fertilité moyenne'!$F$21)</f>
        <v>0</v>
      </c>
      <c r="AA115" s="178">
        <f t="shared" si="19"/>
        <v>0</v>
      </c>
      <c r="AB115" s="179">
        <f t="shared" si="18"/>
        <v>-15.311252397837018</v>
      </c>
      <c r="AC115" s="178"/>
      <c r="AD115" s="178"/>
    </row>
    <row r="116" spans="2:30">
      <c r="N116" s="71">
        <v>95</v>
      </c>
      <c r="O116" s="239"/>
      <c r="P116" s="180"/>
      <c r="Q116" s="240">
        <f t="shared" si="21"/>
        <v>940.00249999999994</v>
      </c>
      <c r="R116" s="180">
        <f t="shared" si="16"/>
        <v>19.270051249999998</v>
      </c>
      <c r="S116" s="180">
        <f>$L$11*(1+$L$9)^N116*'Récapitulatif des résultats'!$I$11</f>
        <v>0</v>
      </c>
      <c r="T116" s="241"/>
      <c r="U116" s="180"/>
      <c r="V116" s="249">
        <f t="shared" si="17"/>
        <v>0</v>
      </c>
      <c r="W116" s="188">
        <f>SUM('Chenes+Alisier - f. très forte'!AQ100*'Chenes+Alisier - f. très forte'!$F$21,'Chenes+corm+merisier - f. forte'!AQ100*'Chenes+corm+merisier - f. forte'!$F$21,'Charme - fertil.forte'!AQ100*'Charme - fertil.forte'!$F$21,'Pin maritime - très forte'!AQ100*'Pin maritime - très forte'!$F$21,'P. sylv.+laricio+séquoia -forte'!AQ100*'P. sylv.+laricio+séquoia -forte'!$F$21,'Douglas - fertilité moyenne'!AQ100*'Douglas - fertilité moyenne'!$F$21)</f>
        <v>0</v>
      </c>
      <c r="X116" s="188">
        <f>SUM('Chenes+Alisier - f. très forte'!AR100*'Chenes+Alisier - f. très forte'!$F$21,'Chenes+corm+merisier - f. forte'!AR100*'Chenes+corm+merisier - f. forte'!$F$21,'Charme - fertil.forte'!AR100*'Charme - fertil.forte'!$F$21,'Pin maritime - très forte'!AR100*'Pin maritime - très forte'!$F$21,'P. sylv.+laricio+séquoia -forte'!AR100*'P. sylv.+laricio+séquoia -forte'!$F$21,'Douglas - fertilité moyenne'!AR100*'Douglas - fertilité moyenne'!$F$21)</f>
        <v>0</v>
      </c>
      <c r="Y116" s="188">
        <f>SUM('Chenes+Alisier - f. très forte'!AS100*'Chenes+Alisier - f. très forte'!$F$21,'Chenes+corm+merisier - f. forte'!AS100*'Chenes+corm+merisier - f. forte'!$F$21,'Charme - fertil.forte'!AS100*'Charme - fertil.forte'!$F$21,'Pin maritime - très forte'!AS100*'Pin maritime - très forte'!$F$21,'P. sylv.+laricio+séquoia -forte'!AS100*'P. sylv.+laricio+séquoia -forte'!$F$21,'Douglas - fertilité moyenne'!AS100*'Douglas - fertilité moyenne'!$F$21)</f>
        <v>0</v>
      </c>
      <c r="Z116" s="331">
        <f>SUM('Chenes+Alisier - f. très forte'!AT100*'Chenes+Alisier - f. très forte'!$F$21,'Chenes+corm+merisier - f. forte'!AT100*'Chenes+corm+merisier - f. forte'!$F$21,'Charme - fertil.forte'!AT100*'Charme - fertil.forte'!$F$21,'Pin maritime - très forte'!AT100*'Pin maritime - très forte'!$F$21,'P. sylv.+laricio+séquoia -forte'!AT100*'P. sylv.+laricio+séquoia -forte'!$F$21,'Douglas - fertilité moyenne'!AT100*'Douglas - fertilité moyenne'!$F$21)</f>
        <v>0</v>
      </c>
      <c r="AA116" s="178">
        <f t="shared" si="19"/>
        <v>0</v>
      </c>
      <c r="AB116" s="179">
        <f t="shared" si="18"/>
        <v>-14.651916170178961</v>
      </c>
      <c r="AC116" s="178"/>
      <c r="AD116" s="178"/>
    </row>
    <row r="117" spans="2:30">
      <c r="M117"/>
      <c r="N117" s="71">
        <v>96</v>
      </c>
      <c r="O117" s="239"/>
      <c r="P117" s="180"/>
      <c r="Q117" s="240">
        <f t="shared" si="21"/>
        <v>940.00249999999994</v>
      </c>
      <c r="R117" s="180">
        <f t="shared" si="16"/>
        <v>19.270051249999998</v>
      </c>
      <c r="S117" s="180">
        <f>$L$11*(1+$L$9)^N117*'Récapitulatif des résultats'!$I$11</f>
        <v>0</v>
      </c>
      <c r="T117" s="241"/>
      <c r="U117" s="180"/>
      <c r="V117" s="249">
        <f t="shared" si="17"/>
        <v>0</v>
      </c>
      <c r="W117" s="188">
        <f>SUM('Chenes+Alisier - f. très forte'!AQ101*'Chenes+Alisier - f. très forte'!$F$21,'Chenes+corm+merisier - f. forte'!AQ101*'Chenes+corm+merisier - f. forte'!$F$21,'Charme - fertil.forte'!AQ101*'Charme - fertil.forte'!$F$21,'Pin maritime - très forte'!AQ101*'Pin maritime - très forte'!$F$21,'P. sylv.+laricio+séquoia -forte'!AQ101*'P. sylv.+laricio+séquoia -forte'!$F$21,'Douglas - fertilité moyenne'!AQ101*'Douglas - fertilité moyenne'!$F$21)</f>
        <v>0</v>
      </c>
      <c r="X117" s="188">
        <f>SUM('Chenes+Alisier - f. très forte'!AR101*'Chenes+Alisier - f. très forte'!$F$21,'Chenes+corm+merisier - f. forte'!AR101*'Chenes+corm+merisier - f. forte'!$F$21,'Charme - fertil.forte'!AR101*'Charme - fertil.forte'!$F$21,'Pin maritime - très forte'!AR101*'Pin maritime - très forte'!$F$21,'P. sylv.+laricio+séquoia -forte'!AR101*'P. sylv.+laricio+séquoia -forte'!$F$21,'Douglas - fertilité moyenne'!AR101*'Douglas - fertilité moyenne'!$F$21)</f>
        <v>0</v>
      </c>
      <c r="Y117" s="188">
        <f>SUM('Chenes+Alisier - f. très forte'!AS101*'Chenes+Alisier - f. très forte'!$F$21,'Chenes+corm+merisier - f. forte'!AS101*'Chenes+corm+merisier - f. forte'!$F$21,'Charme - fertil.forte'!AS101*'Charme - fertil.forte'!$F$21,'Pin maritime - très forte'!AS101*'Pin maritime - très forte'!$F$21,'P. sylv.+laricio+séquoia -forte'!AS101*'P. sylv.+laricio+séquoia -forte'!$F$21,'Douglas - fertilité moyenne'!AS101*'Douglas - fertilité moyenne'!$F$21)</f>
        <v>0</v>
      </c>
      <c r="Z117" s="331">
        <f>SUM('Chenes+Alisier - f. très forte'!AT101*'Chenes+Alisier - f. très forte'!$F$21,'Chenes+corm+merisier - f. forte'!AT101*'Chenes+corm+merisier - f. forte'!$F$21,'Charme - fertil.forte'!AT101*'Charme - fertil.forte'!$F$21,'Pin maritime - très forte'!AT101*'Pin maritime - très forte'!$F$21,'P. sylv.+laricio+séquoia -forte'!AT101*'P. sylv.+laricio+séquoia -forte'!$F$21,'Douglas - fertilité moyenne'!AT101*'Douglas - fertilité moyenne'!$F$21)</f>
        <v>0</v>
      </c>
      <c r="AA117" s="178">
        <f t="shared" si="19"/>
        <v>0</v>
      </c>
      <c r="AB117" s="179">
        <f t="shared" si="18"/>
        <v>-14.020972411654515</v>
      </c>
      <c r="AC117" s="178"/>
      <c r="AD117" s="178"/>
    </row>
    <row r="118" spans="2:30">
      <c r="B118" s="3" t="s">
        <v>5</v>
      </c>
      <c r="C118" s="3" t="s">
        <v>6</v>
      </c>
      <c r="D118" s="191" t="s">
        <v>227</v>
      </c>
      <c r="E118" s="207" t="s">
        <v>234</v>
      </c>
      <c r="F118" s="207" t="s">
        <v>235</v>
      </c>
      <c r="G118" s="207" t="s">
        <v>236</v>
      </c>
      <c r="H118" t="s">
        <v>239</v>
      </c>
      <c r="I118" t="s">
        <v>245</v>
      </c>
      <c r="J118" t="s">
        <v>246</v>
      </c>
      <c r="K118" t="s">
        <v>247</v>
      </c>
      <c r="L118" s="256" t="s">
        <v>251</v>
      </c>
      <c r="M118" t="s">
        <v>249</v>
      </c>
      <c r="N118" s="71">
        <v>97</v>
      </c>
      <c r="O118" s="239"/>
      <c r="P118" s="180"/>
      <c r="Q118" s="240">
        <f t="shared" si="21"/>
        <v>940.00249999999994</v>
      </c>
      <c r="R118" s="180">
        <f t="shared" si="16"/>
        <v>19.270051249999998</v>
      </c>
      <c r="S118" s="180">
        <f>$L$11*(1+$L$9)^N118*'Récapitulatif des résultats'!$I$11</f>
        <v>0</v>
      </c>
      <c r="T118" s="241"/>
      <c r="U118" s="180"/>
      <c r="V118" s="249">
        <f t="shared" si="17"/>
        <v>0</v>
      </c>
      <c r="W118" s="188">
        <f>SUM('Chenes+Alisier - f. très forte'!AQ102*'Chenes+Alisier - f. très forte'!$F$21,'Chenes+corm+merisier - f. forte'!AQ102*'Chenes+corm+merisier - f. forte'!$F$21,'Charme - fertil.forte'!AQ102*'Charme - fertil.forte'!$F$21,'Pin maritime - très forte'!AQ102*'Pin maritime - très forte'!$F$21,'P. sylv.+laricio+séquoia -forte'!AQ102*'P. sylv.+laricio+séquoia -forte'!$F$21,'Douglas - fertilité moyenne'!AQ102*'Douglas - fertilité moyenne'!$F$21)</f>
        <v>0</v>
      </c>
      <c r="X118" s="188">
        <f>SUM('Chenes+Alisier - f. très forte'!AR102*'Chenes+Alisier - f. très forte'!$F$21,'Chenes+corm+merisier - f. forte'!AR102*'Chenes+corm+merisier - f. forte'!$F$21,'Charme - fertil.forte'!AR102*'Charme - fertil.forte'!$F$21,'Pin maritime - très forte'!AR102*'Pin maritime - très forte'!$F$21,'P. sylv.+laricio+séquoia -forte'!AR102*'P. sylv.+laricio+séquoia -forte'!$F$21,'Douglas - fertilité moyenne'!AR102*'Douglas - fertilité moyenne'!$F$21)</f>
        <v>0</v>
      </c>
      <c r="Y118" s="188">
        <f>SUM('Chenes+Alisier - f. très forte'!AS102*'Chenes+Alisier - f. très forte'!$F$21,'Chenes+corm+merisier - f. forte'!AS102*'Chenes+corm+merisier - f. forte'!$F$21,'Charme - fertil.forte'!AS102*'Charme - fertil.forte'!$F$21,'Pin maritime - très forte'!AS102*'Pin maritime - très forte'!$F$21,'P. sylv.+laricio+séquoia -forte'!AS102*'P. sylv.+laricio+séquoia -forte'!$F$21,'Douglas - fertilité moyenne'!AS102*'Douglas - fertilité moyenne'!$F$21)</f>
        <v>0</v>
      </c>
      <c r="Z118" s="331">
        <f>SUM('Chenes+Alisier - f. très forte'!AT102*'Chenes+Alisier - f. très forte'!$F$21,'Chenes+corm+merisier - f. forte'!AT102*'Chenes+corm+merisier - f. forte'!$F$21,'Charme - fertil.forte'!AT102*'Charme - fertil.forte'!$F$21,'Pin maritime - très forte'!AT102*'Pin maritime - très forte'!$F$21,'P. sylv.+laricio+séquoia -forte'!AT102*'P. sylv.+laricio+séquoia -forte'!$F$21,'Douglas - fertilité moyenne'!AT102*'Douglas - fertilité moyenne'!$F$21)</f>
        <v>0</v>
      </c>
      <c r="AA118" s="178">
        <f t="shared" si="19"/>
        <v>0</v>
      </c>
      <c r="AB118" s="179">
        <f t="shared" si="18"/>
        <v>-13.417198480052173</v>
      </c>
      <c r="AC118" s="178"/>
      <c r="AD118" s="178"/>
    </row>
    <row r="119" spans="2:30">
      <c r="B119" s="169" t="s">
        <v>7</v>
      </c>
      <c r="C119" s="4">
        <v>0.62</v>
      </c>
      <c r="D119" s="191" t="s">
        <v>228</v>
      </c>
      <c r="E119" s="208">
        <v>300</v>
      </c>
      <c r="F119" s="254">
        <f>IF(Tableau14582[[#This Row],[Type]]="Feuillus",11*1.25,15.5*1.25)</f>
        <v>13.75</v>
      </c>
      <c r="G119" s="208">
        <v>10</v>
      </c>
      <c r="M119"/>
      <c r="N119" s="71">
        <v>98</v>
      </c>
      <c r="O119" s="239"/>
      <c r="P119" s="180"/>
      <c r="Q119" s="240">
        <f t="shared" si="21"/>
        <v>940.00249999999994</v>
      </c>
      <c r="R119" s="180">
        <f t="shared" si="16"/>
        <v>19.270051249999998</v>
      </c>
      <c r="S119" s="180">
        <f>$L$11*(1+$L$9)^N119*'Récapitulatif des résultats'!$I$11</f>
        <v>0</v>
      </c>
      <c r="T119" s="241"/>
      <c r="U119" s="180"/>
      <c r="V119" s="249">
        <f t="shared" si="17"/>
        <v>0</v>
      </c>
      <c r="W119" s="188">
        <f>SUM('Chenes+Alisier - f. très forte'!AQ103*'Chenes+Alisier - f. très forte'!$F$21,'Chenes+corm+merisier - f. forte'!AQ103*'Chenes+corm+merisier - f. forte'!$F$21,'Charme - fertil.forte'!AQ103*'Charme - fertil.forte'!$F$21,'Pin maritime - très forte'!AQ103*'Pin maritime - très forte'!$F$21,'P. sylv.+laricio+séquoia -forte'!AQ103*'P. sylv.+laricio+séquoia -forte'!$F$21,'Douglas - fertilité moyenne'!AQ103*'Douglas - fertilité moyenne'!$F$21)</f>
        <v>0</v>
      </c>
      <c r="X119" s="188">
        <f>SUM('Chenes+Alisier - f. très forte'!AR103*'Chenes+Alisier - f. très forte'!$F$21,'Chenes+corm+merisier - f. forte'!AR103*'Chenes+corm+merisier - f. forte'!$F$21,'Charme - fertil.forte'!AR103*'Charme - fertil.forte'!$F$21,'Pin maritime - très forte'!AR103*'Pin maritime - très forte'!$F$21,'P. sylv.+laricio+séquoia -forte'!AR103*'P. sylv.+laricio+séquoia -forte'!$F$21,'Douglas - fertilité moyenne'!AR103*'Douglas - fertilité moyenne'!$F$21)</f>
        <v>0</v>
      </c>
      <c r="Y119" s="188">
        <f>SUM('Chenes+Alisier - f. très forte'!AS103*'Chenes+Alisier - f. très forte'!$F$21,'Chenes+corm+merisier - f. forte'!AS103*'Chenes+corm+merisier - f. forte'!$F$21,'Charme - fertil.forte'!AS103*'Charme - fertil.forte'!$F$21,'Pin maritime - très forte'!AS103*'Pin maritime - très forte'!$F$21,'P. sylv.+laricio+séquoia -forte'!AS103*'P. sylv.+laricio+séquoia -forte'!$F$21,'Douglas - fertilité moyenne'!AS103*'Douglas - fertilité moyenne'!$F$21)</f>
        <v>0</v>
      </c>
      <c r="Z119" s="331">
        <f>SUM('Chenes+Alisier - f. très forte'!AT103*'Chenes+Alisier - f. très forte'!$F$21,'Chenes+corm+merisier - f. forte'!AT103*'Chenes+corm+merisier - f. forte'!$F$21,'Charme - fertil.forte'!AT103*'Charme - fertil.forte'!$F$21,'Pin maritime - très forte'!AT103*'Pin maritime - très forte'!$F$21,'P. sylv.+laricio+séquoia -forte'!AT103*'P. sylv.+laricio+séquoia -forte'!$F$21,'Douglas - fertilité moyenne'!AT103*'Douglas - fertilité moyenne'!$F$21)</f>
        <v>0</v>
      </c>
      <c r="AA119" s="178">
        <f t="shared" si="19"/>
        <v>0</v>
      </c>
      <c r="AB119" s="179">
        <f t="shared" si="18"/>
        <v>-12.839424382825046</v>
      </c>
      <c r="AC119" s="178"/>
      <c r="AD119" s="178"/>
    </row>
    <row r="120" spans="2:30">
      <c r="B120" s="169" t="s">
        <v>4</v>
      </c>
      <c r="C120" s="4">
        <v>0.64</v>
      </c>
      <c r="D120" s="191" t="s">
        <v>228</v>
      </c>
      <c r="E120" s="255" t="s">
        <v>250</v>
      </c>
      <c r="F120" s="254">
        <f>IF(Tableau14582[[#This Row],[Type]]="Feuillus",11*1.25,15.5*1.25)</f>
        <v>13.75</v>
      </c>
      <c r="G120" s="208">
        <v>10</v>
      </c>
      <c r="M120"/>
      <c r="N120" s="71">
        <v>99</v>
      </c>
      <c r="O120" s="239"/>
      <c r="P120" s="180"/>
      <c r="Q120" s="240">
        <f t="shared" si="21"/>
        <v>940.00249999999994</v>
      </c>
      <c r="R120" s="180">
        <f t="shared" si="16"/>
        <v>19.270051249999998</v>
      </c>
      <c r="S120" s="180">
        <f>$L$11*(1+$L$9)^N120*'Récapitulatif des résultats'!$I$11</f>
        <v>0</v>
      </c>
      <c r="T120" s="241"/>
      <c r="U120" s="180"/>
      <c r="V120" s="249">
        <f t="shared" si="17"/>
        <v>0</v>
      </c>
      <c r="W120" s="188">
        <f>SUM('Chenes+Alisier - f. très forte'!AQ104*'Chenes+Alisier - f. très forte'!$F$21,'Chenes+corm+merisier - f. forte'!AQ104*'Chenes+corm+merisier - f. forte'!$F$21,'Charme - fertil.forte'!AQ104*'Charme - fertil.forte'!$F$21,'Pin maritime - très forte'!AQ104*'Pin maritime - très forte'!$F$21,'P. sylv.+laricio+séquoia -forte'!AQ104*'P. sylv.+laricio+séquoia -forte'!$F$21,'Douglas - fertilité moyenne'!AQ104*'Douglas - fertilité moyenne'!$F$21)</f>
        <v>0</v>
      </c>
      <c r="X120" s="188">
        <f>SUM('Chenes+Alisier - f. très forte'!AR104*'Chenes+Alisier - f. très forte'!$F$21,'Chenes+corm+merisier - f. forte'!AR104*'Chenes+corm+merisier - f. forte'!$F$21,'Charme - fertil.forte'!AR104*'Charme - fertil.forte'!$F$21,'Pin maritime - très forte'!AR104*'Pin maritime - très forte'!$F$21,'P. sylv.+laricio+séquoia -forte'!AR104*'P. sylv.+laricio+séquoia -forte'!$F$21,'Douglas - fertilité moyenne'!AR104*'Douglas - fertilité moyenne'!$F$21)</f>
        <v>0</v>
      </c>
      <c r="Y120" s="188">
        <f>SUM('Chenes+Alisier - f. très forte'!AS104*'Chenes+Alisier - f. très forte'!$F$21,'Chenes+corm+merisier - f. forte'!AS104*'Chenes+corm+merisier - f. forte'!$F$21,'Charme - fertil.forte'!AS104*'Charme - fertil.forte'!$F$21,'Pin maritime - très forte'!AS104*'Pin maritime - très forte'!$F$21,'P. sylv.+laricio+séquoia -forte'!AS104*'P. sylv.+laricio+séquoia -forte'!$F$21,'Douglas - fertilité moyenne'!AS104*'Douglas - fertilité moyenne'!$F$21)</f>
        <v>0</v>
      </c>
      <c r="Z120" s="331">
        <f>SUM('Chenes+Alisier - f. très forte'!AT104*'Chenes+Alisier - f. très forte'!$F$21,'Chenes+corm+merisier - f. forte'!AT104*'Chenes+corm+merisier - f. forte'!$F$21,'Charme - fertil.forte'!AT104*'Charme - fertil.forte'!$F$21,'Pin maritime - très forte'!AT104*'Pin maritime - très forte'!$F$21,'P. sylv.+laricio+séquoia -forte'!AT104*'P. sylv.+laricio+séquoia -forte'!$F$21,'Douglas - fertilité moyenne'!AT104*'Douglas - fertilité moyenne'!$F$21)</f>
        <v>0</v>
      </c>
      <c r="AA120" s="178">
        <f t="shared" si="19"/>
        <v>0</v>
      </c>
      <c r="AB120" s="179">
        <f t="shared" si="18"/>
        <v>-12.286530509880427</v>
      </c>
      <c r="AC120" s="178"/>
      <c r="AD120" s="178"/>
    </row>
    <row r="121" spans="2:30">
      <c r="B121" s="169" t="s">
        <v>8</v>
      </c>
      <c r="C121" s="4">
        <v>0.42</v>
      </c>
      <c r="D121" s="191" t="s">
        <v>228</v>
      </c>
      <c r="E121" s="208">
        <v>40</v>
      </c>
      <c r="F121" s="254">
        <f>IF(Tableau14582[[#This Row],[Type]]="Feuillus",11*1.25,15.5*1.25)</f>
        <v>13.75</v>
      </c>
      <c r="G121" s="208">
        <v>10</v>
      </c>
      <c r="M121"/>
      <c r="N121" s="71">
        <v>100</v>
      </c>
      <c r="O121" s="239"/>
      <c r="P121" s="180"/>
      <c r="Q121" s="240">
        <f t="shared" si="21"/>
        <v>940.00249999999994</v>
      </c>
      <c r="R121" s="180">
        <f t="shared" si="16"/>
        <v>19.270051249999998</v>
      </c>
      <c r="S121" s="180">
        <f>$L$11*(1+$L$9)^N121*'Récapitulatif des résultats'!$I$11</f>
        <v>0</v>
      </c>
      <c r="T121" s="241"/>
      <c r="U121" s="180"/>
      <c r="V121" s="249">
        <f t="shared" si="17"/>
        <v>9022.0500000000011</v>
      </c>
      <c r="W121" s="188">
        <f>SUM('Chenes+Alisier - f. très forte'!AQ105*'Chenes+Alisier - f. très forte'!$F$21,'Chenes+corm+merisier - f. forte'!AQ105*'Chenes+corm+merisier - f. forte'!$F$21,'Charme - fertil.forte'!AQ105*'Charme - fertil.forte'!$F$21,'Pin maritime - très forte'!AQ105*'Pin maritime - très forte'!$F$21,'P. sylv.+laricio+séquoia -forte'!AQ105*'P. sylv.+laricio+séquoia -forte'!$F$21,'Douglas - fertilité moyenne'!AQ105*'Douglas - fertilité moyenne'!$F$21)</f>
        <v>8349.5025000000005</v>
      </c>
      <c r="X121" s="188">
        <f>SUM('Chenes+Alisier - f. très forte'!AR105*'Chenes+Alisier - f. très forte'!$F$21,'Chenes+corm+merisier - f. forte'!AR105*'Chenes+corm+merisier - f. forte'!$F$21,'Charme - fertil.forte'!AR105*'Charme - fertil.forte'!$F$21,'Pin maritime - très forte'!AR105*'Pin maritime - très forte'!$F$21,'P. sylv.+laricio+séquoia -forte'!AR105*'P. sylv.+laricio+séquoia -forte'!$F$21,'Douglas - fertilité moyenne'!AR105*'Douglas - fertilité moyenne'!$F$21)</f>
        <v>0</v>
      </c>
      <c r="Y121" s="188">
        <f>SUM('Chenes+Alisier - f. très forte'!AS105*'Chenes+Alisier - f. très forte'!$F$21,'Chenes+corm+merisier - f. forte'!AS105*'Chenes+corm+merisier - f. forte'!$F$21,'Charme - fertil.forte'!AS105*'Charme - fertil.forte'!$F$21,'Pin maritime - très forte'!AS105*'Pin maritime - très forte'!$F$21,'P. sylv.+laricio+séquoia -forte'!AS105*'P. sylv.+laricio+séquoia -forte'!$F$21,'Douglas - fertilité moyenne'!AS105*'Douglas - fertilité moyenne'!$F$21)</f>
        <v>0</v>
      </c>
      <c r="Z121" s="331">
        <f>SUM('Chenes+Alisier - f. très forte'!AT105*'Chenes+Alisier - f. très forte'!$F$21,'Chenes+corm+merisier - f. forte'!AT105*'Chenes+corm+merisier - f. forte'!$F$21,'Charme - fertil.forte'!AT105*'Charme - fertil.forte'!$F$21,'Pin maritime - très forte'!AT105*'Pin maritime - très forte'!$F$21,'P. sylv.+laricio+séquoia -forte'!AT105*'P. sylv.+laricio+séquoia -forte'!$F$21,'Douglas - fertilité moyenne'!AT105*'Douglas - fertilité moyenne'!$F$21)</f>
        <v>672.54750000000001</v>
      </c>
      <c r="AA121" s="178">
        <f t="shared" si="19"/>
        <v>985550.85000000009</v>
      </c>
      <c r="AB121" s="179">
        <f t="shared" si="18"/>
        <v>12067.77131388061</v>
      </c>
      <c r="AC121" s="178"/>
      <c r="AD121" s="178"/>
    </row>
    <row r="122" spans="2:30">
      <c r="B122" s="169" t="s">
        <v>9</v>
      </c>
      <c r="C122" s="4">
        <v>0.42</v>
      </c>
      <c r="D122" s="191" t="s">
        <v>228</v>
      </c>
      <c r="E122" s="208">
        <v>40</v>
      </c>
      <c r="F122" s="254">
        <f>IF(Tableau14582[[#This Row],[Type]]="Feuillus",11*1.25,15.5*1.25)</f>
        <v>13.75</v>
      </c>
      <c r="G122" s="208">
        <v>10</v>
      </c>
      <c r="M122"/>
      <c r="N122" s="71">
        <v>101</v>
      </c>
      <c r="O122" s="239"/>
      <c r="P122" s="180"/>
      <c r="Q122" s="240">
        <f t="shared" si="21"/>
        <v>940.00249999999994</v>
      </c>
      <c r="R122" s="180">
        <f t="shared" si="16"/>
        <v>19.270051249999998</v>
      </c>
      <c r="S122" s="180">
        <f>$L$11*(1+$L$9)^N122*'Récapitulatif des résultats'!$I$11</f>
        <v>0</v>
      </c>
      <c r="T122" s="241"/>
      <c r="U122" s="180"/>
      <c r="V122" s="249">
        <f t="shared" si="17"/>
        <v>0</v>
      </c>
      <c r="W122" s="188">
        <f>SUM('Chenes+Alisier - f. très forte'!AQ106*'Chenes+Alisier - f. très forte'!$F$21,'Chenes+corm+merisier - f. forte'!AQ106*'Chenes+corm+merisier - f. forte'!$F$21,'Charme - fertil.forte'!AQ106*'Charme - fertil.forte'!$F$21,'Pin maritime - très forte'!AQ106*'Pin maritime - très forte'!$F$21,'P. sylv.+laricio+séquoia -forte'!AQ106*'P. sylv.+laricio+séquoia -forte'!$F$21,'Douglas - fertilité moyenne'!AQ106*'Douglas - fertilité moyenne'!$F$21)</f>
        <v>0</v>
      </c>
      <c r="X122" s="188">
        <f>SUM('Chenes+Alisier - f. très forte'!AR106*'Chenes+Alisier - f. très forte'!$F$21,'Chenes+corm+merisier - f. forte'!AR106*'Chenes+corm+merisier - f. forte'!$F$21,'Charme - fertil.forte'!AR106*'Charme - fertil.forte'!$F$21,'Pin maritime - très forte'!AR106*'Pin maritime - très forte'!$F$21,'P. sylv.+laricio+séquoia -forte'!AR106*'P. sylv.+laricio+séquoia -forte'!$F$21,'Douglas - fertilité moyenne'!AR106*'Douglas - fertilité moyenne'!$F$21)</f>
        <v>0</v>
      </c>
      <c r="Y122" s="188">
        <f>SUM('Chenes+Alisier - f. très forte'!AS106*'Chenes+Alisier - f. très forte'!$F$21,'Chenes+corm+merisier - f. forte'!AS106*'Chenes+corm+merisier - f. forte'!$F$21,'Charme - fertil.forte'!AS106*'Charme - fertil.forte'!$F$21,'Pin maritime - très forte'!AS106*'Pin maritime - très forte'!$F$21,'P. sylv.+laricio+séquoia -forte'!AS106*'P. sylv.+laricio+séquoia -forte'!$F$21,'Douglas - fertilité moyenne'!AS106*'Douglas - fertilité moyenne'!$F$21)</f>
        <v>0</v>
      </c>
      <c r="Z122" s="331">
        <f>SUM('Chenes+Alisier - f. très forte'!AT106*'Chenes+Alisier - f. très forte'!$F$21,'Chenes+corm+merisier - f. forte'!AT106*'Chenes+corm+merisier - f. forte'!$F$21,'Charme - fertil.forte'!AT106*'Charme - fertil.forte'!$F$21,'Pin maritime - très forte'!AT106*'Pin maritime - très forte'!$F$21,'P. sylv.+laricio+séquoia -forte'!AT106*'P. sylv.+laricio+séquoia -forte'!$F$21,'Douglas - fertilité moyenne'!AT106*'Douglas - fertilité moyenne'!$F$21)</f>
        <v>0</v>
      </c>
      <c r="AA122" s="178">
        <f t="shared" si="19"/>
        <v>0</v>
      </c>
      <c r="AB122" s="179">
        <f t="shared" si="18"/>
        <v>0</v>
      </c>
      <c r="AC122" s="178"/>
      <c r="AD122" s="178"/>
    </row>
    <row r="123" spans="2:30">
      <c r="B123" s="169" t="s">
        <v>10</v>
      </c>
      <c r="C123" s="4">
        <v>0.52</v>
      </c>
      <c r="D123" s="191" t="s">
        <v>228</v>
      </c>
      <c r="E123" s="208">
        <v>40</v>
      </c>
      <c r="F123" s="254">
        <f>IF(Tableau14582[[#This Row],[Type]]="Feuillus",11*1.25,15.5*1.25)</f>
        <v>13.75</v>
      </c>
      <c r="G123" s="208">
        <v>10</v>
      </c>
      <c r="M123"/>
      <c r="N123" s="71">
        <v>102</v>
      </c>
      <c r="O123" s="239"/>
      <c r="P123" s="180"/>
      <c r="Q123" s="240">
        <f t="shared" ref="Q123:Q154" si="23">$L$13*(1+$L$9)^N123*$L$5</f>
        <v>940.00249999999994</v>
      </c>
      <c r="R123" s="180">
        <f t="shared" si="16"/>
        <v>19.270051249999998</v>
      </c>
      <c r="S123" s="180">
        <f>$L$11*(1+$L$9)^N123*'Récapitulatif des résultats'!$I$11</f>
        <v>0</v>
      </c>
      <c r="T123" s="241"/>
      <c r="U123" s="180"/>
      <c r="V123" s="249">
        <f t="shared" si="17"/>
        <v>0</v>
      </c>
      <c r="W123" s="188">
        <f>SUM('Chenes+Alisier - f. très forte'!AQ107*'Chenes+Alisier - f. très forte'!$F$21,'Chenes+corm+merisier - f. forte'!AQ107*'Chenes+corm+merisier - f. forte'!$F$21,'Charme - fertil.forte'!AQ107*'Charme - fertil.forte'!$F$21,'Pin maritime - très forte'!AQ107*'Pin maritime - très forte'!$F$21,'P. sylv.+laricio+séquoia -forte'!AQ107*'P. sylv.+laricio+séquoia -forte'!$F$21,'Douglas - fertilité moyenne'!AQ107*'Douglas - fertilité moyenne'!$F$21)</f>
        <v>0</v>
      </c>
      <c r="X123" s="188">
        <f>SUM('Chenes+Alisier - f. très forte'!AR107*'Chenes+Alisier - f. très forte'!$F$21,'Chenes+corm+merisier - f. forte'!AR107*'Chenes+corm+merisier - f. forte'!$F$21,'Charme - fertil.forte'!AR107*'Charme - fertil.forte'!$F$21,'Pin maritime - très forte'!AR107*'Pin maritime - très forte'!$F$21,'P. sylv.+laricio+séquoia -forte'!AR107*'P. sylv.+laricio+séquoia -forte'!$F$21,'Douglas - fertilité moyenne'!AR107*'Douglas - fertilité moyenne'!$F$21)</f>
        <v>0</v>
      </c>
      <c r="Y123" s="188">
        <f>SUM('Chenes+Alisier - f. très forte'!AS107*'Chenes+Alisier - f. très forte'!$F$21,'Chenes+corm+merisier - f. forte'!AS107*'Chenes+corm+merisier - f. forte'!$F$21,'Charme - fertil.forte'!AS107*'Charme - fertil.forte'!$F$21,'Pin maritime - très forte'!AS107*'Pin maritime - très forte'!$F$21,'P. sylv.+laricio+séquoia -forte'!AS107*'P. sylv.+laricio+séquoia -forte'!$F$21,'Douglas - fertilité moyenne'!AS107*'Douglas - fertilité moyenne'!$F$21)</f>
        <v>0</v>
      </c>
      <c r="Z123" s="331">
        <f>SUM('Chenes+Alisier - f. très forte'!AT107*'Chenes+Alisier - f. très forte'!$F$21,'Chenes+corm+merisier - f. forte'!AT107*'Chenes+corm+merisier - f. forte'!$F$21,'Charme - fertil.forte'!AT107*'Charme - fertil.forte'!$F$21,'Pin maritime - très forte'!AT107*'Pin maritime - très forte'!$F$21,'P. sylv.+laricio+séquoia -forte'!AT107*'P. sylv.+laricio+séquoia -forte'!$F$21,'Douglas - fertilité moyenne'!AT107*'Douglas - fertilité moyenne'!$F$21)</f>
        <v>0</v>
      </c>
      <c r="AA123" s="178">
        <f t="shared" si="19"/>
        <v>0</v>
      </c>
      <c r="AB123" s="179">
        <f t="shared" si="18"/>
        <v>0</v>
      </c>
      <c r="AC123" s="178"/>
      <c r="AD123" s="178"/>
    </row>
    <row r="124" spans="2:30">
      <c r="B124" s="169" t="s">
        <v>11</v>
      </c>
      <c r="C124" s="4">
        <v>0.36</v>
      </c>
      <c r="D124" s="191" t="s">
        <v>229</v>
      </c>
      <c r="E124" s="255">
        <v>30</v>
      </c>
      <c r="F124" s="254">
        <f>IF(Tableau14582[[#This Row],[Type]]="Feuillus",11*1.25,15.5*1.25)</f>
        <v>19.375</v>
      </c>
      <c r="G124" s="208">
        <v>10</v>
      </c>
      <c r="M124"/>
      <c r="N124" s="71">
        <v>103</v>
      </c>
      <c r="O124" s="239"/>
      <c r="P124" s="180"/>
      <c r="Q124" s="240">
        <f t="shared" si="23"/>
        <v>940.00249999999994</v>
      </c>
      <c r="R124" s="180">
        <f t="shared" si="16"/>
        <v>19.270051249999998</v>
      </c>
      <c r="S124" s="180">
        <f>$L$11*(1+$L$9)^N124*'Récapitulatif des résultats'!$I$11</f>
        <v>0</v>
      </c>
      <c r="T124" s="241"/>
      <c r="U124" s="180"/>
      <c r="V124" s="249">
        <f t="shared" si="17"/>
        <v>0</v>
      </c>
      <c r="W124" s="188">
        <f>SUM('Chenes+Alisier - f. très forte'!AQ108*'Chenes+Alisier - f. très forte'!$F$21,'Chenes+corm+merisier - f. forte'!AQ108*'Chenes+corm+merisier - f. forte'!$F$21,'Charme - fertil.forte'!AQ108*'Charme - fertil.forte'!$F$21,'Pin maritime - très forte'!AQ108*'Pin maritime - très forte'!$F$21,'P. sylv.+laricio+séquoia -forte'!AQ108*'P. sylv.+laricio+séquoia -forte'!$F$21,'Douglas - fertilité moyenne'!AQ108*'Douglas - fertilité moyenne'!$F$21)</f>
        <v>0</v>
      </c>
      <c r="X124" s="188">
        <f>SUM('Chenes+Alisier - f. très forte'!AR108*'Chenes+Alisier - f. très forte'!$F$21,'Chenes+corm+merisier - f. forte'!AR108*'Chenes+corm+merisier - f. forte'!$F$21,'Charme - fertil.forte'!AR108*'Charme - fertil.forte'!$F$21,'Pin maritime - très forte'!AR108*'Pin maritime - très forte'!$F$21,'P. sylv.+laricio+séquoia -forte'!AR108*'P. sylv.+laricio+séquoia -forte'!$F$21,'Douglas - fertilité moyenne'!AR108*'Douglas - fertilité moyenne'!$F$21)</f>
        <v>0</v>
      </c>
      <c r="Y124" s="188">
        <f>SUM('Chenes+Alisier - f. très forte'!AS108*'Chenes+Alisier - f. très forte'!$F$21,'Chenes+corm+merisier - f. forte'!AS108*'Chenes+corm+merisier - f. forte'!$F$21,'Charme - fertil.forte'!AS108*'Charme - fertil.forte'!$F$21,'Pin maritime - très forte'!AS108*'Pin maritime - très forte'!$F$21,'P. sylv.+laricio+séquoia -forte'!AS108*'P. sylv.+laricio+séquoia -forte'!$F$21,'Douglas - fertilité moyenne'!AS108*'Douglas - fertilité moyenne'!$F$21)</f>
        <v>0</v>
      </c>
      <c r="Z124" s="331">
        <f>SUM('Chenes+Alisier - f. très forte'!AT108*'Chenes+Alisier - f. très forte'!$F$21,'Chenes+corm+merisier - f. forte'!AT108*'Chenes+corm+merisier - f. forte'!$F$21,'Charme - fertil.forte'!AT108*'Charme - fertil.forte'!$F$21,'Pin maritime - très forte'!AT108*'Pin maritime - très forte'!$F$21,'P. sylv.+laricio+séquoia -forte'!AT108*'P. sylv.+laricio+séquoia -forte'!$F$21,'Douglas - fertilité moyenne'!AT108*'Douglas - fertilité moyenne'!$F$21)</f>
        <v>0</v>
      </c>
      <c r="AA124" s="178">
        <f t="shared" si="19"/>
        <v>0</v>
      </c>
      <c r="AB124" s="179">
        <f t="shared" si="18"/>
        <v>0</v>
      </c>
      <c r="AC124" s="178"/>
      <c r="AD124" s="178"/>
    </row>
    <row r="125" spans="2:30">
      <c r="B125" s="169" t="s">
        <v>12</v>
      </c>
      <c r="C125" s="4">
        <v>0.61</v>
      </c>
      <c r="D125" s="191" t="s">
        <v>228</v>
      </c>
      <c r="E125" s="208">
        <v>50</v>
      </c>
      <c r="F125" s="254">
        <f>IF(Tableau14582[[#This Row],[Type]]="Feuillus",11*1.25,15.5*1.25)</f>
        <v>13.75</v>
      </c>
      <c r="G125" s="208">
        <v>10</v>
      </c>
      <c r="M125"/>
      <c r="N125" s="71">
        <v>104</v>
      </c>
      <c r="O125" s="239"/>
      <c r="P125" s="180"/>
      <c r="Q125" s="240">
        <f t="shared" si="23"/>
        <v>940.00249999999994</v>
      </c>
      <c r="R125" s="180">
        <f t="shared" si="16"/>
        <v>19.270051249999998</v>
      </c>
      <c r="S125" s="180">
        <f>$L$11*(1+$L$9)^N125*'Récapitulatif des résultats'!$I$11</f>
        <v>0</v>
      </c>
      <c r="T125" s="241"/>
      <c r="U125" s="180"/>
      <c r="V125" s="249">
        <f t="shared" si="17"/>
        <v>0</v>
      </c>
      <c r="W125" s="188">
        <f>SUM('Chenes+Alisier - f. très forte'!AQ109*'Chenes+Alisier - f. très forte'!$F$21,'Chenes+corm+merisier - f. forte'!AQ109*'Chenes+corm+merisier - f. forte'!$F$21,'Charme - fertil.forte'!AQ109*'Charme - fertil.forte'!$F$21,'Pin maritime - très forte'!AQ109*'Pin maritime - très forte'!$F$21,'P. sylv.+laricio+séquoia -forte'!AQ109*'P. sylv.+laricio+séquoia -forte'!$F$21,'Douglas - fertilité moyenne'!AQ109*'Douglas - fertilité moyenne'!$F$21)</f>
        <v>0</v>
      </c>
      <c r="X125" s="188">
        <f>SUM('Chenes+Alisier - f. très forte'!AR109*'Chenes+Alisier - f. très forte'!$F$21,'Chenes+corm+merisier - f. forte'!AR109*'Chenes+corm+merisier - f. forte'!$F$21,'Charme - fertil.forte'!AR109*'Charme - fertil.forte'!$F$21,'Pin maritime - très forte'!AR109*'Pin maritime - très forte'!$F$21,'P. sylv.+laricio+séquoia -forte'!AR109*'P. sylv.+laricio+séquoia -forte'!$F$21,'Douglas - fertilité moyenne'!AR109*'Douglas - fertilité moyenne'!$F$21)</f>
        <v>0</v>
      </c>
      <c r="Y125" s="188">
        <f>SUM('Chenes+Alisier - f. très forte'!AS109*'Chenes+Alisier - f. très forte'!$F$21,'Chenes+corm+merisier - f. forte'!AS109*'Chenes+corm+merisier - f. forte'!$F$21,'Charme - fertil.forte'!AS109*'Charme - fertil.forte'!$F$21,'Pin maritime - très forte'!AS109*'Pin maritime - très forte'!$F$21,'P. sylv.+laricio+séquoia -forte'!AS109*'P. sylv.+laricio+séquoia -forte'!$F$21,'Douglas - fertilité moyenne'!AS109*'Douglas - fertilité moyenne'!$F$21)</f>
        <v>0</v>
      </c>
      <c r="Z125" s="331">
        <f>SUM('Chenes+Alisier - f. très forte'!AT109*'Chenes+Alisier - f. très forte'!$F$21,'Chenes+corm+merisier - f. forte'!AT109*'Chenes+corm+merisier - f. forte'!$F$21,'Charme - fertil.forte'!AT109*'Charme - fertil.forte'!$F$21,'Pin maritime - très forte'!AT109*'Pin maritime - très forte'!$F$21,'P. sylv.+laricio+séquoia -forte'!AT109*'P. sylv.+laricio+séquoia -forte'!$F$21,'Douglas - fertilité moyenne'!AT109*'Douglas - fertilité moyenne'!$F$21)</f>
        <v>0</v>
      </c>
      <c r="AA125" s="178">
        <f t="shared" si="19"/>
        <v>0</v>
      </c>
      <c r="AB125" s="179">
        <f t="shared" si="18"/>
        <v>0</v>
      </c>
      <c r="AC125" s="178"/>
      <c r="AD125" s="178"/>
    </row>
    <row r="126" spans="2:30">
      <c r="B126" s="169" t="s">
        <v>13</v>
      </c>
      <c r="C126" s="4">
        <v>0.66</v>
      </c>
      <c r="D126" s="191" t="s">
        <v>228</v>
      </c>
      <c r="E126" s="208">
        <v>50</v>
      </c>
      <c r="F126" s="254">
        <f>IF(Tableau14582[[#This Row],[Type]]="Feuillus",11*1.25,15.5*1.25)</f>
        <v>13.75</v>
      </c>
      <c r="G126" s="208">
        <v>10</v>
      </c>
      <c r="M126"/>
      <c r="N126" s="71">
        <v>105</v>
      </c>
      <c r="O126" s="239"/>
      <c r="P126" s="180"/>
      <c r="Q126" s="240">
        <f t="shared" si="23"/>
        <v>940.00249999999994</v>
      </c>
      <c r="R126" s="180">
        <f t="shared" si="16"/>
        <v>19.270051249999998</v>
      </c>
      <c r="S126" s="180">
        <f>$L$11*(1+$L$9)^N126*'Récapitulatif des résultats'!$I$11</f>
        <v>0</v>
      </c>
      <c r="T126" s="241"/>
      <c r="U126" s="180"/>
      <c r="V126" s="249">
        <f t="shared" si="17"/>
        <v>0</v>
      </c>
      <c r="W126" s="188">
        <f>SUM('Chenes+Alisier - f. très forte'!AQ110*'Chenes+Alisier - f. très forte'!$F$21,'Chenes+corm+merisier - f. forte'!AQ110*'Chenes+corm+merisier - f. forte'!$F$21,'Charme - fertil.forte'!AQ110*'Charme - fertil.forte'!$F$21,'Pin maritime - très forte'!AQ110*'Pin maritime - très forte'!$F$21,'P. sylv.+laricio+séquoia -forte'!AQ110*'P. sylv.+laricio+séquoia -forte'!$F$21,'Douglas - fertilité moyenne'!AQ110*'Douglas - fertilité moyenne'!$F$21)</f>
        <v>0</v>
      </c>
      <c r="X126" s="188">
        <f>SUM('Chenes+Alisier - f. très forte'!AR110*'Chenes+Alisier - f. très forte'!$F$21,'Chenes+corm+merisier - f. forte'!AR110*'Chenes+corm+merisier - f. forte'!$F$21,'Charme - fertil.forte'!AR110*'Charme - fertil.forte'!$F$21,'Pin maritime - très forte'!AR110*'Pin maritime - très forte'!$F$21,'P. sylv.+laricio+séquoia -forte'!AR110*'P. sylv.+laricio+séquoia -forte'!$F$21,'Douglas - fertilité moyenne'!AR110*'Douglas - fertilité moyenne'!$F$21)</f>
        <v>0</v>
      </c>
      <c r="Y126" s="188">
        <f>SUM('Chenes+Alisier - f. très forte'!AS110*'Chenes+Alisier - f. très forte'!$F$21,'Chenes+corm+merisier - f. forte'!AS110*'Chenes+corm+merisier - f. forte'!$F$21,'Charme - fertil.forte'!AS110*'Charme - fertil.forte'!$F$21,'Pin maritime - très forte'!AS110*'Pin maritime - très forte'!$F$21,'P. sylv.+laricio+séquoia -forte'!AS110*'P. sylv.+laricio+séquoia -forte'!$F$21,'Douglas - fertilité moyenne'!AS110*'Douglas - fertilité moyenne'!$F$21)</f>
        <v>0</v>
      </c>
      <c r="Z126" s="331">
        <f>SUM('Chenes+Alisier - f. très forte'!AT110*'Chenes+Alisier - f. très forte'!$F$21,'Chenes+corm+merisier - f. forte'!AT110*'Chenes+corm+merisier - f. forte'!$F$21,'Charme - fertil.forte'!AT110*'Charme - fertil.forte'!$F$21,'Pin maritime - très forte'!AT110*'Pin maritime - très forte'!$F$21,'P. sylv.+laricio+séquoia -forte'!AT110*'P. sylv.+laricio+séquoia -forte'!$F$21,'Douglas - fertilité moyenne'!AT110*'Douglas - fertilité moyenne'!$F$21)</f>
        <v>0</v>
      </c>
      <c r="AA126" s="178">
        <f t="shared" si="19"/>
        <v>0</v>
      </c>
      <c r="AB126" s="179">
        <f t="shared" si="18"/>
        <v>0</v>
      </c>
      <c r="AC126" s="178"/>
      <c r="AD126" s="178"/>
    </row>
    <row r="127" spans="2:30">
      <c r="B127" s="170" t="s">
        <v>14</v>
      </c>
      <c r="C127" s="135">
        <v>0.47</v>
      </c>
      <c r="D127" s="191" t="s">
        <v>228</v>
      </c>
      <c r="E127" s="208">
        <v>100</v>
      </c>
      <c r="F127" s="254">
        <f>IF(Tableau14582[[#This Row],[Type]]="Feuillus",11*1.25,15.5*1.25)</f>
        <v>13.75</v>
      </c>
      <c r="G127" s="208">
        <v>10</v>
      </c>
      <c r="M127"/>
      <c r="N127" s="71">
        <v>106</v>
      </c>
      <c r="O127" s="239"/>
      <c r="P127" s="180"/>
      <c r="Q127" s="240">
        <f t="shared" si="23"/>
        <v>940.00249999999994</v>
      </c>
      <c r="R127" s="180">
        <f t="shared" si="16"/>
        <v>19.270051249999998</v>
      </c>
      <c r="S127" s="180">
        <f>$L$11*(1+$L$9)^N127*'Récapitulatif des résultats'!$I$11</f>
        <v>0</v>
      </c>
      <c r="T127" s="241"/>
      <c r="U127" s="180"/>
      <c r="V127" s="249">
        <f t="shared" si="17"/>
        <v>0</v>
      </c>
      <c r="W127" s="188">
        <f>SUM('Chenes+Alisier - f. très forte'!AQ111*'Chenes+Alisier - f. très forte'!$F$21,'Chenes+corm+merisier - f. forte'!AQ111*'Chenes+corm+merisier - f. forte'!$F$21,'Charme - fertil.forte'!AQ111*'Charme - fertil.forte'!$F$21,'Pin maritime - très forte'!AQ111*'Pin maritime - très forte'!$F$21,'P. sylv.+laricio+séquoia -forte'!AQ111*'P. sylv.+laricio+séquoia -forte'!$F$21,'Douglas - fertilité moyenne'!AQ111*'Douglas - fertilité moyenne'!$F$21)</f>
        <v>0</v>
      </c>
      <c r="X127" s="188">
        <f>SUM('Chenes+Alisier - f. très forte'!AR111*'Chenes+Alisier - f. très forte'!$F$21,'Chenes+corm+merisier - f. forte'!AR111*'Chenes+corm+merisier - f. forte'!$F$21,'Charme - fertil.forte'!AR111*'Charme - fertil.forte'!$F$21,'Pin maritime - très forte'!AR111*'Pin maritime - très forte'!$F$21,'P. sylv.+laricio+séquoia -forte'!AR111*'P. sylv.+laricio+séquoia -forte'!$F$21,'Douglas - fertilité moyenne'!AR111*'Douglas - fertilité moyenne'!$F$21)</f>
        <v>0</v>
      </c>
      <c r="Y127" s="188">
        <f>SUM('Chenes+Alisier - f. très forte'!AS111*'Chenes+Alisier - f. très forte'!$F$21,'Chenes+corm+merisier - f. forte'!AS111*'Chenes+corm+merisier - f. forte'!$F$21,'Charme - fertil.forte'!AS111*'Charme - fertil.forte'!$F$21,'Pin maritime - très forte'!AS111*'Pin maritime - très forte'!$F$21,'P. sylv.+laricio+séquoia -forte'!AS111*'P. sylv.+laricio+séquoia -forte'!$F$21,'Douglas - fertilité moyenne'!AS111*'Douglas - fertilité moyenne'!$F$21)</f>
        <v>0</v>
      </c>
      <c r="Z127" s="331">
        <f>SUM('Chenes+Alisier - f. très forte'!AT111*'Chenes+Alisier - f. très forte'!$F$21,'Chenes+corm+merisier - f. forte'!AT111*'Chenes+corm+merisier - f. forte'!$F$21,'Charme - fertil.forte'!AT111*'Charme - fertil.forte'!$F$21,'Pin maritime - très forte'!AT111*'Pin maritime - très forte'!$F$21,'P. sylv.+laricio+séquoia -forte'!AT111*'P. sylv.+laricio+séquoia -forte'!$F$21,'Douglas - fertilité moyenne'!AT111*'Douglas - fertilité moyenne'!$F$21)</f>
        <v>0</v>
      </c>
      <c r="AA127" s="178">
        <f t="shared" si="19"/>
        <v>0</v>
      </c>
      <c r="AB127" s="179">
        <f t="shared" si="18"/>
        <v>0</v>
      </c>
      <c r="AC127" s="178"/>
      <c r="AD127" s="178"/>
    </row>
    <row r="128" spans="2:30">
      <c r="B128" s="169" t="s">
        <v>15</v>
      </c>
      <c r="C128" s="4">
        <v>0.67</v>
      </c>
      <c r="D128" s="191" t="s">
        <v>228</v>
      </c>
      <c r="E128" s="208">
        <v>150</v>
      </c>
      <c r="F128" s="254">
        <f>IF(Tableau14582[[#This Row],[Type]]="Feuillus",11*1.25,15.5*1.25)</f>
        <v>13.75</v>
      </c>
      <c r="G128" s="208">
        <v>10</v>
      </c>
      <c r="M128"/>
      <c r="N128" s="71">
        <v>107</v>
      </c>
      <c r="O128" s="239"/>
      <c r="P128" s="180"/>
      <c r="Q128" s="240">
        <f t="shared" si="23"/>
        <v>940.00249999999994</v>
      </c>
      <c r="R128" s="180">
        <f t="shared" si="16"/>
        <v>19.270051249999998</v>
      </c>
      <c r="S128" s="180">
        <f>$L$11*(1+$L$9)^N128*'Récapitulatif des résultats'!$I$11</f>
        <v>0</v>
      </c>
      <c r="T128" s="241"/>
      <c r="U128" s="180"/>
      <c r="V128" s="249">
        <f t="shared" si="17"/>
        <v>0</v>
      </c>
      <c r="W128" s="188">
        <f>SUM('Chenes+Alisier - f. très forte'!AQ112*'Chenes+Alisier - f. très forte'!$F$21,'Chenes+corm+merisier - f. forte'!AQ112*'Chenes+corm+merisier - f. forte'!$F$21,'Charme - fertil.forte'!AQ112*'Charme - fertil.forte'!$F$21,'Pin maritime - très forte'!AQ112*'Pin maritime - très forte'!$F$21,'P. sylv.+laricio+séquoia -forte'!AQ112*'P. sylv.+laricio+séquoia -forte'!$F$21,'Douglas - fertilité moyenne'!AQ112*'Douglas - fertilité moyenne'!$F$21)</f>
        <v>0</v>
      </c>
      <c r="X128" s="188">
        <f>SUM('Chenes+Alisier - f. très forte'!AR112*'Chenes+Alisier - f. très forte'!$F$21,'Chenes+corm+merisier - f. forte'!AR112*'Chenes+corm+merisier - f. forte'!$F$21,'Charme - fertil.forte'!AR112*'Charme - fertil.forte'!$F$21,'Pin maritime - très forte'!AR112*'Pin maritime - très forte'!$F$21,'P. sylv.+laricio+séquoia -forte'!AR112*'P. sylv.+laricio+séquoia -forte'!$F$21,'Douglas - fertilité moyenne'!AR112*'Douglas - fertilité moyenne'!$F$21)</f>
        <v>0</v>
      </c>
      <c r="Y128" s="188">
        <f>SUM('Chenes+Alisier - f. très forte'!AS112*'Chenes+Alisier - f. très forte'!$F$21,'Chenes+corm+merisier - f. forte'!AS112*'Chenes+corm+merisier - f. forte'!$F$21,'Charme - fertil.forte'!AS112*'Charme - fertil.forte'!$F$21,'Pin maritime - très forte'!AS112*'Pin maritime - très forte'!$F$21,'P. sylv.+laricio+séquoia -forte'!AS112*'P. sylv.+laricio+séquoia -forte'!$F$21,'Douglas - fertilité moyenne'!AS112*'Douglas - fertilité moyenne'!$F$21)</f>
        <v>0</v>
      </c>
      <c r="Z128" s="331">
        <f>SUM('Chenes+Alisier - f. très forte'!AT112*'Chenes+Alisier - f. très forte'!$F$21,'Chenes+corm+merisier - f. forte'!AT112*'Chenes+corm+merisier - f. forte'!$F$21,'Charme - fertil.forte'!AT112*'Charme - fertil.forte'!$F$21,'Pin maritime - très forte'!AT112*'Pin maritime - très forte'!$F$21,'P. sylv.+laricio+séquoia -forte'!AT112*'P. sylv.+laricio+séquoia -forte'!$F$21,'Douglas - fertilité moyenne'!AT112*'Douglas - fertilité moyenne'!$F$21)</f>
        <v>0</v>
      </c>
      <c r="AA128" s="178">
        <f t="shared" si="19"/>
        <v>0</v>
      </c>
      <c r="AB128" s="179">
        <f t="shared" si="18"/>
        <v>0</v>
      </c>
      <c r="AC128" s="178"/>
      <c r="AD128" s="178"/>
    </row>
    <row r="129" spans="2:30">
      <c r="B129" s="169" t="s">
        <v>16</v>
      </c>
      <c r="C129" s="4">
        <v>0.7</v>
      </c>
      <c r="D129" s="191" t="s">
        <v>228</v>
      </c>
      <c r="E129" s="208">
        <v>150</v>
      </c>
      <c r="F129" s="254">
        <f>IF(Tableau14582[[#This Row],[Type]]="Feuillus",11*1.25,15.5*1.25)</f>
        <v>13.75</v>
      </c>
      <c r="G129" s="208">
        <v>10</v>
      </c>
      <c r="M129"/>
      <c r="N129" s="71">
        <v>108</v>
      </c>
      <c r="O129" s="239"/>
      <c r="P129" s="180"/>
      <c r="Q129" s="240">
        <f t="shared" si="23"/>
        <v>940.00249999999994</v>
      </c>
      <c r="R129" s="180">
        <f t="shared" si="16"/>
        <v>19.270051249999998</v>
      </c>
      <c r="S129" s="180">
        <f>$L$11*(1+$L$9)^N129*'Récapitulatif des résultats'!$I$11</f>
        <v>0</v>
      </c>
      <c r="T129" s="241"/>
      <c r="U129" s="180"/>
      <c r="V129" s="249">
        <f t="shared" si="17"/>
        <v>0</v>
      </c>
      <c r="W129" s="188">
        <f>SUM('Chenes+Alisier - f. très forte'!AQ113*'Chenes+Alisier - f. très forte'!$F$21,'Chenes+corm+merisier - f. forte'!AQ113*'Chenes+corm+merisier - f. forte'!$F$21,'Charme - fertil.forte'!AQ113*'Charme - fertil.forte'!$F$21,'Pin maritime - très forte'!AQ113*'Pin maritime - très forte'!$F$21,'P. sylv.+laricio+séquoia -forte'!AQ113*'P. sylv.+laricio+séquoia -forte'!$F$21,'Douglas - fertilité moyenne'!AQ113*'Douglas - fertilité moyenne'!$F$21)</f>
        <v>0</v>
      </c>
      <c r="X129" s="188">
        <f>SUM('Chenes+Alisier - f. très forte'!AR113*'Chenes+Alisier - f. très forte'!$F$21,'Chenes+corm+merisier - f. forte'!AR113*'Chenes+corm+merisier - f. forte'!$F$21,'Charme - fertil.forte'!AR113*'Charme - fertil.forte'!$F$21,'Pin maritime - très forte'!AR113*'Pin maritime - très forte'!$F$21,'P. sylv.+laricio+séquoia -forte'!AR113*'P. sylv.+laricio+séquoia -forte'!$F$21,'Douglas - fertilité moyenne'!AR113*'Douglas - fertilité moyenne'!$F$21)</f>
        <v>0</v>
      </c>
      <c r="Y129" s="188">
        <f>SUM('Chenes+Alisier - f. très forte'!AS113*'Chenes+Alisier - f. très forte'!$F$21,'Chenes+corm+merisier - f. forte'!AS113*'Chenes+corm+merisier - f. forte'!$F$21,'Charme - fertil.forte'!AS113*'Charme - fertil.forte'!$F$21,'Pin maritime - très forte'!AS113*'Pin maritime - très forte'!$F$21,'P. sylv.+laricio+séquoia -forte'!AS113*'P. sylv.+laricio+séquoia -forte'!$F$21,'Douglas - fertilité moyenne'!AS113*'Douglas - fertilité moyenne'!$F$21)</f>
        <v>0</v>
      </c>
      <c r="Z129" s="331">
        <f>SUM('Chenes+Alisier - f. très forte'!AT113*'Chenes+Alisier - f. très forte'!$F$21,'Chenes+corm+merisier - f. forte'!AT113*'Chenes+corm+merisier - f. forte'!$F$21,'Charme - fertil.forte'!AT113*'Charme - fertil.forte'!$F$21,'Pin maritime - très forte'!AT113*'Pin maritime - très forte'!$F$21,'P. sylv.+laricio+séquoia -forte'!AT113*'P. sylv.+laricio+séquoia -forte'!$F$21,'Douglas - fertilité moyenne'!AT113*'Douglas - fertilité moyenne'!$F$21)</f>
        <v>0</v>
      </c>
      <c r="AA129" s="178">
        <f t="shared" si="19"/>
        <v>0</v>
      </c>
      <c r="AB129" s="179">
        <f t="shared" si="18"/>
        <v>0</v>
      </c>
      <c r="AC129" s="178"/>
      <c r="AD129" s="178"/>
    </row>
    <row r="130" spans="2:30">
      <c r="B130" s="169" t="s">
        <v>17</v>
      </c>
      <c r="C130" s="4">
        <v>0.54</v>
      </c>
      <c r="D130" s="191" t="s">
        <v>228</v>
      </c>
      <c r="E130" s="208">
        <v>150</v>
      </c>
      <c r="F130" s="254">
        <f>IF(Tableau14582[[#This Row],[Type]]="Feuillus",11*1.25,15.5*1.25)</f>
        <v>13.75</v>
      </c>
      <c r="G130" s="208">
        <v>10</v>
      </c>
      <c r="M130"/>
      <c r="N130" s="71">
        <v>109</v>
      </c>
      <c r="O130" s="239"/>
      <c r="P130" s="180"/>
      <c r="Q130" s="240">
        <f t="shared" si="23"/>
        <v>940.00249999999994</v>
      </c>
      <c r="R130" s="180">
        <f t="shared" si="16"/>
        <v>19.270051249999998</v>
      </c>
      <c r="S130" s="180">
        <f>$L$11*(1+$L$9)^N130*'Récapitulatif des résultats'!$I$11</f>
        <v>0</v>
      </c>
      <c r="T130" s="241"/>
      <c r="U130" s="180"/>
      <c r="V130" s="249">
        <f t="shared" si="17"/>
        <v>0</v>
      </c>
      <c r="W130" s="188">
        <f>SUM('Chenes+Alisier - f. très forte'!AQ114*'Chenes+Alisier - f. très forte'!$F$21,'Chenes+corm+merisier - f. forte'!AQ114*'Chenes+corm+merisier - f. forte'!$F$21,'Charme - fertil.forte'!AQ114*'Charme - fertil.forte'!$F$21,'Pin maritime - très forte'!AQ114*'Pin maritime - très forte'!$F$21,'P. sylv.+laricio+séquoia -forte'!AQ114*'P. sylv.+laricio+séquoia -forte'!$F$21,'Douglas - fertilité moyenne'!AQ114*'Douglas - fertilité moyenne'!$F$21)</f>
        <v>0</v>
      </c>
      <c r="X130" s="188">
        <f>SUM('Chenes+Alisier - f. très forte'!AR114*'Chenes+Alisier - f. très forte'!$F$21,'Chenes+corm+merisier - f. forte'!AR114*'Chenes+corm+merisier - f. forte'!$F$21,'Charme - fertil.forte'!AR114*'Charme - fertil.forte'!$F$21,'Pin maritime - très forte'!AR114*'Pin maritime - très forte'!$F$21,'P. sylv.+laricio+séquoia -forte'!AR114*'P. sylv.+laricio+séquoia -forte'!$F$21,'Douglas - fertilité moyenne'!AR114*'Douglas - fertilité moyenne'!$F$21)</f>
        <v>0</v>
      </c>
      <c r="Y130" s="188">
        <f>SUM('Chenes+Alisier - f. très forte'!AS114*'Chenes+Alisier - f. très forte'!$F$21,'Chenes+corm+merisier - f. forte'!AS114*'Chenes+corm+merisier - f. forte'!$F$21,'Charme - fertil.forte'!AS114*'Charme - fertil.forte'!$F$21,'Pin maritime - très forte'!AS114*'Pin maritime - très forte'!$F$21,'P. sylv.+laricio+séquoia -forte'!AS114*'P. sylv.+laricio+séquoia -forte'!$F$21,'Douglas - fertilité moyenne'!AS114*'Douglas - fertilité moyenne'!$F$21)</f>
        <v>0</v>
      </c>
      <c r="Z130" s="331">
        <f>SUM('Chenes+Alisier - f. très forte'!AT114*'Chenes+Alisier - f. très forte'!$F$21,'Chenes+corm+merisier - f. forte'!AT114*'Chenes+corm+merisier - f. forte'!$F$21,'Charme - fertil.forte'!AT114*'Charme - fertil.forte'!$F$21,'Pin maritime - très forte'!AT114*'Pin maritime - très forte'!$F$21,'P. sylv.+laricio+séquoia -forte'!AT114*'P. sylv.+laricio+séquoia -forte'!$F$21,'Douglas - fertilité moyenne'!AT114*'Douglas - fertilité moyenne'!$F$21)</f>
        <v>0</v>
      </c>
      <c r="AA130" s="178">
        <f t="shared" si="19"/>
        <v>0</v>
      </c>
      <c r="AB130" s="179">
        <f t="shared" si="18"/>
        <v>0</v>
      </c>
      <c r="AC130" s="178"/>
      <c r="AD130" s="178"/>
    </row>
    <row r="131" spans="2:30">
      <c r="B131" s="169" t="s">
        <v>18</v>
      </c>
      <c r="C131" s="4">
        <v>0.65</v>
      </c>
      <c r="D131" s="191" t="s">
        <v>228</v>
      </c>
      <c r="E131" s="208">
        <v>150</v>
      </c>
      <c r="F131" s="254">
        <f>IF(Tableau14582[[#This Row],[Type]]="Feuillus",11*1.25,15.5*1.25)</f>
        <v>13.75</v>
      </c>
      <c r="G131" s="208">
        <v>10</v>
      </c>
      <c r="M131"/>
      <c r="N131" s="71">
        <v>110</v>
      </c>
      <c r="O131" s="239"/>
      <c r="P131" s="180"/>
      <c r="Q131" s="240">
        <f t="shared" si="23"/>
        <v>940.00249999999994</v>
      </c>
      <c r="R131" s="180">
        <f t="shared" si="16"/>
        <v>19.270051249999998</v>
      </c>
      <c r="S131" s="180">
        <f>$L$11*(1+$L$9)^N131*'Récapitulatif des résultats'!$I$11</f>
        <v>0</v>
      </c>
      <c r="T131" s="241"/>
      <c r="U131" s="180"/>
      <c r="V131" s="249">
        <f t="shared" si="17"/>
        <v>0</v>
      </c>
      <c r="W131" s="188">
        <f>SUM('Chenes+Alisier - f. très forte'!AQ115*'Chenes+Alisier - f. très forte'!$F$21,'Chenes+corm+merisier - f. forte'!AQ115*'Chenes+corm+merisier - f. forte'!$F$21,'Charme - fertil.forte'!AQ115*'Charme - fertil.forte'!$F$21,'Pin maritime - très forte'!AQ115*'Pin maritime - très forte'!$F$21,'P. sylv.+laricio+séquoia -forte'!AQ115*'P. sylv.+laricio+séquoia -forte'!$F$21,'Douglas - fertilité moyenne'!AQ115*'Douglas - fertilité moyenne'!$F$21)</f>
        <v>0</v>
      </c>
      <c r="X131" s="188">
        <f>SUM('Chenes+Alisier - f. très forte'!AR115*'Chenes+Alisier - f. très forte'!$F$21,'Chenes+corm+merisier - f. forte'!AR115*'Chenes+corm+merisier - f. forte'!$F$21,'Charme - fertil.forte'!AR115*'Charme - fertil.forte'!$F$21,'Pin maritime - très forte'!AR115*'Pin maritime - très forte'!$F$21,'P. sylv.+laricio+séquoia -forte'!AR115*'P. sylv.+laricio+séquoia -forte'!$F$21,'Douglas - fertilité moyenne'!AR115*'Douglas - fertilité moyenne'!$F$21)</f>
        <v>0</v>
      </c>
      <c r="Y131" s="188">
        <f>SUM('Chenes+Alisier - f. très forte'!AS115*'Chenes+Alisier - f. très forte'!$F$21,'Chenes+corm+merisier - f. forte'!AS115*'Chenes+corm+merisier - f. forte'!$F$21,'Charme - fertil.forte'!AS115*'Charme - fertil.forte'!$F$21,'Pin maritime - très forte'!AS115*'Pin maritime - très forte'!$F$21,'P. sylv.+laricio+séquoia -forte'!AS115*'P. sylv.+laricio+séquoia -forte'!$F$21,'Douglas - fertilité moyenne'!AS115*'Douglas - fertilité moyenne'!$F$21)</f>
        <v>0</v>
      </c>
      <c r="Z131" s="331">
        <f>SUM('Chenes+Alisier - f. très forte'!AT115*'Chenes+Alisier - f. très forte'!$F$21,'Chenes+corm+merisier - f. forte'!AT115*'Chenes+corm+merisier - f. forte'!$F$21,'Charme - fertil.forte'!AT115*'Charme - fertil.forte'!$F$21,'Pin maritime - très forte'!AT115*'Pin maritime - très forte'!$F$21,'P. sylv.+laricio+séquoia -forte'!AT115*'P. sylv.+laricio+séquoia -forte'!$F$21,'Douglas - fertilité moyenne'!AT115*'Douglas - fertilité moyenne'!$F$21)</f>
        <v>0</v>
      </c>
      <c r="AA131" s="178">
        <f t="shared" si="19"/>
        <v>0</v>
      </c>
      <c r="AB131" s="179">
        <f t="shared" si="18"/>
        <v>0</v>
      </c>
      <c r="AC131" s="178"/>
      <c r="AD131" s="178"/>
    </row>
    <row r="132" spans="2:30">
      <c r="B132" s="169" t="s">
        <v>19</v>
      </c>
      <c r="C132" s="4">
        <v>0.56000000000000005</v>
      </c>
      <c r="D132" s="191" t="s">
        <v>228</v>
      </c>
      <c r="E132" s="208">
        <v>150</v>
      </c>
      <c r="F132" s="254">
        <f>IF(Tableau14582[[#This Row],[Type]]="Feuillus",11*1.25,15.5*1.25)</f>
        <v>13.75</v>
      </c>
      <c r="G132" s="208">
        <v>10</v>
      </c>
      <c r="M132"/>
      <c r="N132" s="71">
        <v>111</v>
      </c>
      <c r="O132" s="239"/>
      <c r="P132" s="180"/>
      <c r="Q132" s="240">
        <f t="shared" si="23"/>
        <v>940.00249999999994</v>
      </c>
      <c r="R132" s="180">
        <f t="shared" si="16"/>
        <v>19.270051249999998</v>
      </c>
      <c r="S132" s="180">
        <f>$L$11*(1+$L$9)^N132*'Récapitulatif des résultats'!$I$11</f>
        <v>0</v>
      </c>
      <c r="T132" s="241"/>
      <c r="U132" s="180"/>
      <c r="V132" s="249">
        <f t="shared" si="17"/>
        <v>0</v>
      </c>
      <c r="W132" s="188">
        <f>SUM('Chenes+Alisier - f. très forte'!AQ116*'Chenes+Alisier - f. très forte'!$F$21,'Chenes+corm+merisier - f. forte'!AQ116*'Chenes+corm+merisier - f. forte'!$F$21,'Charme - fertil.forte'!AQ116*'Charme - fertil.forte'!$F$21,'Pin maritime - très forte'!AQ116*'Pin maritime - très forte'!$F$21,'P. sylv.+laricio+séquoia -forte'!AQ116*'P. sylv.+laricio+séquoia -forte'!$F$21,'Douglas - fertilité moyenne'!AQ116*'Douglas - fertilité moyenne'!$F$21)</f>
        <v>0</v>
      </c>
      <c r="X132" s="188">
        <f>SUM('Chenes+Alisier - f. très forte'!AR116*'Chenes+Alisier - f. très forte'!$F$21,'Chenes+corm+merisier - f. forte'!AR116*'Chenes+corm+merisier - f. forte'!$F$21,'Charme - fertil.forte'!AR116*'Charme - fertil.forte'!$F$21,'Pin maritime - très forte'!AR116*'Pin maritime - très forte'!$F$21,'P. sylv.+laricio+séquoia -forte'!AR116*'P. sylv.+laricio+séquoia -forte'!$F$21,'Douglas - fertilité moyenne'!AR116*'Douglas - fertilité moyenne'!$F$21)</f>
        <v>0</v>
      </c>
      <c r="Y132" s="188">
        <f>SUM('Chenes+Alisier - f. très forte'!AS116*'Chenes+Alisier - f. très forte'!$F$21,'Chenes+corm+merisier - f. forte'!AS116*'Chenes+corm+merisier - f. forte'!$F$21,'Charme - fertil.forte'!AS116*'Charme - fertil.forte'!$F$21,'Pin maritime - très forte'!AS116*'Pin maritime - très forte'!$F$21,'P. sylv.+laricio+séquoia -forte'!AS116*'P. sylv.+laricio+séquoia -forte'!$F$21,'Douglas - fertilité moyenne'!AS116*'Douglas - fertilité moyenne'!$F$21)</f>
        <v>0</v>
      </c>
      <c r="Z132" s="331">
        <f>SUM('Chenes+Alisier - f. très forte'!AT116*'Chenes+Alisier - f. très forte'!$F$21,'Chenes+corm+merisier - f. forte'!AT116*'Chenes+corm+merisier - f. forte'!$F$21,'Charme - fertil.forte'!AT116*'Charme - fertil.forte'!$F$21,'Pin maritime - très forte'!AT116*'Pin maritime - très forte'!$F$21,'P. sylv.+laricio+séquoia -forte'!AT116*'P. sylv.+laricio+séquoia -forte'!$F$21,'Douglas - fertilité moyenne'!AT116*'Douglas - fertilité moyenne'!$F$21)</f>
        <v>0</v>
      </c>
      <c r="AA132" s="178">
        <f t="shared" si="19"/>
        <v>0</v>
      </c>
      <c r="AB132" s="179">
        <f t="shared" si="18"/>
        <v>0</v>
      </c>
      <c r="AC132" s="178"/>
      <c r="AD132" s="178"/>
    </row>
    <row r="133" spans="2:30">
      <c r="B133" s="169" t="s">
        <v>20</v>
      </c>
      <c r="C133" s="4">
        <v>0.57999999999999996</v>
      </c>
      <c r="D133" s="191" t="s">
        <v>228</v>
      </c>
      <c r="E133" s="208">
        <v>150</v>
      </c>
      <c r="F133" s="254">
        <f>IF(Tableau14582[[#This Row],[Type]]="Feuillus",11*1.25,15.5*1.25)</f>
        <v>13.75</v>
      </c>
      <c r="G133" s="208">
        <v>10</v>
      </c>
      <c r="M133"/>
      <c r="N133" s="71">
        <v>112</v>
      </c>
      <c r="O133" s="239"/>
      <c r="P133" s="180"/>
      <c r="Q133" s="240">
        <f t="shared" si="23"/>
        <v>940.00249999999994</v>
      </c>
      <c r="R133" s="180">
        <f t="shared" si="16"/>
        <v>19.270051249999998</v>
      </c>
      <c r="S133" s="180">
        <f>$L$11*(1+$L$9)^N133*'Récapitulatif des résultats'!$I$11</f>
        <v>0</v>
      </c>
      <c r="T133" s="241"/>
      <c r="U133" s="180"/>
      <c r="V133" s="249">
        <f t="shared" si="17"/>
        <v>0</v>
      </c>
      <c r="W133" s="188">
        <f>SUM('Chenes+Alisier - f. très forte'!AQ117*'Chenes+Alisier - f. très forte'!$F$21,'Chenes+corm+merisier - f. forte'!AQ117*'Chenes+corm+merisier - f. forte'!$F$21,'Charme - fertil.forte'!AQ117*'Charme - fertil.forte'!$F$21,'Pin maritime - très forte'!AQ117*'Pin maritime - très forte'!$F$21,'P. sylv.+laricio+séquoia -forte'!AQ117*'P. sylv.+laricio+séquoia -forte'!$F$21,'Douglas - fertilité moyenne'!AQ117*'Douglas - fertilité moyenne'!$F$21)</f>
        <v>0</v>
      </c>
      <c r="X133" s="188">
        <f>SUM('Chenes+Alisier - f. très forte'!AR117*'Chenes+Alisier - f. très forte'!$F$21,'Chenes+corm+merisier - f. forte'!AR117*'Chenes+corm+merisier - f. forte'!$F$21,'Charme - fertil.forte'!AR117*'Charme - fertil.forte'!$F$21,'Pin maritime - très forte'!AR117*'Pin maritime - très forte'!$F$21,'P. sylv.+laricio+séquoia -forte'!AR117*'P. sylv.+laricio+séquoia -forte'!$F$21,'Douglas - fertilité moyenne'!AR117*'Douglas - fertilité moyenne'!$F$21)</f>
        <v>0</v>
      </c>
      <c r="Y133" s="188">
        <f>SUM('Chenes+Alisier - f. très forte'!AS117*'Chenes+Alisier - f. très forte'!$F$21,'Chenes+corm+merisier - f. forte'!AS117*'Chenes+corm+merisier - f. forte'!$F$21,'Charme - fertil.forte'!AS117*'Charme - fertil.forte'!$F$21,'Pin maritime - très forte'!AS117*'Pin maritime - très forte'!$F$21,'P. sylv.+laricio+séquoia -forte'!AS117*'P. sylv.+laricio+séquoia -forte'!$F$21,'Douglas - fertilité moyenne'!AS117*'Douglas - fertilité moyenne'!$F$21)</f>
        <v>0</v>
      </c>
      <c r="Z133" s="331">
        <f>SUM('Chenes+Alisier - f. très forte'!AT117*'Chenes+Alisier - f. très forte'!$F$21,'Chenes+corm+merisier - f. forte'!AT117*'Chenes+corm+merisier - f. forte'!$F$21,'Charme - fertil.forte'!AT117*'Charme - fertil.forte'!$F$21,'Pin maritime - très forte'!AT117*'Pin maritime - très forte'!$F$21,'P. sylv.+laricio+séquoia -forte'!AT117*'P. sylv.+laricio+séquoia -forte'!$F$21,'Douglas - fertilité moyenne'!AT117*'Douglas - fertilité moyenne'!$F$21)</f>
        <v>0</v>
      </c>
      <c r="AA133" s="178">
        <f t="shared" si="19"/>
        <v>0</v>
      </c>
      <c r="AB133" s="179">
        <f t="shared" si="18"/>
        <v>0</v>
      </c>
      <c r="AC133" s="178"/>
      <c r="AD133" s="178"/>
    </row>
    <row r="134" spans="2:30">
      <c r="B134" s="169" t="s">
        <v>21</v>
      </c>
      <c r="C134" s="4">
        <v>0.64</v>
      </c>
      <c r="D134" s="191" t="s">
        <v>228</v>
      </c>
      <c r="E134" s="208">
        <v>150</v>
      </c>
      <c r="F134" s="254">
        <f>IF(Tableau14582[[#This Row],[Type]]="Feuillus",11*1.25,15.5*1.25)</f>
        <v>13.75</v>
      </c>
      <c r="G134" s="208">
        <v>10</v>
      </c>
      <c r="M134"/>
      <c r="N134" s="71">
        <v>113</v>
      </c>
      <c r="O134" s="239"/>
      <c r="P134" s="180"/>
      <c r="Q134" s="240">
        <f t="shared" si="23"/>
        <v>940.00249999999994</v>
      </c>
      <c r="R134" s="180">
        <f t="shared" si="16"/>
        <v>19.270051249999998</v>
      </c>
      <c r="S134" s="180">
        <f>$L$11*(1+$L$9)^N134*'Récapitulatif des résultats'!$I$11</f>
        <v>0</v>
      </c>
      <c r="T134" s="241"/>
      <c r="U134" s="180"/>
      <c r="V134" s="249">
        <f t="shared" si="17"/>
        <v>0</v>
      </c>
      <c r="W134" s="188">
        <f>SUM('Chenes+Alisier - f. très forte'!AQ118*'Chenes+Alisier - f. très forte'!$F$21,'Chenes+corm+merisier - f. forte'!AQ118*'Chenes+corm+merisier - f. forte'!$F$21,'Charme - fertil.forte'!AQ118*'Charme - fertil.forte'!$F$21,'Pin maritime - très forte'!AQ118*'Pin maritime - très forte'!$F$21,'P. sylv.+laricio+séquoia -forte'!AQ118*'P. sylv.+laricio+séquoia -forte'!$F$21,'Douglas - fertilité moyenne'!AQ118*'Douglas - fertilité moyenne'!$F$21)</f>
        <v>0</v>
      </c>
      <c r="X134" s="188">
        <f>SUM('Chenes+Alisier - f. très forte'!AR118*'Chenes+Alisier - f. très forte'!$F$21,'Chenes+corm+merisier - f. forte'!AR118*'Chenes+corm+merisier - f. forte'!$F$21,'Charme - fertil.forte'!AR118*'Charme - fertil.forte'!$F$21,'Pin maritime - très forte'!AR118*'Pin maritime - très forte'!$F$21,'P. sylv.+laricio+séquoia -forte'!AR118*'P. sylv.+laricio+séquoia -forte'!$F$21,'Douglas - fertilité moyenne'!AR118*'Douglas - fertilité moyenne'!$F$21)</f>
        <v>0</v>
      </c>
      <c r="Y134" s="188">
        <f>SUM('Chenes+Alisier - f. très forte'!AS118*'Chenes+Alisier - f. très forte'!$F$21,'Chenes+corm+merisier - f. forte'!AS118*'Chenes+corm+merisier - f. forte'!$F$21,'Charme - fertil.forte'!AS118*'Charme - fertil.forte'!$F$21,'Pin maritime - très forte'!AS118*'Pin maritime - très forte'!$F$21,'P. sylv.+laricio+séquoia -forte'!AS118*'P. sylv.+laricio+séquoia -forte'!$F$21,'Douglas - fertilité moyenne'!AS118*'Douglas - fertilité moyenne'!$F$21)</f>
        <v>0</v>
      </c>
      <c r="Z134" s="331">
        <f>SUM('Chenes+Alisier - f. très forte'!AT118*'Chenes+Alisier - f. très forte'!$F$21,'Chenes+corm+merisier - f. forte'!AT118*'Chenes+corm+merisier - f. forte'!$F$21,'Charme - fertil.forte'!AT118*'Charme - fertil.forte'!$F$21,'Pin maritime - très forte'!AT118*'Pin maritime - très forte'!$F$21,'P. sylv.+laricio+séquoia -forte'!AT118*'P. sylv.+laricio+séquoia -forte'!$F$21,'Douglas - fertilité moyenne'!AT118*'Douglas - fertilité moyenne'!$F$21)</f>
        <v>0</v>
      </c>
      <c r="AA134" s="178">
        <f t="shared" si="19"/>
        <v>0</v>
      </c>
      <c r="AB134" s="179">
        <f t="shared" si="18"/>
        <v>0</v>
      </c>
      <c r="AC134" s="178"/>
      <c r="AD134" s="178"/>
    </row>
    <row r="135" spans="2:30">
      <c r="B135" s="169" t="s">
        <v>22</v>
      </c>
      <c r="C135" s="4">
        <v>0.73</v>
      </c>
      <c r="D135" s="191" t="s">
        <v>228</v>
      </c>
      <c r="E135" s="208">
        <v>150</v>
      </c>
      <c r="F135" s="254">
        <f>IF(Tableau14582[[#This Row],[Type]]="Feuillus",11*1.25,15.5*1.25)</f>
        <v>13.75</v>
      </c>
      <c r="G135" s="208">
        <v>10</v>
      </c>
      <c r="M135"/>
      <c r="N135" s="71">
        <v>114</v>
      </c>
      <c r="O135" s="239"/>
      <c r="P135" s="180"/>
      <c r="Q135" s="240">
        <f t="shared" si="23"/>
        <v>940.00249999999994</v>
      </c>
      <c r="R135" s="180">
        <f t="shared" si="16"/>
        <v>19.270051249999998</v>
      </c>
      <c r="S135" s="180">
        <f>$L$11*(1+$L$9)^N135*'Récapitulatif des résultats'!$I$11</f>
        <v>0</v>
      </c>
      <c r="T135" s="241"/>
      <c r="U135" s="180"/>
      <c r="V135" s="249">
        <f t="shared" si="17"/>
        <v>0</v>
      </c>
      <c r="W135" s="188">
        <f>SUM('Chenes+Alisier - f. très forte'!AQ119*'Chenes+Alisier - f. très forte'!$F$21,'Chenes+corm+merisier - f. forte'!AQ119*'Chenes+corm+merisier - f. forte'!$F$21,'Charme - fertil.forte'!AQ119*'Charme - fertil.forte'!$F$21,'Pin maritime - très forte'!AQ119*'Pin maritime - très forte'!$F$21,'P. sylv.+laricio+séquoia -forte'!AQ119*'P. sylv.+laricio+séquoia -forte'!$F$21,'Douglas - fertilité moyenne'!AQ119*'Douglas - fertilité moyenne'!$F$21)</f>
        <v>0</v>
      </c>
      <c r="X135" s="188">
        <f>SUM('Chenes+Alisier - f. très forte'!AR119*'Chenes+Alisier - f. très forte'!$F$21,'Chenes+corm+merisier - f. forte'!AR119*'Chenes+corm+merisier - f. forte'!$F$21,'Charme - fertil.forte'!AR119*'Charme - fertil.forte'!$F$21,'Pin maritime - très forte'!AR119*'Pin maritime - très forte'!$F$21,'P. sylv.+laricio+séquoia -forte'!AR119*'P. sylv.+laricio+séquoia -forte'!$F$21,'Douglas - fertilité moyenne'!AR119*'Douglas - fertilité moyenne'!$F$21)</f>
        <v>0</v>
      </c>
      <c r="Y135" s="188">
        <f>SUM('Chenes+Alisier - f. très forte'!AS119*'Chenes+Alisier - f. très forte'!$F$21,'Chenes+corm+merisier - f. forte'!AS119*'Chenes+corm+merisier - f. forte'!$F$21,'Charme - fertil.forte'!AS119*'Charme - fertil.forte'!$F$21,'Pin maritime - très forte'!AS119*'Pin maritime - très forte'!$F$21,'P. sylv.+laricio+séquoia -forte'!AS119*'P. sylv.+laricio+séquoia -forte'!$F$21,'Douglas - fertilité moyenne'!AS119*'Douglas - fertilité moyenne'!$F$21)</f>
        <v>0</v>
      </c>
      <c r="Z135" s="331">
        <f>SUM('Chenes+Alisier - f. très forte'!AT119*'Chenes+Alisier - f. très forte'!$F$21,'Chenes+corm+merisier - f. forte'!AT119*'Chenes+corm+merisier - f. forte'!$F$21,'Charme - fertil.forte'!AT119*'Charme - fertil.forte'!$F$21,'Pin maritime - très forte'!AT119*'Pin maritime - très forte'!$F$21,'P. sylv.+laricio+séquoia -forte'!AT119*'P. sylv.+laricio+séquoia -forte'!$F$21,'Douglas - fertilité moyenne'!AT119*'Douglas - fertilité moyenne'!$F$21)</f>
        <v>0</v>
      </c>
      <c r="AA135" s="178">
        <f t="shared" si="19"/>
        <v>0</v>
      </c>
      <c r="AB135" s="179">
        <f t="shared" si="18"/>
        <v>0</v>
      </c>
      <c r="AC135" s="178"/>
      <c r="AD135" s="178"/>
    </row>
    <row r="136" spans="2:30">
      <c r="B136" s="169" t="s">
        <v>23</v>
      </c>
      <c r="C136" s="4">
        <v>0.56000000000000005</v>
      </c>
      <c r="D136" s="191" t="s">
        <v>228</v>
      </c>
      <c r="E136" s="208">
        <v>150</v>
      </c>
      <c r="F136" s="254">
        <f>IF(Tableau14582[[#This Row],[Type]]="Feuillus",11*1.25,15.5*1.25)</f>
        <v>13.75</v>
      </c>
      <c r="G136" s="208">
        <v>10</v>
      </c>
      <c r="M136"/>
      <c r="N136" s="71">
        <v>115</v>
      </c>
      <c r="O136" s="239"/>
      <c r="P136" s="180"/>
      <c r="Q136" s="240">
        <f t="shared" si="23"/>
        <v>940.00249999999994</v>
      </c>
      <c r="R136" s="180">
        <f t="shared" si="16"/>
        <v>19.270051249999998</v>
      </c>
      <c r="S136" s="180">
        <f>$L$11*(1+$L$9)^N136*'Récapitulatif des résultats'!$I$11</f>
        <v>0</v>
      </c>
      <c r="T136" s="241"/>
      <c r="U136" s="180"/>
      <c r="V136" s="249">
        <f t="shared" si="17"/>
        <v>0</v>
      </c>
      <c r="W136" s="188">
        <f>SUM('Chenes+Alisier - f. très forte'!AQ120*'Chenes+Alisier - f. très forte'!$F$21,'Chenes+corm+merisier - f. forte'!AQ120*'Chenes+corm+merisier - f. forte'!$F$21,'Charme - fertil.forte'!AQ120*'Charme - fertil.forte'!$F$21,'Pin maritime - très forte'!AQ120*'Pin maritime - très forte'!$F$21,'P. sylv.+laricio+séquoia -forte'!AQ120*'P. sylv.+laricio+séquoia -forte'!$F$21,'Douglas - fertilité moyenne'!AQ120*'Douglas - fertilité moyenne'!$F$21)</f>
        <v>0</v>
      </c>
      <c r="X136" s="188">
        <f>SUM('Chenes+Alisier - f. très forte'!AR120*'Chenes+Alisier - f. très forte'!$F$21,'Chenes+corm+merisier - f. forte'!AR120*'Chenes+corm+merisier - f. forte'!$F$21,'Charme - fertil.forte'!AR120*'Charme - fertil.forte'!$F$21,'Pin maritime - très forte'!AR120*'Pin maritime - très forte'!$F$21,'P. sylv.+laricio+séquoia -forte'!AR120*'P. sylv.+laricio+séquoia -forte'!$F$21,'Douglas - fertilité moyenne'!AR120*'Douglas - fertilité moyenne'!$F$21)</f>
        <v>0</v>
      </c>
      <c r="Y136" s="188">
        <f>SUM('Chenes+Alisier - f. très forte'!AS120*'Chenes+Alisier - f. très forte'!$F$21,'Chenes+corm+merisier - f. forte'!AS120*'Chenes+corm+merisier - f. forte'!$F$21,'Charme - fertil.forte'!AS120*'Charme - fertil.forte'!$F$21,'Pin maritime - très forte'!AS120*'Pin maritime - très forte'!$F$21,'P. sylv.+laricio+séquoia -forte'!AS120*'P. sylv.+laricio+séquoia -forte'!$F$21,'Douglas - fertilité moyenne'!AS120*'Douglas - fertilité moyenne'!$F$21)</f>
        <v>0</v>
      </c>
      <c r="Z136" s="331">
        <f>SUM('Chenes+Alisier - f. très forte'!AT120*'Chenes+Alisier - f. très forte'!$F$21,'Chenes+corm+merisier - f. forte'!AT120*'Chenes+corm+merisier - f. forte'!$F$21,'Charme - fertil.forte'!AT120*'Charme - fertil.forte'!$F$21,'Pin maritime - très forte'!AT120*'Pin maritime - très forte'!$F$21,'P. sylv.+laricio+séquoia -forte'!AT120*'P. sylv.+laricio+séquoia -forte'!$F$21,'Douglas - fertilité moyenne'!AT120*'Douglas - fertilité moyenne'!$F$21)</f>
        <v>0</v>
      </c>
      <c r="AA136" s="178">
        <f t="shared" si="19"/>
        <v>0</v>
      </c>
      <c r="AB136" s="179">
        <f t="shared" si="18"/>
        <v>0</v>
      </c>
      <c r="AC136" s="178"/>
      <c r="AD136" s="178"/>
    </row>
    <row r="137" spans="2:30">
      <c r="B137" s="169" t="s">
        <v>24</v>
      </c>
      <c r="C137" s="4">
        <v>0.74</v>
      </c>
      <c r="D137" s="191" t="s">
        <v>228</v>
      </c>
      <c r="E137" s="208">
        <v>300</v>
      </c>
      <c r="F137" s="254">
        <f>IF(Tableau14582[[#This Row],[Type]]="Feuillus",11*1.25,15.5*1.25)</f>
        <v>13.75</v>
      </c>
      <c r="G137" s="208">
        <v>10</v>
      </c>
      <c r="M137"/>
      <c r="N137" s="71">
        <v>116</v>
      </c>
      <c r="O137" s="239"/>
      <c r="P137" s="180"/>
      <c r="Q137" s="240">
        <f t="shared" si="23"/>
        <v>940.00249999999994</v>
      </c>
      <c r="R137" s="180">
        <f t="shared" si="16"/>
        <v>19.270051249999998</v>
      </c>
      <c r="S137" s="180">
        <f>$L$11*(1+$L$9)^N137*'Récapitulatif des résultats'!$I$11</f>
        <v>0</v>
      </c>
      <c r="T137" s="241"/>
      <c r="U137" s="180"/>
      <c r="V137" s="249">
        <f t="shared" si="17"/>
        <v>0</v>
      </c>
      <c r="W137" s="188">
        <f>SUM('Chenes+Alisier - f. très forte'!AQ121*'Chenes+Alisier - f. très forte'!$F$21,'Chenes+corm+merisier - f. forte'!AQ121*'Chenes+corm+merisier - f. forte'!$F$21,'Charme - fertil.forte'!AQ121*'Charme - fertil.forte'!$F$21,'Pin maritime - très forte'!AQ121*'Pin maritime - très forte'!$F$21,'P. sylv.+laricio+séquoia -forte'!AQ121*'P. sylv.+laricio+séquoia -forte'!$F$21,'Douglas - fertilité moyenne'!AQ121*'Douglas - fertilité moyenne'!$F$21)</f>
        <v>0</v>
      </c>
      <c r="X137" s="188">
        <f>SUM('Chenes+Alisier - f. très forte'!AR121*'Chenes+Alisier - f. très forte'!$F$21,'Chenes+corm+merisier - f. forte'!AR121*'Chenes+corm+merisier - f. forte'!$F$21,'Charme - fertil.forte'!AR121*'Charme - fertil.forte'!$F$21,'Pin maritime - très forte'!AR121*'Pin maritime - très forte'!$F$21,'P. sylv.+laricio+séquoia -forte'!AR121*'P. sylv.+laricio+séquoia -forte'!$F$21,'Douglas - fertilité moyenne'!AR121*'Douglas - fertilité moyenne'!$F$21)</f>
        <v>0</v>
      </c>
      <c r="Y137" s="188">
        <f>SUM('Chenes+Alisier - f. très forte'!AS121*'Chenes+Alisier - f. très forte'!$F$21,'Chenes+corm+merisier - f. forte'!AS121*'Chenes+corm+merisier - f. forte'!$F$21,'Charme - fertil.forte'!AS121*'Charme - fertil.forte'!$F$21,'Pin maritime - très forte'!AS121*'Pin maritime - très forte'!$F$21,'P. sylv.+laricio+séquoia -forte'!AS121*'P. sylv.+laricio+séquoia -forte'!$F$21,'Douglas - fertilité moyenne'!AS121*'Douglas - fertilité moyenne'!$F$21)</f>
        <v>0</v>
      </c>
      <c r="Z137" s="331">
        <f>SUM('Chenes+Alisier - f. très forte'!AT121*'Chenes+Alisier - f. très forte'!$F$21,'Chenes+corm+merisier - f. forte'!AT121*'Chenes+corm+merisier - f. forte'!$F$21,'Charme - fertil.forte'!AT121*'Charme - fertil.forte'!$F$21,'Pin maritime - très forte'!AT121*'Pin maritime - très forte'!$F$21,'P. sylv.+laricio+séquoia -forte'!AT121*'P. sylv.+laricio+séquoia -forte'!$F$21,'Douglas - fertilité moyenne'!AT121*'Douglas - fertilité moyenne'!$F$21)</f>
        <v>0</v>
      </c>
      <c r="AA137" s="178">
        <f t="shared" si="19"/>
        <v>0</v>
      </c>
      <c r="AB137" s="179">
        <f t="shared" si="18"/>
        <v>0</v>
      </c>
      <c r="AC137" s="178"/>
      <c r="AD137" s="178"/>
    </row>
    <row r="138" spans="2:30">
      <c r="B138" s="169" t="s">
        <v>25</v>
      </c>
      <c r="C138" s="4">
        <v>0.4</v>
      </c>
      <c r="D138" s="191" t="s">
        <v>229</v>
      </c>
      <c r="E138" s="255">
        <v>30</v>
      </c>
      <c r="F138" s="254">
        <f>IF(Tableau14582[[#This Row],[Type]]="Feuillus",11*1.25,15.5*1.25)</f>
        <v>19.375</v>
      </c>
      <c r="G138" s="208">
        <v>10</v>
      </c>
      <c r="M138"/>
      <c r="N138" s="71">
        <v>117</v>
      </c>
      <c r="O138" s="239"/>
      <c r="P138" s="180"/>
      <c r="Q138" s="240">
        <f t="shared" si="23"/>
        <v>940.00249999999994</v>
      </c>
      <c r="R138" s="180">
        <f t="shared" si="16"/>
        <v>19.270051249999998</v>
      </c>
      <c r="S138" s="180">
        <f>$L$11*(1+$L$9)^N138*'Récapitulatif des résultats'!$I$11</f>
        <v>0</v>
      </c>
      <c r="T138" s="241"/>
      <c r="U138" s="180"/>
      <c r="V138" s="249">
        <f t="shared" si="17"/>
        <v>0</v>
      </c>
      <c r="W138" s="188">
        <f>SUM('Chenes+Alisier - f. très forte'!AQ122*'Chenes+Alisier - f. très forte'!$F$21,'Chenes+corm+merisier - f. forte'!AQ122*'Chenes+corm+merisier - f. forte'!$F$21,'Charme - fertil.forte'!AQ122*'Charme - fertil.forte'!$F$21,'Pin maritime - très forte'!AQ122*'Pin maritime - très forte'!$F$21,'P. sylv.+laricio+séquoia -forte'!AQ122*'P. sylv.+laricio+séquoia -forte'!$F$21,'Douglas - fertilité moyenne'!AQ122*'Douglas - fertilité moyenne'!$F$21)</f>
        <v>0</v>
      </c>
      <c r="X138" s="188">
        <f>SUM('Chenes+Alisier - f. très forte'!AR122*'Chenes+Alisier - f. très forte'!$F$21,'Chenes+corm+merisier - f. forte'!AR122*'Chenes+corm+merisier - f. forte'!$F$21,'Charme - fertil.forte'!AR122*'Charme - fertil.forte'!$F$21,'Pin maritime - très forte'!AR122*'Pin maritime - très forte'!$F$21,'P. sylv.+laricio+séquoia -forte'!AR122*'P. sylv.+laricio+séquoia -forte'!$F$21,'Douglas - fertilité moyenne'!AR122*'Douglas - fertilité moyenne'!$F$21)</f>
        <v>0</v>
      </c>
      <c r="Y138" s="188">
        <f>SUM('Chenes+Alisier - f. très forte'!AS122*'Chenes+Alisier - f. très forte'!$F$21,'Chenes+corm+merisier - f. forte'!AS122*'Chenes+corm+merisier - f. forte'!$F$21,'Charme - fertil.forte'!AS122*'Charme - fertil.forte'!$F$21,'Pin maritime - très forte'!AS122*'Pin maritime - très forte'!$F$21,'P. sylv.+laricio+séquoia -forte'!AS122*'P. sylv.+laricio+séquoia -forte'!$F$21,'Douglas - fertilité moyenne'!AS122*'Douglas - fertilité moyenne'!$F$21)</f>
        <v>0</v>
      </c>
      <c r="Z138" s="331">
        <f>SUM('Chenes+Alisier - f. très forte'!AT122*'Chenes+Alisier - f. très forte'!$F$21,'Chenes+corm+merisier - f. forte'!AT122*'Chenes+corm+merisier - f. forte'!$F$21,'Charme - fertil.forte'!AT122*'Charme - fertil.forte'!$F$21,'Pin maritime - très forte'!AT122*'Pin maritime - très forte'!$F$21,'P. sylv.+laricio+séquoia -forte'!AT122*'P. sylv.+laricio+séquoia -forte'!$F$21,'Douglas - fertilité moyenne'!AT122*'Douglas - fertilité moyenne'!$F$21)</f>
        <v>0</v>
      </c>
      <c r="AA138" s="178">
        <f t="shared" si="19"/>
        <v>0</v>
      </c>
      <c r="AB138" s="179">
        <f t="shared" si="18"/>
        <v>0</v>
      </c>
      <c r="AC138" s="178"/>
      <c r="AD138" s="178"/>
    </row>
    <row r="139" spans="2:30">
      <c r="B139" s="169" t="s">
        <v>26</v>
      </c>
      <c r="C139" s="4">
        <v>0.6</v>
      </c>
      <c r="D139" s="191" t="s">
        <v>228</v>
      </c>
      <c r="E139" s="208">
        <v>300</v>
      </c>
      <c r="F139" s="254">
        <f>IF(Tableau14582[[#This Row],[Type]]="Feuillus",11*1.25,15.5*1.25)</f>
        <v>13.75</v>
      </c>
      <c r="G139" s="208">
        <v>10</v>
      </c>
      <c r="M139"/>
      <c r="N139" s="71">
        <v>118</v>
      </c>
      <c r="O139" s="239"/>
      <c r="P139" s="180"/>
      <c r="Q139" s="240">
        <f t="shared" si="23"/>
        <v>940.00249999999994</v>
      </c>
      <c r="R139" s="180">
        <f t="shared" si="16"/>
        <v>19.270051249999998</v>
      </c>
      <c r="S139" s="180">
        <f>$L$11*(1+$L$9)^N139*'Récapitulatif des résultats'!$I$11</f>
        <v>0</v>
      </c>
      <c r="T139" s="241"/>
      <c r="U139" s="180"/>
      <c r="V139" s="249">
        <f t="shared" si="17"/>
        <v>0</v>
      </c>
      <c r="W139" s="188">
        <f>SUM('Chenes+Alisier - f. très forte'!AQ123*'Chenes+Alisier - f. très forte'!$F$21,'Chenes+corm+merisier - f. forte'!AQ123*'Chenes+corm+merisier - f. forte'!$F$21,'Charme - fertil.forte'!AQ123*'Charme - fertil.forte'!$F$21,'Pin maritime - très forte'!AQ123*'Pin maritime - très forte'!$F$21,'P. sylv.+laricio+séquoia -forte'!AQ123*'P. sylv.+laricio+séquoia -forte'!$F$21,'Douglas - fertilité moyenne'!AQ123*'Douglas - fertilité moyenne'!$F$21)</f>
        <v>0</v>
      </c>
      <c r="X139" s="188">
        <f>SUM('Chenes+Alisier - f. très forte'!AR123*'Chenes+Alisier - f. très forte'!$F$21,'Chenes+corm+merisier - f. forte'!AR123*'Chenes+corm+merisier - f. forte'!$F$21,'Charme - fertil.forte'!AR123*'Charme - fertil.forte'!$F$21,'Pin maritime - très forte'!AR123*'Pin maritime - très forte'!$F$21,'P. sylv.+laricio+séquoia -forte'!AR123*'P. sylv.+laricio+séquoia -forte'!$F$21,'Douglas - fertilité moyenne'!AR123*'Douglas - fertilité moyenne'!$F$21)</f>
        <v>0</v>
      </c>
      <c r="Y139" s="188">
        <f>SUM('Chenes+Alisier - f. très forte'!AS123*'Chenes+Alisier - f. très forte'!$F$21,'Chenes+corm+merisier - f. forte'!AS123*'Chenes+corm+merisier - f. forte'!$F$21,'Charme - fertil.forte'!AS123*'Charme - fertil.forte'!$F$21,'Pin maritime - très forte'!AS123*'Pin maritime - très forte'!$F$21,'P. sylv.+laricio+séquoia -forte'!AS123*'P. sylv.+laricio+séquoia -forte'!$F$21,'Douglas - fertilité moyenne'!AS123*'Douglas - fertilité moyenne'!$F$21)</f>
        <v>0</v>
      </c>
      <c r="Z139" s="331">
        <f>SUM('Chenes+Alisier - f. très forte'!AT123*'Chenes+Alisier - f. très forte'!$F$21,'Chenes+corm+merisier - f. forte'!AT123*'Chenes+corm+merisier - f. forte'!$F$21,'Charme - fertil.forte'!AT123*'Charme - fertil.forte'!$F$21,'Pin maritime - très forte'!AT123*'Pin maritime - très forte'!$F$21,'P. sylv.+laricio+séquoia -forte'!AT123*'P. sylv.+laricio+séquoia -forte'!$F$21,'Douglas - fertilité moyenne'!AT123*'Douglas - fertilité moyenne'!$F$21)</f>
        <v>0</v>
      </c>
      <c r="AA139" s="178">
        <f t="shared" si="19"/>
        <v>0</v>
      </c>
      <c r="AB139" s="179">
        <f t="shared" si="18"/>
        <v>0</v>
      </c>
      <c r="AC139" s="178"/>
      <c r="AD139" s="178"/>
    </row>
    <row r="140" spans="2:30">
      <c r="B140" s="169" t="s">
        <v>27</v>
      </c>
      <c r="C140" s="4">
        <v>0.43</v>
      </c>
      <c r="D140" s="191" t="s">
        <v>229</v>
      </c>
      <c r="E140" s="208">
        <v>59</v>
      </c>
      <c r="F140" s="254">
        <f>IF(Tableau14582[[#This Row],[Type]]="Feuillus",11*1.25,15.5*1.25)</f>
        <v>19.375</v>
      </c>
      <c r="G140" s="208">
        <v>10</v>
      </c>
      <c r="M140"/>
      <c r="N140" s="71">
        <v>119</v>
      </c>
      <c r="O140" s="239"/>
      <c r="P140" s="180"/>
      <c r="Q140" s="240">
        <f t="shared" si="23"/>
        <v>940.00249999999994</v>
      </c>
      <c r="R140" s="180">
        <f t="shared" si="16"/>
        <v>19.270051249999998</v>
      </c>
      <c r="S140" s="180">
        <f>$L$11*(1+$L$9)^N140*'Récapitulatif des résultats'!$I$11</f>
        <v>0</v>
      </c>
      <c r="T140" s="241"/>
      <c r="U140" s="180"/>
      <c r="V140" s="249">
        <f t="shared" si="17"/>
        <v>0</v>
      </c>
      <c r="W140" s="188">
        <f>SUM('Chenes+Alisier - f. très forte'!AQ124*'Chenes+Alisier - f. très forte'!$F$21,'Chenes+corm+merisier - f. forte'!AQ124*'Chenes+corm+merisier - f. forte'!$F$21,'Charme - fertil.forte'!AQ124*'Charme - fertil.forte'!$F$21,'Pin maritime - très forte'!AQ124*'Pin maritime - très forte'!$F$21,'P. sylv.+laricio+séquoia -forte'!AQ124*'P. sylv.+laricio+séquoia -forte'!$F$21,'Douglas - fertilité moyenne'!AQ124*'Douglas - fertilité moyenne'!$F$21)</f>
        <v>0</v>
      </c>
      <c r="X140" s="188">
        <f>SUM('Chenes+Alisier - f. très forte'!AR124*'Chenes+Alisier - f. très forte'!$F$21,'Chenes+corm+merisier - f. forte'!AR124*'Chenes+corm+merisier - f. forte'!$F$21,'Charme - fertil.forte'!AR124*'Charme - fertil.forte'!$F$21,'Pin maritime - très forte'!AR124*'Pin maritime - très forte'!$F$21,'P. sylv.+laricio+séquoia -forte'!AR124*'P. sylv.+laricio+séquoia -forte'!$F$21,'Douglas - fertilité moyenne'!AR124*'Douglas - fertilité moyenne'!$F$21)</f>
        <v>0</v>
      </c>
      <c r="Y140" s="188">
        <f>SUM('Chenes+Alisier - f. très forte'!AS124*'Chenes+Alisier - f. très forte'!$F$21,'Chenes+corm+merisier - f. forte'!AS124*'Chenes+corm+merisier - f. forte'!$F$21,'Charme - fertil.forte'!AS124*'Charme - fertil.forte'!$F$21,'Pin maritime - très forte'!AS124*'Pin maritime - très forte'!$F$21,'P. sylv.+laricio+séquoia -forte'!AS124*'P. sylv.+laricio+séquoia -forte'!$F$21,'Douglas - fertilité moyenne'!AS124*'Douglas - fertilité moyenne'!$F$21)</f>
        <v>0</v>
      </c>
      <c r="Z140" s="331">
        <f>SUM('Chenes+Alisier - f. très forte'!AT124*'Chenes+Alisier - f. très forte'!$F$21,'Chenes+corm+merisier - f. forte'!AT124*'Chenes+corm+merisier - f. forte'!$F$21,'Charme - fertil.forte'!AT124*'Charme - fertil.forte'!$F$21,'Pin maritime - très forte'!AT124*'Pin maritime - très forte'!$F$21,'P. sylv.+laricio+séquoia -forte'!AT124*'P. sylv.+laricio+séquoia -forte'!$F$21,'Douglas - fertilité moyenne'!AT124*'Douglas - fertilité moyenne'!$F$21)</f>
        <v>0</v>
      </c>
      <c r="AA140" s="178">
        <f t="shared" si="19"/>
        <v>0</v>
      </c>
      <c r="AB140" s="179">
        <f t="shared" si="18"/>
        <v>0</v>
      </c>
      <c r="AC140" s="178"/>
      <c r="AD140" s="178"/>
    </row>
    <row r="141" spans="2:30">
      <c r="B141" s="169" t="s">
        <v>28</v>
      </c>
      <c r="C141" s="4">
        <v>0.37</v>
      </c>
      <c r="D141" s="191" t="s">
        <v>229</v>
      </c>
      <c r="E141" s="255">
        <v>36</v>
      </c>
      <c r="F141" s="254">
        <f>IF(Tableau14582[[#This Row],[Type]]="Feuillus",11*1.25,15.5*1.25)</f>
        <v>19.375</v>
      </c>
      <c r="G141" s="208">
        <v>10</v>
      </c>
      <c r="M141"/>
      <c r="N141" s="71">
        <v>120</v>
      </c>
      <c r="O141" s="239"/>
      <c r="P141" s="180"/>
      <c r="Q141" s="240">
        <f t="shared" si="23"/>
        <v>940.00249999999994</v>
      </c>
      <c r="R141" s="180">
        <f t="shared" si="16"/>
        <v>19.270051249999998</v>
      </c>
      <c r="S141" s="180">
        <f>$L$11*(1+$L$9)^N141*'Récapitulatif des résultats'!$I$11</f>
        <v>0</v>
      </c>
      <c r="T141" s="241"/>
      <c r="U141" s="180"/>
      <c r="V141" s="249">
        <f t="shared" si="17"/>
        <v>0</v>
      </c>
      <c r="W141" s="188">
        <f>SUM('Chenes+Alisier - f. très forte'!AQ125*'Chenes+Alisier - f. très forte'!$F$21,'Chenes+corm+merisier - f. forte'!AQ125*'Chenes+corm+merisier - f. forte'!$F$21,'Charme - fertil.forte'!AQ125*'Charme - fertil.forte'!$F$21,'Pin maritime - très forte'!AQ125*'Pin maritime - très forte'!$F$21,'P. sylv.+laricio+séquoia -forte'!AQ125*'P. sylv.+laricio+séquoia -forte'!$F$21,'Douglas - fertilité moyenne'!AQ125*'Douglas - fertilité moyenne'!$F$21)</f>
        <v>0</v>
      </c>
      <c r="X141" s="188">
        <f>SUM('Chenes+Alisier - f. très forte'!AR125*'Chenes+Alisier - f. très forte'!$F$21,'Chenes+corm+merisier - f. forte'!AR125*'Chenes+corm+merisier - f. forte'!$F$21,'Charme - fertil.forte'!AR125*'Charme - fertil.forte'!$F$21,'Pin maritime - très forte'!AR125*'Pin maritime - très forte'!$F$21,'P. sylv.+laricio+séquoia -forte'!AR125*'P. sylv.+laricio+séquoia -forte'!$F$21,'Douglas - fertilité moyenne'!AR125*'Douglas - fertilité moyenne'!$F$21)</f>
        <v>0</v>
      </c>
      <c r="Y141" s="188">
        <f>SUM('Chenes+Alisier - f. très forte'!AS125*'Chenes+Alisier - f. très forte'!$F$21,'Chenes+corm+merisier - f. forte'!AS125*'Chenes+corm+merisier - f. forte'!$F$21,'Charme - fertil.forte'!AS125*'Charme - fertil.forte'!$F$21,'Pin maritime - très forte'!AS125*'Pin maritime - très forte'!$F$21,'P. sylv.+laricio+séquoia -forte'!AS125*'P. sylv.+laricio+séquoia -forte'!$F$21,'Douglas - fertilité moyenne'!AS125*'Douglas - fertilité moyenne'!$F$21)</f>
        <v>0</v>
      </c>
      <c r="Z141" s="331">
        <f>SUM('Chenes+Alisier - f. très forte'!AT125*'Chenes+Alisier - f. très forte'!$F$21,'Chenes+corm+merisier - f. forte'!AT125*'Chenes+corm+merisier - f. forte'!$F$21,'Charme - fertil.forte'!AT125*'Charme - fertil.forte'!$F$21,'Pin maritime - très forte'!AT125*'Pin maritime - très forte'!$F$21,'P. sylv.+laricio+séquoia -forte'!AT125*'P. sylv.+laricio+séquoia -forte'!$F$21,'Douglas - fertilité moyenne'!AT125*'Douglas - fertilité moyenne'!$F$21)</f>
        <v>0</v>
      </c>
      <c r="AA141" s="178">
        <f t="shared" si="19"/>
        <v>0</v>
      </c>
      <c r="AB141" s="179">
        <f t="shared" si="18"/>
        <v>0</v>
      </c>
      <c r="AC141" s="178"/>
      <c r="AD141" s="178"/>
    </row>
    <row r="142" spans="2:30">
      <c r="B142" s="169" t="s">
        <v>29</v>
      </c>
      <c r="C142" s="4">
        <v>0.36</v>
      </c>
      <c r="D142" s="191" t="s">
        <v>229</v>
      </c>
      <c r="E142" s="208">
        <v>47</v>
      </c>
      <c r="F142" s="254">
        <f>IF(Tableau14582[[#This Row],[Type]]="Feuillus",11*1.25,15.5*1.25)</f>
        <v>19.375</v>
      </c>
      <c r="G142" s="208">
        <v>10</v>
      </c>
      <c r="M142"/>
      <c r="N142" s="71">
        <v>121</v>
      </c>
      <c r="O142" s="239"/>
      <c r="P142" s="180"/>
      <c r="Q142" s="240">
        <f t="shared" si="23"/>
        <v>940.00249999999994</v>
      </c>
      <c r="R142" s="180">
        <f t="shared" si="16"/>
        <v>19.270051249999998</v>
      </c>
      <c r="S142" s="180">
        <f>$L$11*(1+$L$9)^N142*'Récapitulatif des résultats'!$I$11</f>
        <v>0</v>
      </c>
      <c r="T142" s="241"/>
      <c r="U142" s="180"/>
      <c r="V142" s="249">
        <f t="shared" si="17"/>
        <v>0</v>
      </c>
      <c r="W142" s="188">
        <f>SUM('Chenes+Alisier - f. très forte'!AQ126*'Chenes+Alisier - f. très forte'!$F$21,'Chenes+corm+merisier - f. forte'!AQ126*'Chenes+corm+merisier - f. forte'!$F$21,'Charme - fertil.forte'!AQ126*'Charme - fertil.forte'!$F$21,'Pin maritime - très forte'!AQ126*'Pin maritime - très forte'!$F$21,'P. sylv.+laricio+séquoia -forte'!AQ126*'P. sylv.+laricio+séquoia -forte'!$F$21,'Douglas - fertilité moyenne'!AQ126*'Douglas - fertilité moyenne'!$F$21)</f>
        <v>0</v>
      </c>
      <c r="X142" s="188">
        <f>SUM('Chenes+Alisier - f. très forte'!AR126*'Chenes+Alisier - f. très forte'!$F$21,'Chenes+corm+merisier - f. forte'!AR126*'Chenes+corm+merisier - f. forte'!$F$21,'Charme - fertil.forte'!AR126*'Charme - fertil.forte'!$F$21,'Pin maritime - très forte'!AR126*'Pin maritime - très forte'!$F$21,'P. sylv.+laricio+séquoia -forte'!AR126*'P. sylv.+laricio+séquoia -forte'!$F$21,'Douglas - fertilité moyenne'!AR126*'Douglas - fertilité moyenne'!$F$21)</f>
        <v>0</v>
      </c>
      <c r="Y142" s="188">
        <f>SUM('Chenes+Alisier - f. très forte'!AS126*'Chenes+Alisier - f. très forte'!$F$21,'Chenes+corm+merisier - f. forte'!AS126*'Chenes+corm+merisier - f. forte'!$F$21,'Charme - fertil.forte'!AS126*'Charme - fertil.forte'!$F$21,'Pin maritime - très forte'!AS126*'Pin maritime - très forte'!$F$21,'P. sylv.+laricio+séquoia -forte'!AS126*'P. sylv.+laricio+séquoia -forte'!$F$21,'Douglas - fertilité moyenne'!AS126*'Douglas - fertilité moyenne'!$F$21)</f>
        <v>0</v>
      </c>
      <c r="Z142" s="331">
        <f>SUM('Chenes+Alisier - f. très forte'!AT126*'Chenes+Alisier - f. très forte'!$F$21,'Chenes+corm+merisier - f. forte'!AT126*'Chenes+corm+merisier - f. forte'!$F$21,'Charme - fertil.forte'!AT126*'Charme - fertil.forte'!$F$21,'Pin maritime - très forte'!AT126*'Pin maritime - très forte'!$F$21,'P. sylv.+laricio+séquoia -forte'!AT126*'P. sylv.+laricio+séquoia -forte'!$F$21,'Douglas - fertilité moyenne'!AT126*'Douglas - fertilité moyenne'!$F$21)</f>
        <v>0</v>
      </c>
      <c r="AA142" s="178">
        <f t="shared" si="19"/>
        <v>0</v>
      </c>
      <c r="AB142" s="179">
        <f t="shared" si="18"/>
        <v>0</v>
      </c>
      <c r="AC142" s="178"/>
      <c r="AD142" s="178"/>
    </row>
    <row r="143" spans="2:30">
      <c r="B143" s="169" t="s">
        <v>30</v>
      </c>
      <c r="C143" s="4">
        <v>0.51</v>
      </c>
      <c r="D143" s="191" t="s">
        <v>228</v>
      </c>
      <c r="E143" s="208">
        <v>60</v>
      </c>
      <c r="F143" s="254">
        <f>IF(Tableau14582[[#This Row],[Type]]="Feuillus",11*1.25,15.5*1.25)</f>
        <v>13.75</v>
      </c>
      <c r="G143" s="208">
        <v>10</v>
      </c>
      <c r="M143"/>
      <c r="N143" s="71">
        <v>122</v>
      </c>
      <c r="O143" s="239"/>
      <c r="P143" s="180"/>
      <c r="Q143" s="240">
        <f t="shared" si="23"/>
        <v>940.00249999999994</v>
      </c>
      <c r="R143" s="180">
        <f t="shared" si="16"/>
        <v>19.270051249999998</v>
      </c>
      <c r="S143" s="180">
        <f>$L$11*(1+$L$9)^N143*'Récapitulatif des résultats'!$I$11</f>
        <v>0</v>
      </c>
      <c r="T143" s="241"/>
      <c r="U143" s="180"/>
      <c r="V143" s="249">
        <f t="shared" si="17"/>
        <v>0</v>
      </c>
      <c r="W143" s="188">
        <f>SUM('Chenes+Alisier - f. très forte'!AQ127*'Chenes+Alisier - f. très forte'!$F$21,'Chenes+corm+merisier - f. forte'!AQ127*'Chenes+corm+merisier - f. forte'!$F$21,'Charme - fertil.forte'!AQ127*'Charme - fertil.forte'!$F$21,'Pin maritime - très forte'!AQ127*'Pin maritime - très forte'!$F$21,'P. sylv.+laricio+séquoia -forte'!AQ127*'P. sylv.+laricio+séquoia -forte'!$F$21,'Douglas - fertilité moyenne'!AQ127*'Douglas - fertilité moyenne'!$F$21)</f>
        <v>0</v>
      </c>
      <c r="X143" s="188">
        <f>SUM('Chenes+Alisier - f. très forte'!AR127*'Chenes+Alisier - f. très forte'!$F$21,'Chenes+corm+merisier - f. forte'!AR127*'Chenes+corm+merisier - f. forte'!$F$21,'Charme - fertil.forte'!AR127*'Charme - fertil.forte'!$F$21,'Pin maritime - très forte'!AR127*'Pin maritime - très forte'!$F$21,'P. sylv.+laricio+séquoia -forte'!AR127*'P. sylv.+laricio+séquoia -forte'!$F$21,'Douglas - fertilité moyenne'!AR127*'Douglas - fertilité moyenne'!$F$21)</f>
        <v>0</v>
      </c>
      <c r="Y143" s="188">
        <f>SUM('Chenes+Alisier - f. très forte'!AS127*'Chenes+Alisier - f. très forte'!$F$21,'Chenes+corm+merisier - f. forte'!AS127*'Chenes+corm+merisier - f. forte'!$F$21,'Charme - fertil.forte'!AS127*'Charme - fertil.forte'!$F$21,'Pin maritime - très forte'!AS127*'Pin maritime - très forte'!$F$21,'P. sylv.+laricio+séquoia -forte'!AS127*'P. sylv.+laricio+séquoia -forte'!$F$21,'Douglas - fertilité moyenne'!AS127*'Douglas - fertilité moyenne'!$F$21)</f>
        <v>0</v>
      </c>
      <c r="Z143" s="331">
        <f>SUM('Chenes+Alisier - f. très forte'!AT127*'Chenes+Alisier - f. très forte'!$F$21,'Chenes+corm+merisier - f. forte'!AT127*'Chenes+corm+merisier - f. forte'!$F$21,'Charme - fertil.forte'!AT127*'Charme - fertil.forte'!$F$21,'Pin maritime - très forte'!AT127*'Pin maritime - très forte'!$F$21,'P. sylv.+laricio+séquoia -forte'!AT127*'P. sylv.+laricio+séquoia -forte'!$F$21,'Douglas - fertilité moyenne'!AT127*'Douglas - fertilité moyenne'!$F$21)</f>
        <v>0</v>
      </c>
      <c r="AA143" s="178">
        <f t="shared" si="19"/>
        <v>0</v>
      </c>
      <c r="AB143" s="179">
        <f t="shared" si="18"/>
        <v>0</v>
      </c>
      <c r="AC143" s="178"/>
      <c r="AD143" s="178"/>
    </row>
    <row r="144" spans="2:30">
      <c r="B144" s="169" t="s">
        <v>31</v>
      </c>
      <c r="C144" s="4">
        <v>0.56000000000000005</v>
      </c>
      <c r="D144" s="191" t="s">
        <v>228</v>
      </c>
      <c r="E144" s="208">
        <v>60</v>
      </c>
      <c r="F144" s="254">
        <f>IF(Tableau14582[[#This Row],[Type]]="Feuillus",11*1.25,15.5*1.25)</f>
        <v>13.75</v>
      </c>
      <c r="G144" s="208">
        <v>10</v>
      </c>
      <c r="M144"/>
      <c r="N144" s="71">
        <v>123</v>
      </c>
      <c r="O144" s="239"/>
      <c r="P144" s="180"/>
      <c r="Q144" s="240">
        <f t="shared" si="23"/>
        <v>940.00249999999994</v>
      </c>
      <c r="R144" s="180">
        <f t="shared" si="16"/>
        <v>19.270051249999998</v>
      </c>
      <c r="S144" s="180">
        <f>$L$11*(1+$L$9)^N144*'Récapitulatif des résultats'!$I$11</f>
        <v>0</v>
      </c>
      <c r="T144" s="241"/>
      <c r="U144" s="180"/>
      <c r="V144" s="249">
        <f t="shared" si="17"/>
        <v>0</v>
      </c>
      <c r="W144" s="188">
        <f>SUM('Chenes+Alisier - f. très forte'!AQ128*'Chenes+Alisier - f. très forte'!$F$21,'Chenes+corm+merisier - f. forte'!AQ128*'Chenes+corm+merisier - f. forte'!$F$21,'Charme - fertil.forte'!AQ128*'Charme - fertil.forte'!$F$21,'Pin maritime - très forte'!AQ128*'Pin maritime - très forte'!$F$21,'P. sylv.+laricio+séquoia -forte'!AQ128*'P. sylv.+laricio+séquoia -forte'!$F$21,'Douglas - fertilité moyenne'!AQ128*'Douglas - fertilité moyenne'!$F$21)</f>
        <v>0</v>
      </c>
      <c r="X144" s="188">
        <f>SUM('Chenes+Alisier - f. très forte'!AR128*'Chenes+Alisier - f. très forte'!$F$21,'Chenes+corm+merisier - f. forte'!AR128*'Chenes+corm+merisier - f. forte'!$F$21,'Charme - fertil.forte'!AR128*'Charme - fertil.forte'!$F$21,'Pin maritime - très forte'!AR128*'Pin maritime - très forte'!$F$21,'P. sylv.+laricio+séquoia -forte'!AR128*'P. sylv.+laricio+séquoia -forte'!$F$21,'Douglas - fertilité moyenne'!AR128*'Douglas - fertilité moyenne'!$F$21)</f>
        <v>0</v>
      </c>
      <c r="Y144" s="188">
        <f>SUM('Chenes+Alisier - f. très forte'!AS128*'Chenes+Alisier - f. très forte'!$F$21,'Chenes+corm+merisier - f. forte'!AS128*'Chenes+corm+merisier - f. forte'!$F$21,'Charme - fertil.forte'!AS128*'Charme - fertil.forte'!$F$21,'Pin maritime - très forte'!AS128*'Pin maritime - très forte'!$F$21,'P. sylv.+laricio+séquoia -forte'!AS128*'P. sylv.+laricio+séquoia -forte'!$F$21,'Douglas - fertilité moyenne'!AS128*'Douglas - fertilité moyenne'!$F$21)</f>
        <v>0</v>
      </c>
      <c r="Z144" s="331">
        <f>SUM('Chenes+Alisier - f. très forte'!AT128*'Chenes+Alisier - f. très forte'!$F$21,'Chenes+corm+merisier - f. forte'!AT128*'Chenes+corm+merisier - f. forte'!$F$21,'Charme - fertil.forte'!AT128*'Charme - fertil.forte'!$F$21,'Pin maritime - très forte'!AT128*'Pin maritime - très forte'!$F$21,'P. sylv.+laricio+séquoia -forte'!AT128*'P. sylv.+laricio+séquoia -forte'!$F$21,'Douglas - fertilité moyenne'!AT128*'Douglas - fertilité moyenne'!$F$21)</f>
        <v>0</v>
      </c>
      <c r="AA144" s="178">
        <f t="shared" si="19"/>
        <v>0</v>
      </c>
      <c r="AB144" s="179">
        <f t="shared" si="18"/>
        <v>0</v>
      </c>
      <c r="AC144" s="178"/>
      <c r="AD144" s="178"/>
    </row>
    <row r="145" spans="2:30">
      <c r="B145" s="169" t="s">
        <v>32</v>
      </c>
      <c r="C145" s="4">
        <v>0.56000000000000005</v>
      </c>
      <c r="D145" s="191" t="s">
        <v>228</v>
      </c>
      <c r="E145" s="255" t="s">
        <v>250</v>
      </c>
      <c r="F145" s="254">
        <f>IF(Tableau14582[[#This Row],[Type]]="Feuillus",11*1.25,15.5*1.25)</f>
        <v>13.75</v>
      </c>
      <c r="G145" s="208">
        <v>10</v>
      </c>
      <c r="M145"/>
      <c r="N145" s="71">
        <v>124</v>
      </c>
      <c r="O145" s="239"/>
      <c r="P145" s="180"/>
      <c r="Q145" s="240">
        <f t="shared" si="23"/>
        <v>940.00249999999994</v>
      </c>
      <c r="R145" s="180">
        <f t="shared" si="16"/>
        <v>19.270051249999998</v>
      </c>
      <c r="S145" s="180">
        <f>$L$11*(1+$L$9)^N145*'Récapitulatif des résultats'!$I$11</f>
        <v>0</v>
      </c>
      <c r="T145" s="241"/>
      <c r="U145" s="180"/>
      <c r="V145" s="249">
        <f t="shared" si="17"/>
        <v>0</v>
      </c>
      <c r="W145" s="188">
        <f>SUM('Chenes+Alisier - f. très forte'!AQ129*'Chenes+Alisier - f. très forte'!$F$21,'Chenes+corm+merisier - f. forte'!AQ129*'Chenes+corm+merisier - f. forte'!$F$21,'Charme - fertil.forte'!AQ129*'Charme - fertil.forte'!$F$21,'Pin maritime - très forte'!AQ129*'Pin maritime - très forte'!$F$21,'P. sylv.+laricio+séquoia -forte'!AQ129*'P. sylv.+laricio+séquoia -forte'!$F$21,'Douglas - fertilité moyenne'!AQ129*'Douglas - fertilité moyenne'!$F$21)</f>
        <v>0</v>
      </c>
      <c r="X145" s="188">
        <f>SUM('Chenes+Alisier - f. très forte'!AR129*'Chenes+Alisier - f. très forte'!$F$21,'Chenes+corm+merisier - f. forte'!AR129*'Chenes+corm+merisier - f. forte'!$F$21,'Charme - fertil.forte'!AR129*'Charme - fertil.forte'!$F$21,'Pin maritime - très forte'!AR129*'Pin maritime - très forte'!$F$21,'P. sylv.+laricio+séquoia -forte'!AR129*'P. sylv.+laricio+séquoia -forte'!$F$21,'Douglas - fertilité moyenne'!AR129*'Douglas - fertilité moyenne'!$F$21)</f>
        <v>0</v>
      </c>
      <c r="Y145" s="188">
        <f>SUM('Chenes+Alisier - f. très forte'!AS129*'Chenes+Alisier - f. très forte'!$F$21,'Chenes+corm+merisier - f. forte'!AS129*'Chenes+corm+merisier - f. forte'!$F$21,'Charme - fertil.forte'!AS129*'Charme - fertil.forte'!$F$21,'Pin maritime - très forte'!AS129*'Pin maritime - très forte'!$F$21,'P. sylv.+laricio+séquoia -forte'!AS129*'P. sylv.+laricio+séquoia -forte'!$F$21,'Douglas - fertilité moyenne'!AS129*'Douglas - fertilité moyenne'!$F$21)</f>
        <v>0</v>
      </c>
      <c r="Z145" s="331">
        <f>SUM('Chenes+Alisier - f. très forte'!AT129*'Chenes+Alisier - f. très forte'!$F$21,'Chenes+corm+merisier - f. forte'!AT129*'Chenes+corm+merisier - f. forte'!$F$21,'Charme - fertil.forte'!AT129*'Charme - fertil.forte'!$F$21,'Pin maritime - très forte'!AT129*'Pin maritime - très forte'!$F$21,'P. sylv.+laricio+séquoia -forte'!AT129*'P. sylv.+laricio+séquoia -forte'!$F$21,'Douglas - fertilité moyenne'!AT129*'Douglas - fertilité moyenne'!$F$21)</f>
        <v>0</v>
      </c>
      <c r="AA145" s="178">
        <f t="shared" si="19"/>
        <v>0</v>
      </c>
      <c r="AB145" s="179">
        <f t="shared" si="18"/>
        <v>0</v>
      </c>
      <c r="AC145" s="178"/>
      <c r="AD145" s="178"/>
    </row>
    <row r="146" spans="2:30">
      <c r="B146" s="169" t="s">
        <v>33</v>
      </c>
      <c r="C146" s="4">
        <v>0.48</v>
      </c>
      <c r="D146" s="191" t="s">
        <v>228</v>
      </c>
      <c r="E146" s="208">
        <v>300</v>
      </c>
      <c r="F146" s="254">
        <f>IF(Tableau14582[[#This Row],[Type]]="Feuillus",11*1.25,15.5*1.25)</f>
        <v>13.75</v>
      </c>
      <c r="G146" s="208">
        <v>10</v>
      </c>
      <c r="M146"/>
      <c r="N146" s="71">
        <v>125</v>
      </c>
      <c r="O146" s="239"/>
      <c r="P146" s="180"/>
      <c r="Q146" s="240">
        <f t="shared" si="23"/>
        <v>940.00249999999994</v>
      </c>
      <c r="R146" s="180">
        <f t="shared" si="16"/>
        <v>19.270051249999998</v>
      </c>
      <c r="S146" s="180">
        <f>$L$11*(1+$L$9)^N146*'Récapitulatif des résultats'!$I$11</f>
        <v>0</v>
      </c>
      <c r="T146" s="241"/>
      <c r="U146" s="180"/>
      <c r="V146" s="249">
        <f t="shared" si="17"/>
        <v>0</v>
      </c>
      <c r="W146" s="188">
        <f>SUM('Chenes+Alisier - f. très forte'!AQ130*'Chenes+Alisier - f. très forte'!$F$21,'Chenes+corm+merisier - f. forte'!AQ130*'Chenes+corm+merisier - f. forte'!$F$21,'Charme - fertil.forte'!AQ130*'Charme - fertil.forte'!$F$21,'Pin maritime - très forte'!AQ130*'Pin maritime - très forte'!$F$21,'P. sylv.+laricio+séquoia -forte'!AQ130*'P. sylv.+laricio+séquoia -forte'!$F$21,'Douglas - fertilité moyenne'!AQ130*'Douglas - fertilité moyenne'!$F$21)</f>
        <v>0</v>
      </c>
      <c r="X146" s="188">
        <f>SUM('Chenes+Alisier - f. très forte'!AR130*'Chenes+Alisier - f. très forte'!$F$21,'Chenes+corm+merisier - f. forte'!AR130*'Chenes+corm+merisier - f. forte'!$F$21,'Charme - fertil.forte'!AR130*'Charme - fertil.forte'!$F$21,'Pin maritime - très forte'!AR130*'Pin maritime - très forte'!$F$21,'P. sylv.+laricio+séquoia -forte'!AR130*'P. sylv.+laricio+séquoia -forte'!$F$21,'Douglas - fertilité moyenne'!AR130*'Douglas - fertilité moyenne'!$F$21)</f>
        <v>0</v>
      </c>
      <c r="Y146" s="188">
        <f>SUM('Chenes+Alisier - f. très forte'!AS130*'Chenes+Alisier - f. très forte'!$F$21,'Chenes+corm+merisier - f. forte'!AS130*'Chenes+corm+merisier - f. forte'!$F$21,'Charme - fertil.forte'!AS130*'Charme - fertil.forte'!$F$21,'Pin maritime - très forte'!AS130*'Pin maritime - très forte'!$F$21,'P. sylv.+laricio+séquoia -forte'!AS130*'P. sylv.+laricio+séquoia -forte'!$F$21,'Douglas - fertilité moyenne'!AS130*'Douglas - fertilité moyenne'!$F$21)</f>
        <v>0</v>
      </c>
      <c r="Z146" s="331">
        <f>SUM('Chenes+Alisier - f. très forte'!AT130*'Chenes+Alisier - f. très forte'!$F$21,'Chenes+corm+merisier - f. forte'!AT130*'Chenes+corm+merisier - f. forte'!$F$21,'Charme - fertil.forte'!AT130*'Charme - fertil.forte'!$F$21,'Pin maritime - très forte'!AT130*'Pin maritime - très forte'!$F$21,'P. sylv.+laricio+séquoia -forte'!AT130*'P. sylv.+laricio+séquoia -forte'!$F$21,'Douglas - fertilité moyenne'!AT130*'Douglas - fertilité moyenne'!$F$21)</f>
        <v>0</v>
      </c>
      <c r="AA146" s="178">
        <f t="shared" si="19"/>
        <v>0</v>
      </c>
      <c r="AB146" s="179">
        <f t="shared" si="18"/>
        <v>0</v>
      </c>
      <c r="AC146" s="178"/>
      <c r="AD146" s="178"/>
    </row>
    <row r="147" spans="2:30">
      <c r="B147" s="169" t="s">
        <v>34</v>
      </c>
      <c r="C147" s="4">
        <v>0.55000000000000004</v>
      </c>
      <c r="D147" s="191" t="s">
        <v>228</v>
      </c>
      <c r="E147" s="208">
        <v>45</v>
      </c>
      <c r="F147" s="254">
        <f>IF(Tableau14582[[#This Row],[Type]]="Feuillus",11*1.25,15.5*1.25)</f>
        <v>13.75</v>
      </c>
      <c r="G147" s="208">
        <v>10</v>
      </c>
      <c r="M147"/>
      <c r="N147" s="71">
        <v>126</v>
      </c>
      <c r="O147" s="239"/>
      <c r="P147" s="180"/>
      <c r="Q147" s="240">
        <f t="shared" si="23"/>
        <v>940.00249999999994</v>
      </c>
      <c r="R147" s="180">
        <f t="shared" si="16"/>
        <v>19.270051249999998</v>
      </c>
      <c r="S147" s="180">
        <f>$L$11*(1+$L$9)^N147*'Récapitulatif des résultats'!$I$11</f>
        <v>0</v>
      </c>
      <c r="T147" s="241"/>
      <c r="U147" s="180"/>
      <c r="V147" s="249">
        <f t="shared" si="17"/>
        <v>0</v>
      </c>
      <c r="W147" s="188">
        <f>SUM('Chenes+Alisier - f. très forte'!AQ131*'Chenes+Alisier - f. très forte'!$F$21,'Chenes+corm+merisier - f. forte'!AQ131*'Chenes+corm+merisier - f. forte'!$F$21,'Charme - fertil.forte'!AQ131*'Charme - fertil.forte'!$F$21,'Pin maritime - très forte'!AQ131*'Pin maritime - très forte'!$F$21,'P. sylv.+laricio+séquoia -forte'!AQ131*'P. sylv.+laricio+séquoia -forte'!$F$21,'Douglas - fertilité moyenne'!AQ131*'Douglas - fertilité moyenne'!$F$21)</f>
        <v>0</v>
      </c>
      <c r="X147" s="188">
        <f>SUM('Chenes+Alisier - f. très forte'!AR131*'Chenes+Alisier - f. très forte'!$F$21,'Chenes+corm+merisier - f. forte'!AR131*'Chenes+corm+merisier - f. forte'!$F$21,'Charme - fertil.forte'!AR131*'Charme - fertil.forte'!$F$21,'Pin maritime - très forte'!AR131*'Pin maritime - très forte'!$F$21,'P. sylv.+laricio+séquoia -forte'!AR131*'P. sylv.+laricio+séquoia -forte'!$F$21,'Douglas - fertilité moyenne'!AR131*'Douglas - fertilité moyenne'!$F$21)</f>
        <v>0</v>
      </c>
      <c r="Y147" s="188">
        <f>SUM('Chenes+Alisier - f. très forte'!AS131*'Chenes+Alisier - f. très forte'!$F$21,'Chenes+corm+merisier - f. forte'!AS131*'Chenes+corm+merisier - f. forte'!$F$21,'Charme - fertil.forte'!AS131*'Charme - fertil.forte'!$F$21,'Pin maritime - très forte'!AS131*'Pin maritime - très forte'!$F$21,'P. sylv.+laricio+séquoia -forte'!AS131*'P. sylv.+laricio+séquoia -forte'!$F$21,'Douglas - fertilité moyenne'!AS131*'Douglas - fertilité moyenne'!$F$21)</f>
        <v>0</v>
      </c>
      <c r="Z147" s="331">
        <f>SUM('Chenes+Alisier - f. très forte'!AT131*'Chenes+Alisier - f. très forte'!$F$21,'Chenes+corm+merisier - f. forte'!AT131*'Chenes+corm+merisier - f. forte'!$F$21,'Charme - fertil.forte'!AT131*'Charme - fertil.forte'!$F$21,'Pin maritime - très forte'!AT131*'Pin maritime - très forte'!$F$21,'P. sylv.+laricio+séquoia -forte'!AT131*'P. sylv.+laricio+séquoia -forte'!$F$21,'Douglas - fertilité moyenne'!AT131*'Douglas - fertilité moyenne'!$F$21)</f>
        <v>0</v>
      </c>
      <c r="AA147" s="178">
        <f t="shared" si="19"/>
        <v>0</v>
      </c>
      <c r="AB147" s="179">
        <f t="shared" si="18"/>
        <v>0</v>
      </c>
      <c r="AC147" s="178"/>
      <c r="AD147" s="178"/>
    </row>
    <row r="148" spans="2:30">
      <c r="B148" s="169" t="s">
        <v>35</v>
      </c>
      <c r="C148" s="4">
        <v>0.56000000000000005</v>
      </c>
      <c r="D148" s="191" t="s">
        <v>228</v>
      </c>
      <c r="E148" s="208">
        <v>90</v>
      </c>
      <c r="F148" s="254">
        <f>IF(Tableau14582[[#This Row],[Type]]="Feuillus",11*1.25,15.5*1.25)</f>
        <v>13.75</v>
      </c>
      <c r="G148" s="208">
        <v>10</v>
      </c>
      <c r="M148"/>
      <c r="N148" s="71">
        <v>127</v>
      </c>
      <c r="O148" s="239"/>
      <c r="P148" s="180"/>
      <c r="Q148" s="240">
        <f t="shared" si="23"/>
        <v>940.00249999999994</v>
      </c>
      <c r="R148" s="180">
        <f t="shared" si="16"/>
        <v>19.270051249999998</v>
      </c>
      <c r="S148" s="180">
        <f>$L$11*(1+$L$9)^N148*'Récapitulatif des résultats'!$I$11</f>
        <v>0</v>
      </c>
      <c r="T148" s="241"/>
      <c r="U148" s="180"/>
      <c r="V148" s="249">
        <f t="shared" si="17"/>
        <v>0</v>
      </c>
      <c r="W148" s="188">
        <f>SUM('Chenes+Alisier - f. très forte'!AQ132*'Chenes+Alisier - f. très forte'!$F$21,'Chenes+corm+merisier - f. forte'!AQ132*'Chenes+corm+merisier - f. forte'!$F$21,'Charme - fertil.forte'!AQ132*'Charme - fertil.forte'!$F$21,'Pin maritime - très forte'!AQ132*'Pin maritime - très forte'!$F$21,'P. sylv.+laricio+séquoia -forte'!AQ132*'P. sylv.+laricio+séquoia -forte'!$F$21,'Douglas - fertilité moyenne'!AQ132*'Douglas - fertilité moyenne'!$F$21)</f>
        <v>0</v>
      </c>
      <c r="X148" s="188">
        <f>SUM('Chenes+Alisier - f. très forte'!AR132*'Chenes+Alisier - f. très forte'!$F$21,'Chenes+corm+merisier - f. forte'!AR132*'Chenes+corm+merisier - f. forte'!$F$21,'Charme - fertil.forte'!AR132*'Charme - fertil.forte'!$F$21,'Pin maritime - très forte'!AR132*'Pin maritime - très forte'!$F$21,'P. sylv.+laricio+séquoia -forte'!AR132*'P. sylv.+laricio+séquoia -forte'!$F$21,'Douglas - fertilité moyenne'!AR132*'Douglas - fertilité moyenne'!$F$21)</f>
        <v>0</v>
      </c>
      <c r="Y148" s="188">
        <f>SUM('Chenes+Alisier - f. très forte'!AS132*'Chenes+Alisier - f. très forte'!$F$21,'Chenes+corm+merisier - f. forte'!AS132*'Chenes+corm+merisier - f. forte'!$F$21,'Charme - fertil.forte'!AS132*'Charme - fertil.forte'!$F$21,'Pin maritime - très forte'!AS132*'Pin maritime - très forte'!$F$21,'P. sylv.+laricio+séquoia -forte'!AS132*'P. sylv.+laricio+séquoia -forte'!$F$21,'Douglas - fertilité moyenne'!AS132*'Douglas - fertilité moyenne'!$F$21)</f>
        <v>0</v>
      </c>
      <c r="Z148" s="331">
        <f>SUM('Chenes+Alisier - f. très forte'!AT132*'Chenes+Alisier - f. très forte'!$F$21,'Chenes+corm+merisier - f. forte'!AT132*'Chenes+corm+merisier - f. forte'!$F$21,'Charme - fertil.forte'!AT132*'Charme - fertil.forte'!$F$21,'Pin maritime - très forte'!AT132*'Pin maritime - très forte'!$F$21,'P. sylv.+laricio+séquoia -forte'!AT132*'P. sylv.+laricio+séquoia -forte'!$F$21,'Douglas - fertilité moyenne'!AT132*'Douglas - fertilité moyenne'!$F$21)</f>
        <v>0</v>
      </c>
      <c r="AA148" s="178">
        <f t="shared" si="19"/>
        <v>0</v>
      </c>
      <c r="AB148" s="179">
        <f t="shared" si="18"/>
        <v>0</v>
      </c>
      <c r="AC148" s="178"/>
      <c r="AD148" s="178"/>
    </row>
    <row r="149" spans="2:30">
      <c r="B149" s="169" t="s">
        <v>36</v>
      </c>
      <c r="C149" s="4">
        <v>0.57999999999999996</v>
      </c>
      <c r="D149" s="191" t="s">
        <v>228</v>
      </c>
      <c r="E149" s="208">
        <v>300</v>
      </c>
      <c r="F149" s="254">
        <f>IF(Tableau14582[[#This Row],[Type]]="Feuillus",11*1.25,15.5*1.25)</f>
        <v>13.75</v>
      </c>
      <c r="G149" s="208">
        <v>10</v>
      </c>
      <c r="M149"/>
      <c r="N149" s="71">
        <v>128</v>
      </c>
      <c r="O149" s="239"/>
      <c r="P149" s="180"/>
      <c r="Q149" s="240">
        <f t="shared" si="23"/>
        <v>940.00249999999994</v>
      </c>
      <c r="R149" s="180">
        <f t="shared" ref="R149:R212" si="24">$L$10*SUM(O149:Q149)</f>
        <v>19.270051249999998</v>
      </c>
      <c r="S149" s="180">
        <f>$L$11*(1+$L$9)^N149*'Récapitulatif des résultats'!$I$11</f>
        <v>0</v>
      </c>
      <c r="T149" s="241"/>
      <c r="U149" s="180"/>
      <c r="V149" s="249">
        <f t="shared" ref="V149:V212" si="25">SUM(W149:Z149)</f>
        <v>0</v>
      </c>
      <c r="W149" s="188">
        <f>SUM('Chenes+Alisier - f. très forte'!AQ133*'Chenes+Alisier - f. très forte'!$F$21,'Chenes+corm+merisier - f. forte'!AQ133*'Chenes+corm+merisier - f. forte'!$F$21,'Charme - fertil.forte'!AQ133*'Charme - fertil.forte'!$F$21,'Pin maritime - très forte'!AQ133*'Pin maritime - très forte'!$F$21,'P. sylv.+laricio+séquoia -forte'!AQ133*'P. sylv.+laricio+séquoia -forte'!$F$21,'Douglas - fertilité moyenne'!AQ133*'Douglas - fertilité moyenne'!$F$21)</f>
        <v>0</v>
      </c>
      <c r="X149" s="188">
        <f>SUM('Chenes+Alisier - f. très forte'!AR133*'Chenes+Alisier - f. très forte'!$F$21,'Chenes+corm+merisier - f. forte'!AR133*'Chenes+corm+merisier - f. forte'!$F$21,'Charme - fertil.forte'!AR133*'Charme - fertil.forte'!$F$21,'Pin maritime - très forte'!AR133*'Pin maritime - très forte'!$F$21,'P. sylv.+laricio+séquoia -forte'!AR133*'P. sylv.+laricio+séquoia -forte'!$F$21,'Douglas - fertilité moyenne'!AR133*'Douglas - fertilité moyenne'!$F$21)</f>
        <v>0</v>
      </c>
      <c r="Y149" s="188">
        <f>SUM('Chenes+Alisier - f. très forte'!AS133*'Chenes+Alisier - f. très forte'!$F$21,'Chenes+corm+merisier - f. forte'!AS133*'Chenes+corm+merisier - f. forte'!$F$21,'Charme - fertil.forte'!AS133*'Charme - fertil.forte'!$F$21,'Pin maritime - très forte'!AS133*'Pin maritime - très forte'!$F$21,'P. sylv.+laricio+séquoia -forte'!AS133*'P. sylv.+laricio+séquoia -forte'!$F$21,'Douglas - fertilité moyenne'!AS133*'Douglas - fertilité moyenne'!$F$21)</f>
        <v>0</v>
      </c>
      <c r="Z149" s="331">
        <f>SUM('Chenes+Alisier - f. très forte'!AT133*'Chenes+Alisier - f. très forte'!$F$21,'Chenes+corm+merisier - f. forte'!AT133*'Chenes+corm+merisier - f. forte'!$F$21,'Charme - fertil.forte'!AT133*'Charme - fertil.forte'!$F$21,'Pin maritime - très forte'!AT133*'Pin maritime - très forte'!$F$21,'P. sylv.+laricio+séquoia -forte'!AT133*'P. sylv.+laricio+séquoia -forte'!$F$21,'Douglas - fertilité moyenne'!AT133*'Douglas - fertilité moyenne'!$F$21)</f>
        <v>0</v>
      </c>
      <c r="AA149" s="178">
        <f t="shared" si="19"/>
        <v>0</v>
      </c>
      <c r="AB149" s="179">
        <f t="shared" ref="AB149:AB212" si="26">IF(N149&lt;=$L$4,(AA149-SUM(O149:T149))/((1+4.5%)^N149),)</f>
        <v>0</v>
      </c>
      <c r="AC149" s="178"/>
      <c r="AD149" s="178"/>
    </row>
    <row r="150" spans="2:30">
      <c r="B150" s="169" t="s">
        <v>37</v>
      </c>
      <c r="C150" s="4">
        <v>0.57999999999999996</v>
      </c>
      <c r="D150" s="191" t="s">
        <v>229</v>
      </c>
      <c r="E150" s="208">
        <v>25</v>
      </c>
      <c r="F150" s="254">
        <f>IF(Tableau14582[[#This Row],[Type]]="Feuillus",11*1.25,15.5*1.25)</f>
        <v>19.375</v>
      </c>
      <c r="G150" s="208">
        <v>10</v>
      </c>
      <c r="M150"/>
      <c r="N150" s="71">
        <v>129</v>
      </c>
      <c r="O150" s="239"/>
      <c r="P150" s="180"/>
      <c r="Q150" s="240">
        <f t="shared" si="23"/>
        <v>940.00249999999994</v>
      </c>
      <c r="R150" s="180">
        <f t="shared" si="24"/>
        <v>19.270051249999998</v>
      </c>
      <c r="S150" s="180">
        <f>$L$11*(1+$L$9)^N150*'Récapitulatif des résultats'!$I$11</f>
        <v>0</v>
      </c>
      <c r="T150" s="241"/>
      <c r="U150" s="180"/>
      <c r="V150" s="249">
        <f t="shared" si="25"/>
        <v>0</v>
      </c>
      <c r="W150" s="188">
        <f>SUM('Chenes+Alisier - f. très forte'!AQ134*'Chenes+Alisier - f. très forte'!$F$21,'Chenes+corm+merisier - f. forte'!AQ134*'Chenes+corm+merisier - f. forte'!$F$21,'Charme - fertil.forte'!AQ134*'Charme - fertil.forte'!$F$21,'Pin maritime - très forte'!AQ134*'Pin maritime - très forte'!$F$21,'P. sylv.+laricio+séquoia -forte'!AQ134*'P. sylv.+laricio+séquoia -forte'!$F$21,'Douglas - fertilité moyenne'!AQ134*'Douglas - fertilité moyenne'!$F$21)</f>
        <v>0</v>
      </c>
      <c r="X150" s="188">
        <f>SUM('Chenes+Alisier - f. très forte'!AR134*'Chenes+Alisier - f. très forte'!$F$21,'Chenes+corm+merisier - f. forte'!AR134*'Chenes+corm+merisier - f. forte'!$F$21,'Charme - fertil.forte'!AR134*'Charme - fertil.forte'!$F$21,'Pin maritime - très forte'!AR134*'Pin maritime - très forte'!$F$21,'P. sylv.+laricio+séquoia -forte'!AR134*'P. sylv.+laricio+séquoia -forte'!$F$21,'Douglas - fertilité moyenne'!AR134*'Douglas - fertilité moyenne'!$F$21)</f>
        <v>0</v>
      </c>
      <c r="Y150" s="188">
        <f>SUM('Chenes+Alisier - f. très forte'!AS134*'Chenes+Alisier - f. très forte'!$F$21,'Chenes+corm+merisier - f. forte'!AS134*'Chenes+corm+merisier - f. forte'!$F$21,'Charme - fertil.forte'!AS134*'Charme - fertil.forte'!$F$21,'Pin maritime - très forte'!AS134*'Pin maritime - très forte'!$F$21,'P. sylv.+laricio+séquoia -forte'!AS134*'P. sylv.+laricio+séquoia -forte'!$F$21,'Douglas - fertilité moyenne'!AS134*'Douglas - fertilité moyenne'!$F$21)</f>
        <v>0</v>
      </c>
      <c r="Z150" s="331">
        <f>SUM('Chenes+Alisier - f. très forte'!AT134*'Chenes+Alisier - f. très forte'!$F$21,'Chenes+corm+merisier - f. forte'!AT134*'Chenes+corm+merisier - f. forte'!$F$21,'Charme - fertil.forte'!AT134*'Charme - fertil.forte'!$F$21,'Pin maritime - très forte'!AT134*'Pin maritime - très forte'!$F$21,'P. sylv.+laricio+séquoia -forte'!AT134*'P. sylv.+laricio+séquoia -forte'!$F$21,'Douglas - fertilité moyenne'!AT134*'Douglas - fertilité moyenne'!$F$21)</f>
        <v>0</v>
      </c>
      <c r="AA150" s="178">
        <f t="shared" ref="AA150:AA213" si="27">SUMIF(B$23:B$115,N150,L$23:L$115)+U150</f>
        <v>0</v>
      </c>
      <c r="AB150" s="179">
        <f t="shared" si="26"/>
        <v>0</v>
      </c>
      <c r="AC150" s="178"/>
      <c r="AD150" s="178"/>
    </row>
    <row r="151" spans="2:30">
      <c r="B151" s="169" t="s">
        <v>38</v>
      </c>
      <c r="C151" s="4">
        <v>0.48</v>
      </c>
      <c r="D151" s="191" t="s">
        <v>229</v>
      </c>
      <c r="E151" s="208">
        <v>50</v>
      </c>
      <c r="F151" s="254">
        <f>IF(Tableau14582[[#This Row],[Type]]="Feuillus",11*1.25,15.5*1.25)</f>
        <v>19.375</v>
      </c>
      <c r="G151" s="208">
        <v>10</v>
      </c>
      <c r="M151"/>
      <c r="N151" s="71">
        <v>130</v>
      </c>
      <c r="O151" s="239"/>
      <c r="P151" s="180"/>
      <c r="Q151" s="240">
        <f t="shared" si="23"/>
        <v>940.00249999999994</v>
      </c>
      <c r="R151" s="180">
        <f t="shared" si="24"/>
        <v>19.270051249999998</v>
      </c>
      <c r="S151" s="180">
        <f>$L$11*(1+$L$9)^N151*'Récapitulatif des résultats'!$I$11</f>
        <v>0</v>
      </c>
      <c r="T151" s="241"/>
      <c r="U151" s="180"/>
      <c r="V151" s="249">
        <f t="shared" si="25"/>
        <v>0</v>
      </c>
      <c r="W151" s="188">
        <f>SUM('Chenes+Alisier - f. très forte'!AQ135*'Chenes+Alisier - f. très forte'!$F$21,'Chenes+corm+merisier - f. forte'!AQ135*'Chenes+corm+merisier - f. forte'!$F$21,'Charme - fertil.forte'!AQ135*'Charme - fertil.forte'!$F$21,'Pin maritime - très forte'!AQ135*'Pin maritime - très forte'!$F$21,'P. sylv.+laricio+séquoia -forte'!AQ135*'P. sylv.+laricio+séquoia -forte'!$F$21,'Douglas - fertilité moyenne'!AQ135*'Douglas - fertilité moyenne'!$F$21)</f>
        <v>0</v>
      </c>
      <c r="X151" s="188">
        <f>SUM('Chenes+Alisier - f. très forte'!AR135*'Chenes+Alisier - f. très forte'!$F$21,'Chenes+corm+merisier - f. forte'!AR135*'Chenes+corm+merisier - f. forte'!$F$21,'Charme - fertil.forte'!AR135*'Charme - fertil.forte'!$F$21,'Pin maritime - très forte'!AR135*'Pin maritime - très forte'!$F$21,'P. sylv.+laricio+séquoia -forte'!AR135*'P. sylv.+laricio+séquoia -forte'!$F$21,'Douglas - fertilité moyenne'!AR135*'Douglas - fertilité moyenne'!$F$21)</f>
        <v>0</v>
      </c>
      <c r="Y151" s="188">
        <f>SUM('Chenes+Alisier - f. très forte'!AS135*'Chenes+Alisier - f. très forte'!$F$21,'Chenes+corm+merisier - f. forte'!AS135*'Chenes+corm+merisier - f. forte'!$F$21,'Charme - fertil.forte'!AS135*'Charme - fertil.forte'!$F$21,'Pin maritime - très forte'!AS135*'Pin maritime - très forte'!$F$21,'P. sylv.+laricio+séquoia -forte'!AS135*'P. sylv.+laricio+séquoia -forte'!$F$21,'Douglas - fertilité moyenne'!AS135*'Douglas - fertilité moyenne'!$F$21)</f>
        <v>0</v>
      </c>
      <c r="Z151" s="331">
        <f>SUM('Chenes+Alisier - f. très forte'!AT135*'Chenes+Alisier - f. très forte'!$F$21,'Chenes+corm+merisier - f. forte'!AT135*'Chenes+corm+merisier - f. forte'!$F$21,'Charme - fertil.forte'!AT135*'Charme - fertil.forte'!$F$21,'Pin maritime - très forte'!AT135*'Pin maritime - très forte'!$F$21,'P. sylv.+laricio+séquoia -forte'!AT135*'P. sylv.+laricio+séquoia -forte'!$F$21,'Douglas - fertilité moyenne'!AT135*'Douglas - fertilité moyenne'!$F$21)</f>
        <v>0</v>
      </c>
      <c r="AA151" s="178">
        <f t="shared" si="27"/>
        <v>0</v>
      </c>
      <c r="AB151" s="179">
        <f t="shared" si="26"/>
        <v>0</v>
      </c>
      <c r="AC151" s="178"/>
      <c r="AD151" s="178"/>
    </row>
    <row r="152" spans="2:30">
      <c r="B152" s="169" t="s">
        <v>39</v>
      </c>
      <c r="C152" s="4">
        <v>0.42</v>
      </c>
      <c r="D152" s="191" t="s">
        <v>229</v>
      </c>
      <c r="E152" s="208">
        <v>50</v>
      </c>
      <c r="F152" s="254">
        <f>IF(Tableau14582[[#This Row],[Type]]="Feuillus",11*1.25,15.5*1.25)</f>
        <v>19.375</v>
      </c>
      <c r="G152" s="208">
        <v>10</v>
      </c>
      <c r="M152"/>
      <c r="N152" s="71">
        <v>131</v>
      </c>
      <c r="O152" s="239"/>
      <c r="P152" s="180"/>
      <c r="Q152" s="240">
        <f t="shared" si="23"/>
        <v>940.00249999999994</v>
      </c>
      <c r="R152" s="180">
        <f t="shared" si="24"/>
        <v>19.270051249999998</v>
      </c>
      <c r="S152" s="180">
        <f>$L$11*(1+$L$9)^N152*'Récapitulatif des résultats'!$I$11</f>
        <v>0</v>
      </c>
      <c r="T152" s="241"/>
      <c r="U152" s="180"/>
      <c r="V152" s="249">
        <f t="shared" si="25"/>
        <v>0</v>
      </c>
      <c r="W152" s="188">
        <f>SUM('Chenes+Alisier - f. très forte'!AQ136*'Chenes+Alisier - f. très forte'!$F$21,'Chenes+corm+merisier - f. forte'!AQ136*'Chenes+corm+merisier - f. forte'!$F$21,'Charme - fertil.forte'!AQ136*'Charme - fertil.forte'!$F$21,'Pin maritime - très forte'!AQ136*'Pin maritime - très forte'!$F$21,'P. sylv.+laricio+séquoia -forte'!AQ136*'P. sylv.+laricio+séquoia -forte'!$F$21,'Douglas - fertilité moyenne'!AQ136*'Douglas - fertilité moyenne'!$F$21)</f>
        <v>0</v>
      </c>
      <c r="X152" s="188">
        <f>SUM('Chenes+Alisier - f. très forte'!AR136*'Chenes+Alisier - f. très forte'!$F$21,'Chenes+corm+merisier - f. forte'!AR136*'Chenes+corm+merisier - f. forte'!$F$21,'Charme - fertil.forte'!AR136*'Charme - fertil.forte'!$F$21,'Pin maritime - très forte'!AR136*'Pin maritime - très forte'!$F$21,'P. sylv.+laricio+séquoia -forte'!AR136*'P. sylv.+laricio+séquoia -forte'!$F$21,'Douglas - fertilité moyenne'!AR136*'Douglas - fertilité moyenne'!$F$21)</f>
        <v>0</v>
      </c>
      <c r="Y152" s="188">
        <f>SUM('Chenes+Alisier - f. très forte'!AS136*'Chenes+Alisier - f. très forte'!$F$21,'Chenes+corm+merisier - f. forte'!AS136*'Chenes+corm+merisier - f. forte'!$F$21,'Charme - fertil.forte'!AS136*'Charme - fertil.forte'!$F$21,'Pin maritime - très forte'!AS136*'Pin maritime - très forte'!$F$21,'P. sylv.+laricio+séquoia -forte'!AS136*'P. sylv.+laricio+séquoia -forte'!$F$21,'Douglas - fertilité moyenne'!AS136*'Douglas - fertilité moyenne'!$F$21)</f>
        <v>0</v>
      </c>
      <c r="Z152" s="331">
        <f>SUM('Chenes+Alisier - f. très forte'!AT136*'Chenes+Alisier - f. très forte'!$F$21,'Chenes+corm+merisier - f. forte'!AT136*'Chenes+corm+merisier - f. forte'!$F$21,'Charme - fertil.forte'!AT136*'Charme - fertil.forte'!$F$21,'Pin maritime - très forte'!AT136*'Pin maritime - très forte'!$F$21,'P. sylv.+laricio+séquoia -forte'!AT136*'P. sylv.+laricio+séquoia -forte'!$F$21,'Douglas - fertilité moyenne'!AT136*'Douglas - fertilité moyenne'!$F$21)</f>
        <v>0</v>
      </c>
      <c r="AA152" s="178">
        <f t="shared" si="27"/>
        <v>0</v>
      </c>
      <c r="AB152" s="179">
        <f t="shared" si="26"/>
        <v>0</v>
      </c>
      <c r="AC152" s="178"/>
      <c r="AD152" s="178"/>
    </row>
    <row r="153" spans="2:30">
      <c r="B153" s="169" t="s">
        <v>40</v>
      </c>
      <c r="C153" s="4">
        <v>0.5</v>
      </c>
      <c r="D153" s="191" t="s">
        <v>228</v>
      </c>
      <c r="E153" s="208">
        <v>80</v>
      </c>
      <c r="F153" s="254">
        <f>IF(Tableau14582[[#This Row],[Type]]="Feuillus",11*1.25,15.5*1.25)</f>
        <v>13.75</v>
      </c>
      <c r="G153" s="208">
        <v>10</v>
      </c>
      <c r="M153"/>
      <c r="N153" s="71">
        <v>132</v>
      </c>
      <c r="O153" s="239"/>
      <c r="P153" s="180"/>
      <c r="Q153" s="240">
        <f t="shared" si="23"/>
        <v>940.00249999999994</v>
      </c>
      <c r="R153" s="180">
        <f t="shared" si="24"/>
        <v>19.270051249999998</v>
      </c>
      <c r="S153" s="180">
        <f>$L$11*(1+$L$9)^N153*'Récapitulatif des résultats'!$I$11</f>
        <v>0</v>
      </c>
      <c r="T153" s="241"/>
      <c r="U153" s="180"/>
      <c r="V153" s="249">
        <f t="shared" si="25"/>
        <v>0</v>
      </c>
      <c r="W153" s="188">
        <f>SUM('Chenes+Alisier - f. très forte'!AQ137*'Chenes+Alisier - f. très forte'!$F$21,'Chenes+corm+merisier - f. forte'!AQ137*'Chenes+corm+merisier - f. forte'!$F$21,'Charme - fertil.forte'!AQ137*'Charme - fertil.forte'!$F$21,'Pin maritime - très forte'!AQ137*'Pin maritime - très forte'!$F$21,'P. sylv.+laricio+séquoia -forte'!AQ137*'P. sylv.+laricio+séquoia -forte'!$F$21,'Douglas - fertilité moyenne'!AQ137*'Douglas - fertilité moyenne'!$F$21)</f>
        <v>0</v>
      </c>
      <c r="X153" s="188">
        <f>SUM('Chenes+Alisier - f. très forte'!AR137*'Chenes+Alisier - f. très forte'!$F$21,'Chenes+corm+merisier - f. forte'!AR137*'Chenes+corm+merisier - f. forte'!$F$21,'Charme - fertil.forte'!AR137*'Charme - fertil.forte'!$F$21,'Pin maritime - très forte'!AR137*'Pin maritime - très forte'!$F$21,'P. sylv.+laricio+séquoia -forte'!AR137*'P. sylv.+laricio+séquoia -forte'!$F$21,'Douglas - fertilité moyenne'!AR137*'Douglas - fertilité moyenne'!$F$21)</f>
        <v>0</v>
      </c>
      <c r="Y153" s="188">
        <f>SUM('Chenes+Alisier - f. très forte'!AS137*'Chenes+Alisier - f. très forte'!$F$21,'Chenes+corm+merisier - f. forte'!AS137*'Chenes+corm+merisier - f. forte'!$F$21,'Charme - fertil.forte'!AS137*'Charme - fertil.forte'!$F$21,'Pin maritime - très forte'!AS137*'Pin maritime - très forte'!$F$21,'P. sylv.+laricio+séquoia -forte'!AS137*'P. sylv.+laricio+séquoia -forte'!$F$21,'Douglas - fertilité moyenne'!AS137*'Douglas - fertilité moyenne'!$F$21)</f>
        <v>0</v>
      </c>
      <c r="Z153" s="331">
        <f>SUM('Chenes+Alisier - f. très forte'!AT137*'Chenes+Alisier - f. très forte'!$F$21,'Chenes+corm+merisier - f. forte'!AT137*'Chenes+corm+merisier - f. forte'!$F$21,'Charme - fertil.forte'!AT137*'Charme - fertil.forte'!$F$21,'Pin maritime - très forte'!AT137*'Pin maritime - très forte'!$F$21,'P. sylv.+laricio+séquoia -forte'!AT137*'P. sylv.+laricio+séquoia -forte'!$F$21,'Douglas - fertilité moyenne'!AT137*'Douglas - fertilité moyenne'!$F$21)</f>
        <v>0</v>
      </c>
      <c r="AA153" s="178">
        <f t="shared" si="27"/>
        <v>0</v>
      </c>
      <c r="AB153" s="179">
        <f t="shared" si="26"/>
        <v>0</v>
      </c>
      <c r="AC153" s="178"/>
      <c r="AD153" s="178"/>
    </row>
    <row r="154" spans="2:30">
      <c r="B154" s="169" t="s">
        <v>41</v>
      </c>
      <c r="C154" s="4">
        <v>0.55000000000000004</v>
      </c>
      <c r="D154" s="191" t="s">
        <v>228</v>
      </c>
      <c r="E154" s="255" t="s">
        <v>250</v>
      </c>
      <c r="F154" s="254">
        <f>IF(Tableau14582[[#This Row],[Type]]="Feuillus",11*1.25,15.5*1.25)</f>
        <v>13.75</v>
      </c>
      <c r="G154" s="208">
        <v>10</v>
      </c>
      <c r="M154"/>
      <c r="N154" s="71">
        <v>133</v>
      </c>
      <c r="O154" s="239"/>
      <c r="P154" s="180"/>
      <c r="Q154" s="240">
        <f t="shared" si="23"/>
        <v>940.00249999999994</v>
      </c>
      <c r="R154" s="180">
        <f t="shared" si="24"/>
        <v>19.270051249999998</v>
      </c>
      <c r="S154" s="180">
        <f>$L$11*(1+$L$9)^N154*'Récapitulatif des résultats'!$I$11</f>
        <v>0</v>
      </c>
      <c r="T154" s="241"/>
      <c r="U154" s="180"/>
      <c r="V154" s="249">
        <f t="shared" si="25"/>
        <v>0</v>
      </c>
      <c r="W154" s="188">
        <f>SUM('Chenes+Alisier - f. très forte'!AQ138*'Chenes+Alisier - f. très forte'!$F$21,'Chenes+corm+merisier - f. forte'!AQ138*'Chenes+corm+merisier - f. forte'!$F$21,'Charme - fertil.forte'!AQ138*'Charme - fertil.forte'!$F$21,'Pin maritime - très forte'!AQ138*'Pin maritime - très forte'!$F$21,'P. sylv.+laricio+séquoia -forte'!AQ138*'P. sylv.+laricio+séquoia -forte'!$F$21,'Douglas - fertilité moyenne'!AQ138*'Douglas - fertilité moyenne'!$F$21)</f>
        <v>0</v>
      </c>
      <c r="X154" s="188">
        <f>SUM('Chenes+Alisier - f. très forte'!AR138*'Chenes+Alisier - f. très forte'!$F$21,'Chenes+corm+merisier - f. forte'!AR138*'Chenes+corm+merisier - f. forte'!$F$21,'Charme - fertil.forte'!AR138*'Charme - fertil.forte'!$F$21,'Pin maritime - très forte'!AR138*'Pin maritime - très forte'!$F$21,'P. sylv.+laricio+séquoia -forte'!AR138*'P. sylv.+laricio+séquoia -forte'!$F$21,'Douglas - fertilité moyenne'!AR138*'Douglas - fertilité moyenne'!$F$21)</f>
        <v>0</v>
      </c>
      <c r="Y154" s="188">
        <f>SUM('Chenes+Alisier - f. très forte'!AS138*'Chenes+Alisier - f. très forte'!$F$21,'Chenes+corm+merisier - f. forte'!AS138*'Chenes+corm+merisier - f. forte'!$F$21,'Charme - fertil.forte'!AS138*'Charme - fertil.forte'!$F$21,'Pin maritime - très forte'!AS138*'Pin maritime - très forte'!$F$21,'P. sylv.+laricio+séquoia -forte'!AS138*'P. sylv.+laricio+séquoia -forte'!$F$21,'Douglas - fertilité moyenne'!AS138*'Douglas - fertilité moyenne'!$F$21)</f>
        <v>0</v>
      </c>
      <c r="Z154" s="331">
        <f>SUM('Chenes+Alisier - f. très forte'!AT138*'Chenes+Alisier - f. très forte'!$F$21,'Chenes+corm+merisier - f. forte'!AT138*'Chenes+corm+merisier - f. forte'!$F$21,'Charme - fertil.forte'!AT138*'Charme - fertil.forte'!$F$21,'Pin maritime - très forte'!AT138*'Pin maritime - très forte'!$F$21,'P. sylv.+laricio+séquoia -forte'!AT138*'P. sylv.+laricio+séquoia -forte'!$F$21,'Douglas - fertilité moyenne'!AT138*'Douglas - fertilité moyenne'!$F$21)</f>
        <v>0</v>
      </c>
      <c r="AA154" s="178">
        <f t="shared" si="27"/>
        <v>0</v>
      </c>
      <c r="AB154" s="179">
        <f t="shared" si="26"/>
        <v>0</v>
      </c>
      <c r="AC154" s="178"/>
      <c r="AD154" s="178"/>
    </row>
    <row r="155" spans="2:30">
      <c r="B155" s="169" t="s">
        <v>42</v>
      </c>
      <c r="C155" s="4">
        <v>0.53</v>
      </c>
      <c r="D155" s="191" t="s">
        <v>228</v>
      </c>
      <c r="E155" s="255" t="s">
        <v>250</v>
      </c>
      <c r="F155" s="254">
        <f>IF(Tableau14582[[#This Row],[Type]]="Feuillus",11*1.25,15.5*1.25)</f>
        <v>13.75</v>
      </c>
      <c r="G155" s="208">
        <v>10</v>
      </c>
      <c r="M155"/>
      <c r="N155" s="71">
        <v>134</v>
      </c>
      <c r="O155" s="239"/>
      <c r="P155" s="180"/>
      <c r="Q155" s="240">
        <f t="shared" ref="Q155:Q186" si="28">$L$13*(1+$L$9)^N155*$L$5</f>
        <v>940.00249999999994</v>
      </c>
      <c r="R155" s="180">
        <f t="shared" si="24"/>
        <v>19.270051249999998</v>
      </c>
      <c r="S155" s="180">
        <f>$L$11*(1+$L$9)^N155*'Récapitulatif des résultats'!$I$11</f>
        <v>0</v>
      </c>
      <c r="T155" s="241"/>
      <c r="U155" s="180"/>
      <c r="V155" s="249">
        <f t="shared" si="25"/>
        <v>0</v>
      </c>
      <c r="W155" s="188">
        <f>SUM('Chenes+Alisier - f. très forte'!AQ139*'Chenes+Alisier - f. très forte'!$F$21,'Chenes+corm+merisier - f. forte'!AQ139*'Chenes+corm+merisier - f. forte'!$F$21,'Charme - fertil.forte'!AQ139*'Charme - fertil.forte'!$F$21,'Pin maritime - très forte'!AQ139*'Pin maritime - très forte'!$F$21,'P. sylv.+laricio+séquoia -forte'!AQ139*'P. sylv.+laricio+séquoia -forte'!$F$21,'Douglas - fertilité moyenne'!AQ139*'Douglas - fertilité moyenne'!$F$21)</f>
        <v>0</v>
      </c>
      <c r="X155" s="188">
        <f>SUM('Chenes+Alisier - f. très forte'!AR139*'Chenes+Alisier - f. très forte'!$F$21,'Chenes+corm+merisier - f. forte'!AR139*'Chenes+corm+merisier - f. forte'!$F$21,'Charme - fertil.forte'!AR139*'Charme - fertil.forte'!$F$21,'Pin maritime - très forte'!AR139*'Pin maritime - très forte'!$F$21,'P. sylv.+laricio+séquoia -forte'!AR139*'P. sylv.+laricio+séquoia -forte'!$F$21,'Douglas - fertilité moyenne'!AR139*'Douglas - fertilité moyenne'!$F$21)</f>
        <v>0</v>
      </c>
      <c r="Y155" s="188">
        <f>SUM('Chenes+Alisier - f. très forte'!AS139*'Chenes+Alisier - f. très forte'!$F$21,'Chenes+corm+merisier - f. forte'!AS139*'Chenes+corm+merisier - f. forte'!$F$21,'Charme - fertil.forte'!AS139*'Charme - fertil.forte'!$F$21,'Pin maritime - très forte'!AS139*'Pin maritime - très forte'!$F$21,'P. sylv.+laricio+séquoia -forte'!AS139*'P. sylv.+laricio+séquoia -forte'!$F$21,'Douglas - fertilité moyenne'!AS139*'Douglas - fertilité moyenne'!$F$21)</f>
        <v>0</v>
      </c>
      <c r="Z155" s="331">
        <f>SUM('Chenes+Alisier - f. très forte'!AT139*'Chenes+Alisier - f. très forte'!$F$21,'Chenes+corm+merisier - f. forte'!AT139*'Chenes+corm+merisier - f. forte'!$F$21,'Charme - fertil.forte'!AT139*'Charme - fertil.forte'!$F$21,'Pin maritime - très forte'!AT139*'Pin maritime - très forte'!$F$21,'P. sylv.+laricio+séquoia -forte'!AT139*'P. sylv.+laricio+séquoia -forte'!$F$21,'Douglas - fertilité moyenne'!AT139*'Douglas - fertilité moyenne'!$F$21)</f>
        <v>0</v>
      </c>
      <c r="AA155" s="178">
        <f t="shared" si="27"/>
        <v>0</v>
      </c>
      <c r="AB155" s="179">
        <f t="shared" si="26"/>
        <v>0</v>
      </c>
      <c r="AC155" s="178"/>
      <c r="AD155" s="178"/>
    </row>
    <row r="156" spans="2:30">
      <c r="B156" s="169" t="s">
        <v>43</v>
      </c>
      <c r="C156" s="4">
        <v>0.52</v>
      </c>
      <c r="D156" s="191" t="s">
        <v>228</v>
      </c>
      <c r="E156" s="255" t="s">
        <v>250</v>
      </c>
      <c r="F156" s="254">
        <f>IF(Tableau14582[[#This Row],[Type]]="Feuillus",11*1.25,15.5*1.25)</f>
        <v>13.75</v>
      </c>
      <c r="G156" s="208">
        <v>10</v>
      </c>
      <c r="M156"/>
      <c r="N156" s="71">
        <v>135</v>
      </c>
      <c r="O156" s="239"/>
      <c r="P156" s="180"/>
      <c r="Q156" s="240">
        <f t="shared" si="28"/>
        <v>940.00249999999994</v>
      </c>
      <c r="R156" s="180">
        <f t="shared" si="24"/>
        <v>19.270051249999998</v>
      </c>
      <c r="S156" s="180">
        <f>$L$11*(1+$L$9)^N156*'Récapitulatif des résultats'!$I$11</f>
        <v>0</v>
      </c>
      <c r="T156" s="241"/>
      <c r="U156" s="180"/>
      <c r="V156" s="249">
        <f t="shared" si="25"/>
        <v>0</v>
      </c>
      <c r="W156" s="188">
        <f>SUM('Chenes+Alisier - f. très forte'!AQ140*'Chenes+Alisier - f. très forte'!$F$21,'Chenes+corm+merisier - f. forte'!AQ140*'Chenes+corm+merisier - f. forte'!$F$21,'Charme - fertil.forte'!AQ140*'Charme - fertil.forte'!$F$21,'Pin maritime - très forte'!AQ140*'Pin maritime - très forte'!$F$21,'P. sylv.+laricio+séquoia -forte'!AQ140*'P. sylv.+laricio+séquoia -forte'!$F$21,'Douglas - fertilité moyenne'!AQ140*'Douglas - fertilité moyenne'!$F$21)</f>
        <v>0</v>
      </c>
      <c r="X156" s="188">
        <f>SUM('Chenes+Alisier - f. très forte'!AR140*'Chenes+Alisier - f. très forte'!$F$21,'Chenes+corm+merisier - f. forte'!AR140*'Chenes+corm+merisier - f. forte'!$F$21,'Charme - fertil.forte'!AR140*'Charme - fertil.forte'!$F$21,'Pin maritime - très forte'!AR140*'Pin maritime - très forte'!$F$21,'P. sylv.+laricio+séquoia -forte'!AR140*'P. sylv.+laricio+séquoia -forte'!$F$21,'Douglas - fertilité moyenne'!AR140*'Douglas - fertilité moyenne'!$F$21)</f>
        <v>0</v>
      </c>
      <c r="Y156" s="188">
        <f>SUM('Chenes+Alisier - f. très forte'!AS140*'Chenes+Alisier - f. très forte'!$F$21,'Chenes+corm+merisier - f. forte'!AS140*'Chenes+corm+merisier - f. forte'!$F$21,'Charme - fertil.forte'!AS140*'Charme - fertil.forte'!$F$21,'Pin maritime - très forte'!AS140*'Pin maritime - très forte'!$F$21,'P. sylv.+laricio+séquoia -forte'!AS140*'P. sylv.+laricio+séquoia -forte'!$F$21,'Douglas - fertilité moyenne'!AS140*'Douglas - fertilité moyenne'!$F$21)</f>
        <v>0</v>
      </c>
      <c r="Z156" s="331">
        <f>SUM('Chenes+Alisier - f. très forte'!AT140*'Chenes+Alisier - f. très forte'!$F$21,'Chenes+corm+merisier - f. forte'!AT140*'Chenes+corm+merisier - f. forte'!$F$21,'Charme - fertil.forte'!AT140*'Charme - fertil.forte'!$F$21,'Pin maritime - très forte'!AT140*'Pin maritime - très forte'!$F$21,'P. sylv.+laricio+séquoia -forte'!AT140*'P. sylv.+laricio+séquoia -forte'!$F$21,'Douglas - fertilité moyenne'!AT140*'Douglas - fertilité moyenne'!$F$21)</f>
        <v>0</v>
      </c>
      <c r="AA156" s="178">
        <f t="shared" si="27"/>
        <v>0</v>
      </c>
      <c r="AB156" s="179">
        <f t="shared" si="26"/>
        <v>0</v>
      </c>
      <c r="AC156" s="178"/>
      <c r="AD156" s="178"/>
    </row>
    <row r="157" spans="2:30">
      <c r="B157" s="169" t="s">
        <v>44</v>
      </c>
      <c r="C157" s="4">
        <v>0.52</v>
      </c>
      <c r="D157" s="191" t="s">
        <v>228</v>
      </c>
      <c r="E157" s="208">
        <v>300</v>
      </c>
      <c r="F157" s="254">
        <f>IF(Tableau14582[[#This Row],[Type]]="Feuillus",11*1.25,15.5*1.25)</f>
        <v>13.75</v>
      </c>
      <c r="G157" s="208">
        <v>10</v>
      </c>
      <c r="M157"/>
      <c r="N157" s="71">
        <v>136</v>
      </c>
      <c r="O157" s="239"/>
      <c r="P157" s="180"/>
      <c r="Q157" s="240">
        <f t="shared" si="28"/>
        <v>940.00249999999994</v>
      </c>
      <c r="R157" s="180">
        <f t="shared" si="24"/>
        <v>19.270051249999998</v>
      </c>
      <c r="S157" s="180">
        <f>$L$11*(1+$L$9)^N157*'Récapitulatif des résultats'!$I$11</f>
        <v>0</v>
      </c>
      <c r="T157" s="241"/>
      <c r="U157" s="180"/>
      <c r="V157" s="249">
        <f t="shared" si="25"/>
        <v>0</v>
      </c>
      <c r="W157" s="188">
        <f>SUM('Chenes+Alisier - f. très forte'!AQ141*'Chenes+Alisier - f. très forte'!$F$21,'Chenes+corm+merisier - f. forte'!AQ141*'Chenes+corm+merisier - f. forte'!$F$21,'Charme - fertil.forte'!AQ141*'Charme - fertil.forte'!$F$21,'Pin maritime - très forte'!AQ141*'Pin maritime - très forte'!$F$21,'P. sylv.+laricio+séquoia -forte'!AQ141*'P. sylv.+laricio+séquoia -forte'!$F$21,'Douglas - fertilité moyenne'!AQ141*'Douglas - fertilité moyenne'!$F$21)</f>
        <v>0</v>
      </c>
      <c r="X157" s="188">
        <f>SUM('Chenes+Alisier - f. très forte'!AR141*'Chenes+Alisier - f. très forte'!$F$21,'Chenes+corm+merisier - f. forte'!AR141*'Chenes+corm+merisier - f. forte'!$F$21,'Charme - fertil.forte'!AR141*'Charme - fertil.forte'!$F$21,'Pin maritime - très forte'!AR141*'Pin maritime - très forte'!$F$21,'P. sylv.+laricio+séquoia -forte'!AR141*'P. sylv.+laricio+séquoia -forte'!$F$21,'Douglas - fertilité moyenne'!AR141*'Douglas - fertilité moyenne'!$F$21)</f>
        <v>0</v>
      </c>
      <c r="Y157" s="188">
        <f>SUM('Chenes+Alisier - f. très forte'!AS141*'Chenes+Alisier - f. très forte'!$F$21,'Chenes+corm+merisier - f. forte'!AS141*'Chenes+corm+merisier - f. forte'!$F$21,'Charme - fertil.forte'!AS141*'Charme - fertil.forte'!$F$21,'Pin maritime - très forte'!AS141*'Pin maritime - très forte'!$F$21,'P. sylv.+laricio+séquoia -forte'!AS141*'P. sylv.+laricio+séquoia -forte'!$F$21,'Douglas - fertilité moyenne'!AS141*'Douglas - fertilité moyenne'!$F$21)</f>
        <v>0</v>
      </c>
      <c r="Z157" s="331">
        <f>SUM('Chenes+Alisier - f. très forte'!AT141*'Chenes+Alisier - f. très forte'!$F$21,'Chenes+corm+merisier - f. forte'!AT141*'Chenes+corm+merisier - f. forte'!$F$21,'Charme - fertil.forte'!AT141*'Charme - fertil.forte'!$F$21,'Pin maritime - très forte'!AT141*'Pin maritime - très forte'!$F$21,'P. sylv.+laricio+séquoia -forte'!AT141*'P. sylv.+laricio+séquoia -forte'!$F$21,'Douglas - fertilité moyenne'!AT141*'Douglas - fertilité moyenne'!$F$21)</f>
        <v>0</v>
      </c>
      <c r="AA157" s="178">
        <f t="shared" si="27"/>
        <v>0</v>
      </c>
      <c r="AB157" s="179">
        <f t="shared" si="26"/>
        <v>0</v>
      </c>
      <c r="AC157" s="178"/>
      <c r="AD157" s="178"/>
    </row>
    <row r="158" spans="2:30">
      <c r="B158" s="169" t="s">
        <v>45</v>
      </c>
      <c r="C158" s="4">
        <v>0.75</v>
      </c>
      <c r="D158" s="191" t="s">
        <v>228</v>
      </c>
      <c r="E158" s="255" t="s">
        <v>250</v>
      </c>
      <c r="F158" s="254">
        <f>IF(Tableau14582[[#This Row],[Type]]="Feuillus",11*1.25,15.5*1.25)</f>
        <v>13.75</v>
      </c>
      <c r="G158" s="208">
        <v>10</v>
      </c>
      <c r="M158"/>
      <c r="N158" s="71">
        <v>137</v>
      </c>
      <c r="O158" s="239"/>
      <c r="P158" s="180"/>
      <c r="Q158" s="240">
        <f t="shared" si="28"/>
        <v>940.00249999999994</v>
      </c>
      <c r="R158" s="180">
        <f t="shared" si="24"/>
        <v>19.270051249999998</v>
      </c>
      <c r="S158" s="180">
        <f>$L$11*(1+$L$9)^N158*'Récapitulatif des résultats'!$I$11</f>
        <v>0</v>
      </c>
      <c r="T158" s="241"/>
      <c r="U158" s="180"/>
      <c r="V158" s="249">
        <f t="shared" si="25"/>
        <v>0</v>
      </c>
      <c r="W158" s="188">
        <f>SUM('Chenes+Alisier - f. très forte'!AQ142*'Chenes+Alisier - f. très forte'!$F$21,'Chenes+corm+merisier - f. forte'!AQ142*'Chenes+corm+merisier - f. forte'!$F$21,'Charme - fertil.forte'!AQ142*'Charme - fertil.forte'!$F$21,'Pin maritime - très forte'!AQ142*'Pin maritime - très forte'!$F$21,'P. sylv.+laricio+séquoia -forte'!AQ142*'P. sylv.+laricio+séquoia -forte'!$F$21,'Douglas - fertilité moyenne'!AQ142*'Douglas - fertilité moyenne'!$F$21)</f>
        <v>0</v>
      </c>
      <c r="X158" s="188">
        <f>SUM('Chenes+Alisier - f. très forte'!AR142*'Chenes+Alisier - f. très forte'!$F$21,'Chenes+corm+merisier - f. forte'!AR142*'Chenes+corm+merisier - f. forte'!$F$21,'Charme - fertil.forte'!AR142*'Charme - fertil.forte'!$F$21,'Pin maritime - très forte'!AR142*'Pin maritime - très forte'!$F$21,'P. sylv.+laricio+séquoia -forte'!AR142*'P. sylv.+laricio+séquoia -forte'!$F$21,'Douglas - fertilité moyenne'!AR142*'Douglas - fertilité moyenne'!$F$21)</f>
        <v>0</v>
      </c>
      <c r="Y158" s="188">
        <f>SUM('Chenes+Alisier - f. très forte'!AS142*'Chenes+Alisier - f. très forte'!$F$21,'Chenes+corm+merisier - f. forte'!AS142*'Chenes+corm+merisier - f. forte'!$F$21,'Charme - fertil.forte'!AS142*'Charme - fertil.forte'!$F$21,'Pin maritime - très forte'!AS142*'Pin maritime - très forte'!$F$21,'P. sylv.+laricio+séquoia -forte'!AS142*'P. sylv.+laricio+séquoia -forte'!$F$21,'Douglas - fertilité moyenne'!AS142*'Douglas - fertilité moyenne'!$F$21)</f>
        <v>0</v>
      </c>
      <c r="Z158" s="331">
        <f>SUM('Chenes+Alisier - f. très forte'!AT142*'Chenes+Alisier - f. très forte'!$F$21,'Chenes+corm+merisier - f. forte'!AT142*'Chenes+corm+merisier - f. forte'!$F$21,'Charme - fertil.forte'!AT142*'Charme - fertil.forte'!$F$21,'Pin maritime - très forte'!AT142*'Pin maritime - très forte'!$F$21,'P. sylv.+laricio+séquoia -forte'!AT142*'P. sylv.+laricio+séquoia -forte'!$F$21,'Douglas - fertilité moyenne'!AT142*'Douglas - fertilité moyenne'!$F$21)</f>
        <v>0</v>
      </c>
      <c r="AA158" s="178">
        <f t="shared" si="27"/>
        <v>0</v>
      </c>
      <c r="AB158" s="179">
        <f t="shared" si="26"/>
        <v>0</v>
      </c>
      <c r="AC158" s="178"/>
      <c r="AD158" s="178"/>
    </row>
    <row r="159" spans="2:30">
      <c r="B159" s="169" t="s">
        <v>46</v>
      </c>
      <c r="C159" s="4">
        <v>0.52</v>
      </c>
      <c r="D159" s="191" t="s">
        <v>228</v>
      </c>
      <c r="E159" s="208">
        <v>50</v>
      </c>
      <c r="F159" s="254">
        <f>IF(Tableau14582[[#This Row],[Type]]="Feuillus",11*1.25,15.5*1.25)</f>
        <v>13.75</v>
      </c>
      <c r="G159" s="208">
        <v>10</v>
      </c>
      <c r="M159"/>
      <c r="N159" s="71">
        <v>138</v>
      </c>
      <c r="O159" s="239"/>
      <c r="P159" s="180"/>
      <c r="Q159" s="240">
        <f t="shared" si="28"/>
        <v>940.00249999999994</v>
      </c>
      <c r="R159" s="180">
        <f t="shared" si="24"/>
        <v>19.270051249999998</v>
      </c>
      <c r="S159" s="180">
        <f>$L$11*(1+$L$9)^N159*'Récapitulatif des résultats'!$I$11</f>
        <v>0</v>
      </c>
      <c r="T159" s="241"/>
      <c r="U159" s="180"/>
      <c r="V159" s="249">
        <f t="shared" si="25"/>
        <v>0</v>
      </c>
      <c r="W159" s="188">
        <f>SUM('Chenes+Alisier - f. très forte'!AQ143*'Chenes+Alisier - f. très forte'!$F$21,'Chenes+corm+merisier - f. forte'!AQ143*'Chenes+corm+merisier - f. forte'!$F$21,'Charme - fertil.forte'!AQ143*'Charme - fertil.forte'!$F$21,'Pin maritime - très forte'!AQ143*'Pin maritime - très forte'!$F$21,'P. sylv.+laricio+séquoia -forte'!AQ143*'P. sylv.+laricio+séquoia -forte'!$F$21,'Douglas - fertilité moyenne'!AQ143*'Douglas - fertilité moyenne'!$F$21)</f>
        <v>0</v>
      </c>
      <c r="X159" s="188">
        <f>SUM('Chenes+Alisier - f. très forte'!AR143*'Chenes+Alisier - f. très forte'!$F$21,'Chenes+corm+merisier - f. forte'!AR143*'Chenes+corm+merisier - f. forte'!$F$21,'Charme - fertil.forte'!AR143*'Charme - fertil.forte'!$F$21,'Pin maritime - très forte'!AR143*'Pin maritime - très forte'!$F$21,'P. sylv.+laricio+séquoia -forte'!AR143*'P. sylv.+laricio+séquoia -forte'!$F$21,'Douglas - fertilité moyenne'!AR143*'Douglas - fertilité moyenne'!$F$21)</f>
        <v>0</v>
      </c>
      <c r="Y159" s="188">
        <f>SUM('Chenes+Alisier - f. très forte'!AS143*'Chenes+Alisier - f. très forte'!$F$21,'Chenes+corm+merisier - f. forte'!AS143*'Chenes+corm+merisier - f. forte'!$F$21,'Charme - fertil.forte'!AS143*'Charme - fertil.forte'!$F$21,'Pin maritime - très forte'!AS143*'Pin maritime - très forte'!$F$21,'P. sylv.+laricio+séquoia -forte'!AS143*'P. sylv.+laricio+séquoia -forte'!$F$21,'Douglas - fertilité moyenne'!AS143*'Douglas - fertilité moyenne'!$F$21)</f>
        <v>0</v>
      </c>
      <c r="Z159" s="331">
        <f>SUM('Chenes+Alisier - f. très forte'!AT143*'Chenes+Alisier - f. très forte'!$F$21,'Chenes+corm+merisier - f. forte'!AT143*'Chenes+corm+merisier - f. forte'!$F$21,'Charme - fertil.forte'!AT143*'Charme - fertil.forte'!$F$21,'Pin maritime - très forte'!AT143*'Pin maritime - très forte'!$F$21,'P. sylv.+laricio+séquoia -forte'!AT143*'P. sylv.+laricio+séquoia -forte'!$F$21,'Douglas - fertilité moyenne'!AT143*'Douglas - fertilité moyenne'!$F$21)</f>
        <v>0</v>
      </c>
      <c r="AA159" s="178">
        <f t="shared" si="27"/>
        <v>0</v>
      </c>
      <c r="AB159" s="179">
        <f t="shared" si="26"/>
        <v>0</v>
      </c>
      <c r="AC159" s="178"/>
      <c r="AD159" s="178"/>
    </row>
    <row r="160" spans="2:30">
      <c r="B160" s="169" t="s">
        <v>47</v>
      </c>
      <c r="C160" s="4">
        <v>0.35</v>
      </c>
      <c r="D160" s="191" t="s">
        <v>230</v>
      </c>
      <c r="E160" s="208">
        <v>42</v>
      </c>
      <c r="F160" s="254">
        <f>IF(Tableau14582[[#This Row],[Type]]="Feuillus",11*1.25,15.5*1.25)</f>
        <v>19.375</v>
      </c>
      <c r="G160" s="208">
        <v>10</v>
      </c>
      <c r="M160"/>
      <c r="N160" s="71">
        <v>139</v>
      </c>
      <c r="O160" s="239"/>
      <c r="P160" s="180"/>
      <c r="Q160" s="240">
        <f t="shared" si="28"/>
        <v>940.00249999999994</v>
      </c>
      <c r="R160" s="180">
        <f t="shared" si="24"/>
        <v>19.270051249999998</v>
      </c>
      <c r="S160" s="180">
        <f>$L$11*(1+$L$9)^N160*'Récapitulatif des résultats'!$I$11</f>
        <v>0</v>
      </c>
      <c r="T160" s="241"/>
      <c r="U160" s="180"/>
      <c r="V160" s="249">
        <f t="shared" si="25"/>
        <v>0</v>
      </c>
      <c r="W160" s="188">
        <f>SUM('Chenes+Alisier - f. très forte'!AQ144*'Chenes+Alisier - f. très forte'!$F$21,'Chenes+corm+merisier - f. forte'!AQ144*'Chenes+corm+merisier - f. forte'!$F$21,'Charme - fertil.forte'!AQ144*'Charme - fertil.forte'!$F$21,'Pin maritime - très forte'!AQ144*'Pin maritime - très forte'!$F$21,'P. sylv.+laricio+séquoia -forte'!AQ144*'P. sylv.+laricio+séquoia -forte'!$F$21,'Douglas - fertilité moyenne'!AQ144*'Douglas - fertilité moyenne'!$F$21)</f>
        <v>0</v>
      </c>
      <c r="X160" s="188">
        <f>SUM('Chenes+Alisier - f. très forte'!AR144*'Chenes+Alisier - f. très forte'!$F$21,'Chenes+corm+merisier - f. forte'!AR144*'Chenes+corm+merisier - f. forte'!$F$21,'Charme - fertil.forte'!AR144*'Charme - fertil.forte'!$F$21,'Pin maritime - très forte'!AR144*'Pin maritime - très forte'!$F$21,'P. sylv.+laricio+séquoia -forte'!AR144*'P. sylv.+laricio+séquoia -forte'!$F$21,'Douglas - fertilité moyenne'!AR144*'Douglas - fertilité moyenne'!$F$21)</f>
        <v>0</v>
      </c>
      <c r="Y160" s="188">
        <f>SUM('Chenes+Alisier - f. très forte'!AS144*'Chenes+Alisier - f. très forte'!$F$21,'Chenes+corm+merisier - f. forte'!AS144*'Chenes+corm+merisier - f. forte'!$F$21,'Charme - fertil.forte'!AS144*'Charme - fertil.forte'!$F$21,'Pin maritime - très forte'!AS144*'Pin maritime - très forte'!$F$21,'P. sylv.+laricio+séquoia -forte'!AS144*'P. sylv.+laricio+séquoia -forte'!$F$21,'Douglas - fertilité moyenne'!AS144*'Douglas - fertilité moyenne'!$F$21)</f>
        <v>0</v>
      </c>
      <c r="Z160" s="331">
        <f>SUM('Chenes+Alisier - f. très forte'!AT144*'Chenes+Alisier - f. très forte'!$F$21,'Chenes+corm+merisier - f. forte'!AT144*'Chenes+corm+merisier - f. forte'!$F$21,'Charme - fertil.forte'!AT144*'Charme - fertil.forte'!$F$21,'Pin maritime - très forte'!AT144*'Pin maritime - très forte'!$F$21,'P. sylv.+laricio+séquoia -forte'!AT144*'P. sylv.+laricio+séquoia -forte'!$F$21,'Douglas - fertilité moyenne'!AT144*'Douglas - fertilité moyenne'!$F$21)</f>
        <v>0</v>
      </c>
      <c r="AA160" s="178">
        <f t="shared" si="27"/>
        <v>0</v>
      </c>
      <c r="AB160" s="179">
        <f t="shared" si="26"/>
        <v>0</v>
      </c>
      <c r="AC160" s="178"/>
      <c r="AD160" s="178"/>
    </row>
    <row r="161" spans="2:30">
      <c r="B161" s="169" t="s">
        <v>48</v>
      </c>
      <c r="C161" s="4">
        <v>0.37</v>
      </c>
      <c r="D161" s="191" t="s">
        <v>228</v>
      </c>
      <c r="E161" s="208">
        <v>17.5</v>
      </c>
      <c r="F161" s="254">
        <f>IF(Tableau14582[[#This Row],[Type]]="Feuillus",11*1.25,15.5*1.25)</f>
        <v>13.75</v>
      </c>
      <c r="G161" s="208">
        <v>10</v>
      </c>
      <c r="M161"/>
      <c r="N161" s="71">
        <v>140</v>
      </c>
      <c r="O161" s="239"/>
      <c r="P161" s="180"/>
      <c r="Q161" s="240">
        <f t="shared" si="28"/>
        <v>940.00249999999994</v>
      </c>
      <c r="R161" s="180">
        <f t="shared" si="24"/>
        <v>19.270051249999998</v>
      </c>
      <c r="S161" s="180">
        <f>$L$11*(1+$L$9)^N161*'Récapitulatif des résultats'!$I$11</f>
        <v>0</v>
      </c>
      <c r="T161" s="241"/>
      <c r="U161" s="180"/>
      <c r="V161" s="249">
        <f t="shared" si="25"/>
        <v>0</v>
      </c>
      <c r="W161" s="188">
        <f>SUM('Chenes+Alisier - f. très forte'!AQ145*'Chenes+Alisier - f. très forte'!$F$21,'Chenes+corm+merisier - f. forte'!AQ145*'Chenes+corm+merisier - f. forte'!$F$21,'Charme - fertil.forte'!AQ145*'Charme - fertil.forte'!$F$21,'Pin maritime - très forte'!AQ145*'Pin maritime - très forte'!$F$21,'P. sylv.+laricio+séquoia -forte'!AQ145*'P. sylv.+laricio+séquoia -forte'!$F$21,'Douglas - fertilité moyenne'!AQ145*'Douglas - fertilité moyenne'!$F$21)</f>
        <v>0</v>
      </c>
      <c r="X161" s="188">
        <f>SUM('Chenes+Alisier - f. très forte'!AR145*'Chenes+Alisier - f. très forte'!$F$21,'Chenes+corm+merisier - f. forte'!AR145*'Chenes+corm+merisier - f. forte'!$F$21,'Charme - fertil.forte'!AR145*'Charme - fertil.forte'!$F$21,'Pin maritime - très forte'!AR145*'Pin maritime - très forte'!$F$21,'P. sylv.+laricio+séquoia -forte'!AR145*'P. sylv.+laricio+séquoia -forte'!$F$21,'Douglas - fertilité moyenne'!AR145*'Douglas - fertilité moyenne'!$F$21)</f>
        <v>0</v>
      </c>
      <c r="Y161" s="188">
        <f>SUM('Chenes+Alisier - f. très forte'!AS145*'Chenes+Alisier - f. très forte'!$F$21,'Chenes+corm+merisier - f. forte'!AS145*'Chenes+corm+merisier - f. forte'!$F$21,'Charme - fertil.forte'!AS145*'Charme - fertil.forte'!$F$21,'Pin maritime - très forte'!AS145*'Pin maritime - très forte'!$F$21,'P. sylv.+laricio+séquoia -forte'!AS145*'P. sylv.+laricio+séquoia -forte'!$F$21,'Douglas - fertilité moyenne'!AS145*'Douglas - fertilité moyenne'!$F$21)</f>
        <v>0</v>
      </c>
      <c r="Z161" s="331">
        <f>SUM('Chenes+Alisier - f. très forte'!AT145*'Chenes+Alisier - f. très forte'!$F$21,'Chenes+corm+merisier - f. forte'!AT145*'Chenes+corm+merisier - f. forte'!$F$21,'Charme - fertil.forte'!AT145*'Charme - fertil.forte'!$F$21,'Pin maritime - très forte'!AT145*'Pin maritime - très forte'!$F$21,'P. sylv.+laricio+séquoia -forte'!AT145*'P. sylv.+laricio+séquoia -forte'!$F$21,'Douglas - fertilité moyenne'!AT145*'Douglas - fertilité moyenne'!$F$21)</f>
        <v>0</v>
      </c>
      <c r="AA161" s="178">
        <f t="shared" si="27"/>
        <v>0</v>
      </c>
      <c r="AB161" s="179">
        <f t="shared" si="26"/>
        <v>0</v>
      </c>
      <c r="AC161" s="178"/>
      <c r="AD161" s="178"/>
    </row>
    <row r="162" spans="2:30">
      <c r="B162" s="169" t="s">
        <v>49</v>
      </c>
      <c r="C162" s="4">
        <v>0.45</v>
      </c>
      <c r="D162" s="191" t="s">
        <v>229</v>
      </c>
      <c r="E162" s="208">
        <v>30</v>
      </c>
      <c r="F162" s="254">
        <f>IF(Tableau14582[[#This Row],[Type]]="Feuillus",11*1.25,15.5*1.25)</f>
        <v>19.375</v>
      </c>
      <c r="G162" s="208">
        <v>10</v>
      </c>
      <c r="M162"/>
      <c r="N162" s="71">
        <v>141</v>
      </c>
      <c r="O162" s="239"/>
      <c r="P162" s="180"/>
      <c r="Q162" s="240">
        <f t="shared" si="28"/>
        <v>940.00249999999994</v>
      </c>
      <c r="R162" s="180">
        <f t="shared" si="24"/>
        <v>19.270051249999998</v>
      </c>
      <c r="S162" s="180">
        <f>$L$11*(1+$L$9)^N162*'Récapitulatif des résultats'!$I$11</f>
        <v>0</v>
      </c>
      <c r="T162" s="241"/>
      <c r="U162" s="180"/>
      <c r="V162" s="249">
        <f t="shared" si="25"/>
        <v>0</v>
      </c>
      <c r="W162" s="188">
        <f>SUM('Chenes+Alisier - f. très forte'!AQ146*'Chenes+Alisier - f. très forte'!$F$21,'Chenes+corm+merisier - f. forte'!AQ146*'Chenes+corm+merisier - f. forte'!$F$21,'Charme - fertil.forte'!AQ146*'Charme - fertil.forte'!$F$21,'Pin maritime - très forte'!AQ146*'Pin maritime - très forte'!$F$21,'P. sylv.+laricio+séquoia -forte'!AQ146*'P. sylv.+laricio+séquoia -forte'!$F$21,'Douglas - fertilité moyenne'!AQ146*'Douglas - fertilité moyenne'!$F$21)</f>
        <v>0</v>
      </c>
      <c r="X162" s="188">
        <f>SUM('Chenes+Alisier - f. très forte'!AR146*'Chenes+Alisier - f. très forte'!$F$21,'Chenes+corm+merisier - f. forte'!AR146*'Chenes+corm+merisier - f. forte'!$F$21,'Charme - fertil.forte'!AR146*'Charme - fertil.forte'!$F$21,'Pin maritime - très forte'!AR146*'Pin maritime - très forte'!$F$21,'P. sylv.+laricio+séquoia -forte'!AR146*'P. sylv.+laricio+séquoia -forte'!$F$21,'Douglas - fertilité moyenne'!AR146*'Douglas - fertilité moyenne'!$F$21)</f>
        <v>0</v>
      </c>
      <c r="Y162" s="188">
        <f>SUM('Chenes+Alisier - f. très forte'!AS146*'Chenes+Alisier - f. très forte'!$F$21,'Chenes+corm+merisier - f. forte'!AS146*'Chenes+corm+merisier - f. forte'!$F$21,'Charme - fertil.forte'!AS146*'Charme - fertil.forte'!$F$21,'Pin maritime - très forte'!AS146*'Pin maritime - très forte'!$F$21,'P. sylv.+laricio+séquoia -forte'!AS146*'P. sylv.+laricio+séquoia -forte'!$F$21,'Douglas - fertilité moyenne'!AS146*'Douglas - fertilité moyenne'!$F$21)</f>
        <v>0</v>
      </c>
      <c r="Z162" s="331">
        <f>SUM('Chenes+Alisier - f. très forte'!AT146*'Chenes+Alisier - f. très forte'!$F$21,'Chenes+corm+merisier - f. forte'!AT146*'Chenes+corm+merisier - f. forte'!$F$21,'Charme - fertil.forte'!AT146*'Charme - fertil.forte'!$F$21,'Pin maritime - très forte'!AT146*'Pin maritime - très forte'!$F$21,'P. sylv.+laricio+séquoia -forte'!AT146*'P. sylv.+laricio+séquoia -forte'!$F$21,'Douglas - fertilité moyenne'!AT146*'Douglas - fertilité moyenne'!$F$21)</f>
        <v>0</v>
      </c>
      <c r="AA162" s="178">
        <f t="shared" si="27"/>
        <v>0</v>
      </c>
      <c r="AB162" s="179">
        <f t="shared" si="26"/>
        <v>0</v>
      </c>
      <c r="AC162" s="178"/>
      <c r="AD162" s="178"/>
    </row>
    <row r="163" spans="2:30">
      <c r="B163" s="169" t="s">
        <v>50</v>
      </c>
      <c r="C163" s="4">
        <v>0.39</v>
      </c>
      <c r="D163" s="191" t="s">
        <v>229</v>
      </c>
      <c r="E163" s="208">
        <v>30</v>
      </c>
      <c r="F163" s="254">
        <f>IF(Tableau14582[[#This Row],[Type]]="Feuillus",11*1.25,15.5*1.25)</f>
        <v>19.375</v>
      </c>
      <c r="G163" s="208">
        <v>10</v>
      </c>
      <c r="M163"/>
      <c r="N163" s="71">
        <v>142</v>
      </c>
      <c r="O163" s="239"/>
      <c r="P163" s="180"/>
      <c r="Q163" s="240">
        <f t="shared" si="28"/>
        <v>940.00249999999994</v>
      </c>
      <c r="R163" s="180">
        <f t="shared" si="24"/>
        <v>19.270051249999998</v>
      </c>
      <c r="S163" s="180">
        <f>$L$11*(1+$L$9)^N163*'Récapitulatif des résultats'!$I$11</f>
        <v>0</v>
      </c>
      <c r="T163" s="241"/>
      <c r="U163" s="180"/>
      <c r="V163" s="249">
        <f t="shared" si="25"/>
        <v>0</v>
      </c>
      <c r="W163" s="188">
        <f>SUM('Chenes+Alisier - f. très forte'!AQ147*'Chenes+Alisier - f. très forte'!$F$21,'Chenes+corm+merisier - f. forte'!AQ147*'Chenes+corm+merisier - f. forte'!$F$21,'Charme - fertil.forte'!AQ147*'Charme - fertil.forte'!$F$21,'Pin maritime - très forte'!AQ147*'Pin maritime - très forte'!$F$21,'P. sylv.+laricio+séquoia -forte'!AQ147*'P. sylv.+laricio+séquoia -forte'!$F$21,'Douglas - fertilité moyenne'!AQ147*'Douglas - fertilité moyenne'!$F$21)</f>
        <v>0</v>
      </c>
      <c r="X163" s="188">
        <f>SUM('Chenes+Alisier - f. très forte'!AR147*'Chenes+Alisier - f. très forte'!$F$21,'Chenes+corm+merisier - f. forte'!AR147*'Chenes+corm+merisier - f. forte'!$F$21,'Charme - fertil.forte'!AR147*'Charme - fertil.forte'!$F$21,'Pin maritime - très forte'!AR147*'Pin maritime - très forte'!$F$21,'P. sylv.+laricio+séquoia -forte'!AR147*'P. sylv.+laricio+séquoia -forte'!$F$21,'Douglas - fertilité moyenne'!AR147*'Douglas - fertilité moyenne'!$F$21)</f>
        <v>0</v>
      </c>
      <c r="Y163" s="188">
        <f>SUM('Chenes+Alisier - f. très forte'!AS147*'Chenes+Alisier - f. très forte'!$F$21,'Chenes+corm+merisier - f. forte'!AS147*'Chenes+corm+merisier - f. forte'!$F$21,'Charme - fertil.forte'!AS147*'Charme - fertil.forte'!$F$21,'Pin maritime - très forte'!AS147*'Pin maritime - très forte'!$F$21,'P. sylv.+laricio+séquoia -forte'!AS147*'P. sylv.+laricio+séquoia -forte'!$F$21,'Douglas - fertilité moyenne'!AS147*'Douglas - fertilité moyenne'!$F$21)</f>
        <v>0</v>
      </c>
      <c r="Z163" s="331">
        <f>SUM('Chenes+Alisier - f. très forte'!AT147*'Chenes+Alisier - f. très forte'!$F$21,'Chenes+corm+merisier - f. forte'!AT147*'Chenes+corm+merisier - f. forte'!$F$21,'Charme - fertil.forte'!AT147*'Charme - fertil.forte'!$F$21,'Pin maritime - très forte'!AT147*'Pin maritime - très forte'!$F$21,'P. sylv.+laricio+séquoia -forte'!AT147*'P. sylv.+laricio+séquoia -forte'!$F$21,'Douglas - fertilité moyenne'!AT147*'Douglas - fertilité moyenne'!$F$21)</f>
        <v>0</v>
      </c>
      <c r="AA163" s="178">
        <f t="shared" si="27"/>
        <v>0</v>
      </c>
      <c r="AB163" s="179">
        <f t="shared" si="26"/>
        <v>0</v>
      </c>
      <c r="AC163" s="178"/>
      <c r="AD163" s="178"/>
    </row>
    <row r="164" spans="2:30">
      <c r="B164" s="169" t="s">
        <v>51</v>
      </c>
      <c r="C164" s="4">
        <v>0.44</v>
      </c>
      <c r="D164" s="191" t="s">
        <v>229</v>
      </c>
      <c r="E164" s="208">
        <v>30</v>
      </c>
      <c r="F164" s="254">
        <f>IF(Tableau14582[[#This Row],[Type]]="Feuillus",11*1.25,15.5*1.25)</f>
        <v>19.375</v>
      </c>
      <c r="G164" s="208">
        <v>10</v>
      </c>
      <c r="M164"/>
      <c r="N164" s="71">
        <v>143</v>
      </c>
      <c r="O164" s="239"/>
      <c r="P164" s="180"/>
      <c r="Q164" s="240">
        <f t="shared" si="28"/>
        <v>940.00249999999994</v>
      </c>
      <c r="R164" s="180">
        <f t="shared" si="24"/>
        <v>19.270051249999998</v>
      </c>
      <c r="S164" s="180">
        <f>$L$11*(1+$L$9)^N164*'Récapitulatif des résultats'!$I$11</f>
        <v>0</v>
      </c>
      <c r="T164" s="241"/>
      <c r="U164" s="180"/>
      <c r="V164" s="249">
        <f t="shared" si="25"/>
        <v>0</v>
      </c>
      <c r="W164" s="188">
        <f>SUM('Chenes+Alisier - f. très forte'!AQ148*'Chenes+Alisier - f. très forte'!$F$21,'Chenes+corm+merisier - f. forte'!AQ148*'Chenes+corm+merisier - f. forte'!$F$21,'Charme - fertil.forte'!AQ148*'Charme - fertil.forte'!$F$21,'Pin maritime - très forte'!AQ148*'Pin maritime - très forte'!$F$21,'P. sylv.+laricio+séquoia -forte'!AQ148*'P. sylv.+laricio+séquoia -forte'!$F$21,'Douglas - fertilité moyenne'!AQ148*'Douglas - fertilité moyenne'!$F$21)</f>
        <v>0</v>
      </c>
      <c r="X164" s="188">
        <f>SUM('Chenes+Alisier - f. très forte'!AR148*'Chenes+Alisier - f. très forte'!$F$21,'Chenes+corm+merisier - f. forte'!AR148*'Chenes+corm+merisier - f. forte'!$F$21,'Charme - fertil.forte'!AR148*'Charme - fertil.forte'!$F$21,'Pin maritime - très forte'!AR148*'Pin maritime - très forte'!$F$21,'P. sylv.+laricio+séquoia -forte'!AR148*'P. sylv.+laricio+séquoia -forte'!$F$21,'Douglas - fertilité moyenne'!AR148*'Douglas - fertilité moyenne'!$F$21)</f>
        <v>0</v>
      </c>
      <c r="Y164" s="188">
        <f>SUM('Chenes+Alisier - f. très forte'!AS148*'Chenes+Alisier - f. très forte'!$F$21,'Chenes+corm+merisier - f. forte'!AS148*'Chenes+corm+merisier - f. forte'!$F$21,'Charme - fertil.forte'!AS148*'Charme - fertil.forte'!$F$21,'Pin maritime - très forte'!AS148*'Pin maritime - très forte'!$F$21,'P. sylv.+laricio+séquoia -forte'!AS148*'P. sylv.+laricio+séquoia -forte'!$F$21,'Douglas - fertilité moyenne'!AS148*'Douglas - fertilité moyenne'!$F$21)</f>
        <v>0</v>
      </c>
      <c r="Z164" s="331">
        <f>SUM('Chenes+Alisier - f. très forte'!AT148*'Chenes+Alisier - f. très forte'!$F$21,'Chenes+corm+merisier - f. forte'!AT148*'Chenes+corm+merisier - f. forte'!$F$21,'Charme - fertil.forte'!AT148*'Charme - fertil.forte'!$F$21,'Pin maritime - très forte'!AT148*'Pin maritime - très forte'!$F$21,'P. sylv.+laricio+séquoia -forte'!AT148*'P. sylv.+laricio+séquoia -forte'!$F$21,'Douglas - fertilité moyenne'!AT148*'Douglas - fertilité moyenne'!$F$21)</f>
        <v>0</v>
      </c>
      <c r="AA164" s="178">
        <f t="shared" si="27"/>
        <v>0</v>
      </c>
      <c r="AB164" s="179">
        <f t="shared" si="26"/>
        <v>0</v>
      </c>
      <c r="AC164" s="178"/>
      <c r="AD164" s="178"/>
    </row>
    <row r="165" spans="2:30">
      <c r="B165" s="169" t="s">
        <v>52</v>
      </c>
      <c r="C165" s="4">
        <v>0.46</v>
      </c>
      <c r="D165" s="191" t="s">
        <v>229</v>
      </c>
      <c r="E165" s="208">
        <v>30</v>
      </c>
      <c r="F165" s="254">
        <f>IF(Tableau14582[[#This Row],[Type]]="Feuillus",11*1.25,15.5*1.25)</f>
        <v>19.375</v>
      </c>
      <c r="G165" s="208">
        <v>10</v>
      </c>
      <c r="M165"/>
      <c r="N165" s="71">
        <v>144</v>
      </c>
      <c r="O165" s="239"/>
      <c r="P165" s="180"/>
      <c r="Q165" s="240">
        <f t="shared" si="28"/>
        <v>940.00249999999994</v>
      </c>
      <c r="R165" s="180">
        <f t="shared" si="24"/>
        <v>19.270051249999998</v>
      </c>
      <c r="S165" s="180">
        <f>$L$11*(1+$L$9)^N165*'Récapitulatif des résultats'!$I$11</f>
        <v>0</v>
      </c>
      <c r="T165" s="241"/>
      <c r="U165" s="180"/>
      <c r="V165" s="249">
        <f t="shared" si="25"/>
        <v>0</v>
      </c>
      <c r="W165" s="188">
        <f>SUM('Chenes+Alisier - f. très forte'!AQ149*'Chenes+Alisier - f. très forte'!$F$21,'Chenes+corm+merisier - f. forte'!AQ149*'Chenes+corm+merisier - f. forte'!$F$21,'Charme - fertil.forte'!AQ149*'Charme - fertil.forte'!$F$21,'Pin maritime - très forte'!AQ149*'Pin maritime - très forte'!$F$21,'P. sylv.+laricio+séquoia -forte'!AQ149*'P. sylv.+laricio+séquoia -forte'!$F$21,'Douglas - fertilité moyenne'!AQ149*'Douglas - fertilité moyenne'!$F$21)</f>
        <v>0</v>
      </c>
      <c r="X165" s="188">
        <f>SUM('Chenes+Alisier - f. très forte'!AR149*'Chenes+Alisier - f. très forte'!$F$21,'Chenes+corm+merisier - f. forte'!AR149*'Chenes+corm+merisier - f. forte'!$F$21,'Charme - fertil.forte'!AR149*'Charme - fertil.forte'!$F$21,'Pin maritime - très forte'!AR149*'Pin maritime - très forte'!$F$21,'P. sylv.+laricio+séquoia -forte'!AR149*'P. sylv.+laricio+séquoia -forte'!$F$21,'Douglas - fertilité moyenne'!AR149*'Douglas - fertilité moyenne'!$F$21)</f>
        <v>0</v>
      </c>
      <c r="Y165" s="188">
        <f>SUM('Chenes+Alisier - f. très forte'!AS149*'Chenes+Alisier - f. très forte'!$F$21,'Chenes+corm+merisier - f. forte'!AS149*'Chenes+corm+merisier - f. forte'!$F$21,'Charme - fertil.forte'!AS149*'Charme - fertil.forte'!$F$21,'Pin maritime - très forte'!AS149*'Pin maritime - très forte'!$F$21,'P. sylv.+laricio+séquoia -forte'!AS149*'P. sylv.+laricio+séquoia -forte'!$F$21,'Douglas - fertilité moyenne'!AS149*'Douglas - fertilité moyenne'!$F$21)</f>
        <v>0</v>
      </c>
      <c r="Z165" s="331">
        <f>SUM('Chenes+Alisier - f. très forte'!AT149*'Chenes+Alisier - f. très forte'!$F$21,'Chenes+corm+merisier - f. forte'!AT149*'Chenes+corm+merisier - f. forte'!$F$21,'Charme - fertil.forte'!AT149*'Charme - fertil.forte'!$F$21,'Pin maritime - très forte'!AT149*'Pin maritime - très forte'!$F$21,'P. sylv.+laricio+séquoia -forte'!AT149*'P. sylv.+laricio+séquoia -forte'!$F$21,'Douglas - fertilité moyenne'!AT149*'Douglas - fertilité moyenne'!$F$21)</f>
        <v>0</v>
      </c>
      <c r="AA165" s="178">
        <f t="shared" si="27"/>
        <v>0</v>
      </c>
      <c r="AB165" s="179">
        <f t="shared" si="26"/>
        <v>0</v>
      </c>
      <c r="AC165" s="178"/>
      <c r="AD165" s="178"/>
    </row>
    <row r="166" spans="2:30" ht="30">
      <c r="B166" s="169" t="s">
        <v>53</v>
      </c>
      <c r="C166" s="4">
        <v>0.46</v>
      </c>
      <c r="D166" s="191" t="s">
        <v>231</v>
      </c>
      <c r="E166" s="208">
        <v>42</v>
      </c>
      <c r="F166" s="254">
        <f>IF(Tableau14582[[#This Row],[Type]]="Feuillus",11*1.25,15.5*1.25)</f>
        <v>19.375</v>
      </c>
      <c r="G166" s="208">
        <v>10</v>
      </c>
      <c r="M166"/>
      <c r="N166" s="71">
        <v>145</v>
      </c>
      <c r="O166" s="239"/>
      <c r="P166" s="180"/>
      <c r="Q166" s="240">
        <f t="shared" si="28"/>
        <v>940.00249999999994</v>
      </c>
      <c r="R166" s="180">
        <f t="shared" si="24"/>
        <v>19.270051249999998</v>
      </c>
      <c r="S166" s="180">
        <f>$L$11*(1+$L$9)^N166*'Récapitulatif des résultats'!$I$11</f>
        <v>0</v>
      </c>
      <c r="T166" s="241"/>
      <c r="U166" s="180"/>
      <c r="V166" s="249">
        <f t="shared" si="25"/>
        <v>0</v>
      </c>
      <c r="W166" s="188">
        <f>SUM('Chenes+Alisier - f. très forte'!AQ150*'Chenes+Alisier - f. très forte'!$F$21,'Chenes+corm+merisier - f. forte'!AQ150*'Chenes+corm+merisier - f. forte'!$F$21,'Charme - fertil.forte'!AQ150*'Charme - fertil.forte'!$F$21,'Pin maritime - très forte'!AQ150*'Pin maritime - très forte'!$F$21,'P. sylv.+laricio+séquoia -forte'!AQ150*'P. sylv.+laricio+séquoia -forte'!$F$21,'Douglas - fertilité moyenne'!AQ150*'Douglas - fertilité moyenne'!$F$21)</f>
        <v>0</v>
      </c>
      <c r="X166" s="188">
        <f>SUM('Chenes+Alisier - f. très forte'!AR150*'Chenes+Alisier - f. très forte'!$F$21,'Chenes+corm+merisier - f. forte'!AR150*'Chenes+corm+merisier - f. forte'!$F$21,'Charme - fertil.forte'!AR150*'Charme - fertil.forte'!$F$21,'Pin maritime - très forte'!AR150*'Pin maritime - très forte'!$F$21,'P. sylv.+laricio+séquoia -forte'!AR150*'P. sylv.+laricio+séquoia -forte'!$F$21,'Douglas - fertilité moyenne'!AR150*'Douglas - fertilité moyenne'!$F$21)</f>
        <v>0</v>
      </c>
      <c r="Y166" s="188">
        <f>SUM('Chenes+Alisier - f. très forte'!AS150*'Chenes+Alisier - f. très forte'!$F$21,'Chenes+corm+merisier - f. forte'!AS150*'Chenes+corm+merisier - f. forte'!$F$21,'Charme - fertil.forte'!AS150*'Charme - fertil.forte'!$F$21,'Pin maritime - très forte'!AS150*'Pin maritime - très forte'!$F$21,'P. sylv.+laricio+séquoia -forte'!AS150*'P. sylv.+laricio+séquoia -forte'!$F$21,'Douglas - fertilité moyenne'!AS150*'Douglas - fertilité moyenne'!$F$21)</f>
        <v>0</v>
      </c>
      <c r="Z166" s="331">
        <f>SUM('Chenes+Alisier - f. très forte'!AT150*'Chenes+Alisier - f. très forte'!$F$21,'Chenes+corm+merisier - f. forte'!AT150*'Chenes+corm+merisier - f. forte'!$F$21,'Charme - fertil.forte'!AT150*'Charme - fertil.forte'!$F$21,'Pin maritime - très forte'!AT150*'Pin maritime - très forte'!$F$21,'P. sylv.+laricio+séquoia -forte'!AT150*'P. sylv.+laricio+séquoia -forte'!$F$21,'Douglas - fertilité moyenne'!AT150*'Douglas - fertilité moyenne'!$F$21)</f>
        <v>0</v>
      </c>
      <c r="AA166" s="178">
        <f t="shared" si="27"/>
        <v>0</v>
      </c>
      <c r="AB166" s="179">
        <f t="shared" si="26"/>
        <v>0</v>
      </c>
      <c r="AC166" s="178"/>
      <c r="AD166" s="178"/>
    </row>
    <row r="167" spans="2:30">
      <c r="B167" s="169" t="s">
        <v>54</v>
      </c>
      <c r="C167" s="4">
        <v>0.44</v>
      </c>
      <c r="D167" s="191" t="s">
        <v>229</v>
      </c>
      <c r="E167" s="208">
        <v>30</v>
      </c>
      <c r="F167" s="254">
        <f>IF(Tableau14582[[#This Row],[Type]]="Feuillus",11*1.25,15.5*1.25)</f>
        <v>19.375</v>
      </c>
      <c r="G167" s="208">
        <v>10</v>
      </c>
      <c r="M167"/>
      <c r="N167" s="71">
        <v>146</v>
      </c>
      <c r="O167" s="239"/>
      <c r="P167" s="180"/>
      <c r="Q167" s="240">
        <f t="shared" si="28"/>
        <v>940.00249999999994</v>
      </c>
      <c r="R167" s="180">
        <f t="shared" si="24"/>
        <v>19.270051249999998</v>
      </c>
      <c r="S167" s="180">
        <f>$L$11*(1+$L$9)^N167*'Récapitulatif des résultats'!$I$11</f>
        <v>0</v>
      </c>
      <c r="T167" s="241"/>
      <c r="U167" s="180"/>
      <c r="V167" s="249">
        <f t="shared" si="25"/>
        <v>0</v>
      </c>
      <c r="W167" s="188">
        <f>SUM('Chenes+Alisier - f. très forte'!AQ151*'Chenes+Alisier - f. très forte'!$F$21,'Chenes+corm+merisier - f. forte'!AQ151*'Chenes+corm+merisier - f. forte'!$F$21,'Charme - fertil.forte'!AQ151*'Charme - fertil.forte'!$F$21,'Pin maritime - très forte'!AQ151*'Pin maritime - très forte'!$F$21,'P. sylv.+laricio+séquoia -forte'!AQ151*'P. sylv.+laricio+séquoia -forte'!$F$21,'Douglas - fertilité moyenne'!AQ151*'Douglas - fertilité moyenne'!$F$21)</f>
        <v>0</v>
      </c>
      <c r="X167" s="188">
        <f>SUM('Chenes+Alisier - f. très forte'!AR151*'Chenes+Alisier - f. très forte'!$F$21,'Chenes+corm+merisier - f. forte'!AR151*'Chenes+corm+merisier - f. forte'!$F$21,'Charme - fertil.forte'!AR151*'Charme - fertil.forte'!$F$21,'Pin maritime - très forte'!AR151*'Pin maritime - très forte'!$F$21,'P. sylv.+laricio+séquoia -forte'!AR151*'P. sylv.+laricio+séquoia -forte'!$F$21,'Douglas - fertilité moyenne'!AR151*'Douglas - fertilité moyenne'!$F$21)</f>
        <v>0</v>
      </c>
      <c r="Y167" s="188">
        <f>SUM('Chenes+Alisier - f. très forte'!AS151*'Chenes+Alisier - f. très forte'!$F$21,'Chenes+corm+merisier - f. forte'!AS151*'Chenes+corm+merisier - f. forte'!$F$21,'Charme - fertil.forte'!AS151*'Charme - fertil.forte'!$F$21,'Pin maritime - très forte'!AS151*'Pin maritime - très forte'!$F$21,'P. sylv.+laricio+séquoia -forte'!AS151*'P. sylv.+laricio+séquoia -forte'!$F$21,'Douglas - fertilité moyenne'!AS151*'Douglas - fertilité moyenne'!$F$21)</f>
        <v>0</v>
      </c>
      <c r="Z167" s="331">
        <f>SUM('Chenes+Alisier - f. très forte'!AT151*'Chenes+Alisier - f. très forte'!$F$21,'Chenes+corm+merisier - f. forte'!AT151*'Chenes+corm+merisier - f. forte'!$F$21,'Charme - fertil.forte'!AT151*'Charme - fertil.forte'!$F$21,'Pin maritime - très forte'!AT151*'Pin maritime - très forte'!$F$21,'P. sylv.+laricio+séquoia -forte'!AT151*'P. sylv.+laricio+séquoia -forte'!$F$21,'Douglas - fertilité moyenne'!AT151*'Douglas - fertilité moyenne'!$F$21)</f>
        <v>0</v>
      </c>
      <c r="AA167" s="178">
        <f t="shared" si="27"/>
        <v>0</v>
      </c>
      <c r="AB167" s="179">
        <f t="shared" si="26"/>
        <v>0</v>
      </c>
      <c r="AC167" s="178"/>
      <c r="AD167" s="178"/>
    </row>
    <row r="168" spans="2:30">
      <c r="B168" s="169" t="s">
        <v>55</v>
      </c>
      <c r="C168" s="4">
        <v>0.46</v>
      </c>
      <c r="D168" s="191" t="s">
        <v>229</v>
      </c>
      <c r="E168" s="208">
        <v>30</v>
      </c>
      <c r="F168" s="254">
        <f>IF(Tableau14582[[#This Row],[Type]]="Feuillus",11*1.25,15.5*1.25)</f>
        <v>19.375</v>
      </c>
      <c r="G168" s="208">
        <v>10</v>
      </c>
      <c r="M168"/>
      <c r="N168" s="71">
        <v>147</v>
      </c>
      <c r="O168" s="239"/>
      <c r="P168" s="180"/>
      <c r="Q168" s="240">
        <f t="shared" si="28"/>
        <v>940.00249999999994</v>
      </c>
      <c r="R168" s="180">
        <f t="shared" si="24"/>
        <v>19.270051249999998</v>
      </c>
      <c r="S168" s="180">
        <f>$L$11*(1+$L$9)^N168*'Récapitulatif des résultats'!$I$11</f>
        <v>0</v>
      </c>
      <c r="T168" s="241"/>
      <c r="U168" s="180"/>
      <c r="V168" s="249">
        <f t="shared" si="25"/>
        <v>0</v>
      </c>
      <c r="W168" s="188">
        <f>SUM('Chenes+Alisier - f. très forte'!AQ152*'Chenes+Alisier - f. très forte'!$F$21,'Chenes+corm+merisier - f. forte'!AQ152*'Chenes+corm+merisier - f. forte'!$F$21,'Charme - fertil.forte'!AQ152*'Charme - fertil.forte'!$F$21,'Pin maritime - très forte'!AQ152*'Pin maritime - très forte'!$F$21,'P. sylv.+laricio+séquoia -forte'!AQ152*'P. sylv.+laricio+séquoia -forte'!$F$21,'Douglas - fertilité moyenne'!AQ152*'Douglas - fertilité moyenne'!$F$21)</f>
        <v>0</v>
      </c>
      <c r="X168" s="188">
        <f>SUM('Chenes+Alisier - f. très forte'!AR152*'Chenes+Alisier - f. très forte'!$F$21,'Chenes+corm+merisier - f. forte'!AR152*'Chenes+corm+merisier - f. forte'!$F$21,'Charme - fertil.forte'!AR152*'Charme - fertil.forte'!$F$21,'Pin maritime - très forte'!AR152*'Pin maritime - très forte'!$F$21,'P. sylv.+laricio+séquoia -forte'!AR152*'P. sylv.+laricio+séquoia -forte'!$F$21,'Douglas - fertilité moyenne'!AR152*'Douglas - fertilité moyenne'!$F$21)</f>
        <v>0</v>
      </c>
      <c r="Y168" s="188">
        <f>SUM('Chenes+Alisier - f. très forte'!AS152*'Chenes+Alisier - f. très forte'!$F$21,'Chenes+corm+merisier - f. forte'!AS152*'Chenes+corm+merisier - f. forte'!$F$21,'Charme - fertil.forte'!AS152*'Charme - fertil.forte'!$F$21,'Pin maritime - très forte'!AS152*'Pin maritime - très forte'!$F$21,'P. sylv.+laricio+séquoia -forte'!AS152*'P. sylv.+laricio+séquoia -forte'!$F$21,'Douglas - fertilité moyenne'!AS152*'Douglas - fertilité moyenne'!$F$21)</f>
        <v>0</v>
      </c>
      <c r="Z168" s="331">
        <f>SUM('Chenes+Alisier - f. très forte'!AT152*'Chenes+Alisier - f. très forte'!$F$21,'Chenes+corm+merisier - f. forte'!AT152*'Chenes+corm+merisier - f. forte'!$F$21,'Charme - fertil.forte'!AT152*'Charme - fertil.forte'!$F$21,'Pin maritime - très forte'!AT152*'Pin maritime - très forte'!$F$21,'P. sylv.+laricio+séquoia -forte'!AT152*'P. sylv.+laricio+séquoia -forte'!$F$21,'Douglas - fertilité moyenne'!AT152*'Douglas - fertilité moyenne'!$F$21)</f>
        <v>0</v>
      </c>
      <c r="AA168" s="178">
        <f t="shared" si="27"/>
        <v>0</v>
      </c>
      <c r="AB168" s="179">
        <f t="shared" si="26"/>
        <v>0</v>
      </c>
      <c r="AC168" s="178"/>
      <c r="AD168" s="178"/>
    </row>
    <row r="169" spans="2:30">
      <c r="B169" s="169" t="s">
        <v>56</v>
      </c>
      <c r="C169" s="4">
        <v>0.48</v>
      </c>
      <c r="D169" s="191" t="s">
        <v>229</v>
      </c>
      <c r="E169" s="208">
        <v>30</v>
      </c>
      <c r="F169" s="254">
        <f>IF(Tableau14582[[#This Row],[Type]]="Feuillus",11*1.25,15.5*1.25)</f>
        <v>19.375</v>
      </c>
      <c r="G169" s="208">
        <v>10</v>
      </c>
      <c r="M169"/>
      <c r="N169" s="71">
        <v>148</v>
      </c>
      <c r="O169" s="239"/>
      <c r="P169" s="180"/>
      <c r="Q169" s="240">
        <f t="shared" si="28"/>
        <v>940.00249999999994</v>
      </c>
      <c r="R169" s="180">
        <f t="shared" si="24"/>
        <v>19.270051249999998</v>
      </c>
      <c r="S169" s="180">
        <f>$L$11*(1+$L$9)^N169*'Récapitulatif des résultats'!$I$11</f>
        <v>0</v>
      </c>
      <c r="T169" s="241"/>
      <c r="U169" s="180"/>
      <c r="V169" s="249">
        <f t="shared" si="25"/>
        <v>0</v>
      </c>
      <c r="W169" s="188">
        <f>SUM('Chenes+Alisier - f. très forte'!AQ153*'Chenes+Alisier - f. très forte'!$F$21,'Chenes+corm+merisier - f. forte'!AQ153*'Chenes+corm+merisier - f. forte'!$F$21,'Charme - fertil.forte'!AQ153*'Charme - fertil.forte'!$F$21,'Pin maritime - très forte'!AQ153*'Pin maritime - très forte'!$F$21,'P. sylv.+laricio+séquoia -forte'!AQ153*'P. sylv.+laricio+séquoia -forte'!$F$21,'Douglas - fertilité moyenne'!AQ153*'Douglas - fertilité moyenne'!$F$21)</f>
        <v>0</v>
      </c>
      <c r="X169" s="188">
        <f>SUM('Chenes+Alisier - f. très forte'!AR153*'Chenes+Alisier - f. très forte'!$F$21,'Chenes+corm+merisier - f. forte'!AR153*'Chenes+corm+merisier - f. forte'!$F$21,'Charme - fertil.forte'!AR153*'Charme - fertil.forte'!$F$21,'Pin maritime - très forte'!AR153*'Pin maritime - très forte'!$F$21,'P. sylv.+laricio+séquoia -forte'!AR153*'P. sylv.+laricio+séquoia -forte'!$F$21,'Douglas - fertilité moyenne'!AR153*'Douglas - fertilité moyenne'!$F$21)</f>
        <v>0</v>
      </c>
      <c r="Y169" s="188">
        <f>SUM('Chenes+Alisier - f. très forte'!AS153*'Chenes+Alisier - f. très forte'!$F$21,'Chenes+corm+merisier - f. forte'!AS153*'Chenes+corm+merisier - f. forte'!$F$21,'Charme - fertil.forte'!AS153*'Charme - fertil.forte'!$F$21,'Pin maritime - très forte'!AS153*'Pin maritime - très forte'!$F$21,'P. sylv.+laricio+séquoia -forte'!AS153*'P. sylv.+laricio+séquoia -forte'!$F$21,'Douglas - fertilité moyenne'!AS153*'Douglas - fertilité moyenne'!$F$21)</f>
        <v>0</v>
      </c>
      <c r="Z169" s="331">
        <f>SUM('Chenes+Alisier - f. très forte'!AT153*'Chenes+Alisier - f. très forte'!$F$21,'Chenes+corm+merisier - f. forte'!AT153*'Chenes+corm+merisier - f. forte'!$F$21,'Charme - fertil.forte'!AT153*'Charme - fertil.forte'!$F$21,'Pin maritime - très forte'!AT153*'Pin maritime - très forte'!$F$21,'P. sylv.+laricio+séquoia -forte'!AT153*'P. sylv.+laricio+séquoia -forte'!$F$21,'Douglas - fertilité moyenne'!AT153*'Douglas - fertilité moyenne'!$F$21)</f>
        <v>0</v>
      </c>
      <c r="AA169" s="178">
        <f t="shared" si="27"/>
        <v>0</v>
      </c>
      <c r="AB169" s="179">
        <f t="shared" si="26"/>
        <v>0</v>
      </c>
      <c r="AC169" s="178"/>
      <c r="AD169" s="178"/>
    </row>
    <row r="170" spans="2:30">
      <c r="B170" s="169" t="s">
        <v>57</v>
      </c>
      <c r="C170" s="4">
        <v>0.44</v>
      </c>
      <c r="D170" s="191" t="s">
        <v>229</v>
      </c>
      <c r="E170" s="208">
        <v>30</v>
      </c>
      <c r="F170" s="254">
        <f>IF(Tableau14582[[#This Row],[Type]]="Feuillus",11*1.25,15.5*1.25)</f>
        <v>19.375</v>
      </c>
      <c r="G170" s="208">
        <v>10</v>
      </c>
      <c r="M170"/>
      <c r="N170" s="71">
        <v>149</v>
      </c>
      <c r="O170" s="239"/>
      <c r="P170" s="180"/>
      <c r="Q170" s="240">
        <f t="shared" si="28"/>
        <v>940.00249999999994</v>
      </c>
      <c r="R170" s="180">
        <f t="shared" si="24"/>
        <v>19.270051249999998</v>
      </c>
      <c r="S170" s="180">
        <f>$L$11*(1+$L$9)^N170*'Récapitulatif des résultats'!$I$11</f>
        <v>0</v>
      </c>
      <c r="T170" s="241"/>
      <c r="U170" s="180"/>
      <c r="V170" s="249">
        <f t="shared" si="25"/>
        <v>0</v>
      </c>
      <c r="W170" s="188">
        <f>SUM('Chenes+Alisier - f. très forte'!AQ154*'Chenes+Alisier - f. très forte'!$F$21,'Chenes+corm+merisier - f. forte'!AQ154*'Chenes+corm+merisier - f. forte'!$F$21,'Charme - fertil.forte'!AQ154*'Charme - fertil.forte'!$F$21,'Pin maritime - très forte'!AQ154*'Pin maritime - très forte'!$F$21,'P. sylv.+laricio+séquoia -forte'!AQ154*'P. sylv.+laricio+séquoia -forte'!$F$21,'Douglas - fertilité moyenne'!AQ154*'Douglas - fertilité moyenne'!$F$21)</f>
        <v>0</v>
      </c>
      <c r="X170" s="188">
        <f>SUM('Chenes+Alisier - f. très forte'!AR154*'Chenes+Alisier - f. très forte'!$F$21,'Chenes+corm+merisier - f. forte'!AR154*'Chenes+corm+merisier - f. forte'!$F$21,'Charme - fertil.forte'!AR154*'Charme - fertil.forte'!$F$21,'Pin maritime - très forte'!AR154*'Pin maritime - très forte'!$F$21,'P. sylv.+laricio+séquoia -forte'!AR154*'P. sylv.+laricio+séquoia -forte'!$F$21,'Douglas - fertilité moyenne'!AR154*'Douglas - fertilité moyenne'!$F$21)</f>
        <v>0</v>
      </c>
      <c r="Y170" s="188">
        <f>SUM('Chenes+Alisier - f. très forte'!AS154*'Chenes+Alisier - f. très forte'!$F$21,'Chenes+corm+merisier - f. forte'!AS154*'Chenes+corm+merisier - f. forte'!$F$21,'Charme - fertil.forte'!AS154*'Charme - fertil.forte'!$F$21,'Pin maritime - très forte'!AS154*'Pin maritime - très forte'!$F$21,'P. sylv.+laricio+séquoia -forte'!AS154*'P. sylv.+laricio+séquoia -forte'!$F$21,'Douglas - fertilité moyenne'!AS154*'Douglas - fertilité moyenne'!$F$21)</f>
        <v>0</v>
      </c>
      <c r="Z170" s="331">
        <f>SUM('Chenes+Alisier - f. très forte'!AT154*'Chenes+Alisier - f. très forte'!$F$21,'Chenes+corm+merisier - f. forte'!AT154*'Chenes+corm+merisier - f. forte'!$F$21,'Charme - fertil.forte'!AT154*'Charme - fertil.forte'!$F$21,'Pin maritime - très forte'!AT154*'Pin maritime - très forte'!$F$21,'P. sylv.+laricio+séquoia -forte'!AT154*'P. sylv.+laricio+séquoia -forte'!$F$21,'Douglas - fertilité moyenne'!AT154*'Douglas - fertilité moyenne'!$F$21)</f>
        <v>0</v>
      </c>
      <c r="AA170" s="178">
        <f t="shared" si="27"/>
        <v>0</v>
      </c>
      <c r="AB170" s="179">
        <f t="shared" si="26"/>
        <v>0</v>
      </c>
      <c r="AC170" s="178"/>
      <c r="AD170" s="178"/>
    </row>
    <row r="171" spans="2:30">
      <c r="B171" s="169" t="s">
        <v>58</v>
      </c>
      <c r="C171" s="4">
        <v>0.34</v>
      </c>
      <c r="D171" s="191" t="s">
        <v>229</v>
      </c>
      <c r="E171" s="208">
        <v>30</v>
      </c>
      <c r="F171" s="254">
        <f>IF(Tableau14582[[#This Row],[Type]]="Feuillus",11*1.25,15.5*1.25)</f>
        <v>19.375</v>
      </c>
      <c r="G171" s="208">
        <v>10</v>
      </c>
      <c r="M171"/>
      <c r="N171" s="71">
        <v>150</v>
      </c>
      <c r="O171" s="239"/>
      <c r="P171" s="180"/>
      <c r="Q171" s="240">
        <f t="shared" si="28"/>
        <v>940.00249999999994</v>
      </c>
      <c r="R171" s="180">
        <f t="shared" si="24"/>
        <v>19.270051249999998</v>
      </c>
      <c r="S171" s="180">
        <f>$L$11*(1+$L$9)^N171*'Récapitulatif des résultats'!$I$11</f>
        <v>0</v>
      </c>
      <c r="T171" s="241"/>
      <c r="U171" s="180"/>
      <c r="V171" s="249">
        <f t="shared" si="25"/>
        <v>0</v>
      </c>
      <c r="W171" s="188">
        <f>SUM('Chenes+Alisier - f. très forte'!AQ155*'Chenes+Alisier - f. très forte'!$F$21,'Chenes+corm+merisier - f. forte'!AQ155*'Chenes+corm+merisier - f. forte'!$F$21,'Charme - fertil.forte'!AQ155*'Charme - fertil.forte'!$F$21,'Pin maritime - très forte'!AQ155*'Pin maritime - très forte'!$F$21,'P. sylv.+laricio+séquoia -forte'!AQ155*'P. sylv.+laricio+séquoia -forte'!$F$21,'Douglas - fertilité moyenne'!AQ155*'Douglas - fertilité moyenne'!$F$21)</f>
        <v>0</v>
      </c>
      <c r="X171" s="188">
        <f>SUM('Chenes+Alisier - f. très forte'!AR155*'Chenes+Alisier - f. très forte'!$F$21,'Chenes+corm+merisier - f. forte'!AR155*'Chenes+corm+merisier - f. forte'!$F$21,'Charme - fertil.forte'!AR155*'Charme - fertil.forte'!$F$21,'Pin maritime - très forte'!AR155*'Pin maritime - très forte'!$F$21,'P. sylv.+laricio+séquoia -forte'!AR155*'P. sylv.+laricio+séquoia -forte'!$F$21,'Douglas - fertilité moyenne'!AR155*'Douglas - fertilité moyenne'!$F$21)</f>
        <v>0</v>
      </c>
      <c r="Y171" s="188">
        <f>SUM('Chenes+Alisier - f. très forte'!AS155*'Chenes+Alisier - f. très forte'!$F$21,'Chenes+corm+merisier - f. forte'!AS155*'Chenes+corm+merisier - f. forte'!$F$21,'Charme - fertil.forte'!AS155*'Charme - fertil.forte'!$F$21,'Pin maritime - très forte'!AS155*'Pin maritime - très forte'!$F$21,'P. sylv.+laricio+séquoia -forte'!AS155*'P. sylv.+laricio+séquoia -forte'!$F$21,'Douglas - fertilité moyenne'!AS155*'Douglas - fertilité moyenne'!$F$21)</f>
        <v>0</v>
      </c>
      <c r="Z171" s="331">
        <f>SUM('Chenes+Alisier - f. très forte'!AT155*'Chenes+Alisier - f. très forte'!$F$21,'Chenes+corm+merisier - f. forte'!AT155*'Chenes+corm+merisier - f. forte'!$F$21,'Charme - fertil.forte'!AT155*'Charme - fertil.forte'!$F$21,'Pin maritime - très forte'!AT155*'Pin maritime - très forte'!$F$21,'P. sylv.+laricio+séquoia -forte'!AT155*'P. sylv.+laricio+séquoia -forte'!$F$21,'Douglas - fertilité moyenne'!AT155*'Douglas - fertilité moyenne'!$F$21)</f>
        <v>0</v>
      </c>
      <c r="AA171" s="178">
        <f t="shared" si="27"/>
        <v>0</v>
      </c>
      <c r="AB171" s="179">
        <f t="shared" si="26"/>
        <v>0</v>
      </c>
      <c r="AC171" s="178"/>
      <c r="AD171" s="178"/>
    </row>
    <row r="172" spans="2:30">
      <c r="B172" s="169" t="s">
        <v>59</v>
      </c>
      <c r="C172" s="4">
        <v>0.5</v>
      </c>
      <c r="D172" s="191" t="s">
        <v>228</v>
      </c>
      <c r="E172" s="208">
        <v>50</v>
      </c>
      <c r="F172" s="254">
        <f>IF(Tableau14582[[#This Row],[Type]]="Feuillus",11*1.25,15.5*1.25)</f>
        <v>13.75</v>
      </c>
      <c r="G172" s="208">
        <v>10</v>
      </c>
      <c r="M172"/>
      <c r="N172" s="71">
        <v>151</v>
      </c>
      <c r="O172" s="239"/>
      <c r="P172" s="180"/>
      <c r="Q172" s="240">
        <f t="shared" si="28"/>
        <v>940.00249999999994</v>
      </c>
      <c r="R172" s="180">
        <f t="shared" si="24"/>
        <v>19.270051249999998</v>
      </c>
      <c r="S172" s="180">
        <f>$L$11*(1+$L$9)^N172*'Récapitulatif des résultats'!$I$11</f>
        <v>0</v>
      </c>
      <c r="T172" s="241"/>
      <c r="U172" s="180"/>
      <c r="V172" s="249">
        <f t="shared" si="25"/>
        <v>0</v>
      </c>
      <c r="W172" s="188">
        <f>SUM('Chenes+Alisier - f. très forte'!AQ156*'Chenes+Alisier - f. très forte'!$F$21,'Chenes+corm+merisier - f. forte'!AQ156*'Chenes+corm+merisier - f. forte'!$F$21,'Charme - fertil.forte'!AQ156*'Charme - fertil.forte'!$F$21,'Pin maritime - très forte'!AQ156*'Pin maritime - très forte'!$F$21,'P. sylv.+laricio+séquoia -forte'!AQ156*'P. sylv.+laricio+séquoia -forte'!$F$21,'Douglas - fertilité moyenne'!AQ156*'Douglas - fertilité moyenne'!$F$21)</f>
        <v>0</v>
      </c>
      <c r="X172" s="188">
        <f>SUM('Chenes+Alisier - f. très forte'!AR156*'Chenes+Alisier - f. très forte'!$F$21,'Chenes+corm+merisier - f. forte'!AR156*'Chenes+corm+merisier - f. forte'!$F$21,'Charme - fertil.forte'!AR156*'Charme - fertil.forte'!$F$21,'Pin maritime - très forte'!AR156*'Pin maritime - très forte'!$F$21,'P. sylv.+laricio+séquoia -forte'!AR156*'P. sylv.+laricio+séquoia -forte'!$F$21,'Douglas - fertilité moyenne'!AR156*'Douglas - fertilité moyenne'!$F$21)</f>
        <v>0</v>
      </c>
      <c r="Y172" s="188">
        <f>SUM('Chenes+Alisier - f. très forte'!AS156*'Chenes+Alisier - f. très forte'!$F$21,'Chenes+corm+merisier - f. forte'!AS156*'Chenes+corm+merisier - f. forte'!$F$21,'Charme - fertil.forte'!AS156*'Charme - fertil.forte'!$F$21,'Pin maritime - très forte'!AS156*'Pin maritime - très forte'!$F$21,'P. sylv.+laricio+séquoia -forte'!AS156*'P. sylv.+laricio+séquoia -forte'!$F$21,'Douglas - fertilité moyenne'!AS156*'Douglas - fertilité moyenne'!$F$21)</f>
        <v>0</v>
      </c>
      <c r="Z172" s="331">
        <f>SUM('Chenes+Alisier - f. très forte'!AT156*'Chenes+Alisier - f. très forte'!$F$21,'Chenes+corm+merisier - f. forte'!AT156*'Chenes+corm+merisier - f. forte'!$F$21,'Charme - fertil.forte'!AT156*'Charme - fertil.forte'!$F$21,'Pin maritime - très forte'!AT156*'Pin maritime - très forte'!$F$21,'P. sylv.+laricio+séquoia -forte'!AT156*'P. sylv.+laricio+séquoia -forte'!$F$21,'Douglas - fertilité moyenne'!AT156*'Douglas - fertilité moyenne'!$F$21)</f>
        <v>0</v>
      </c>
      <c r="AA172" s="178">
        <f t="shared" si="27"/>
        <v>0</v>
      </c>
      <c r="AB172" s="179">
        <f t="shared" si="26"/>
        <v>0</v>
      </c>
      <c r="AC172" s="178"/>
      <c r="AD172" s="178"/>
    </row>
    <row r="173" spans="2:30">
      <c r="B173" s="169" t="s">
        <v>60</v>
      </c>
      <c r="C173" s="4">
        <v>0.57999999999999996</v>
      </c>
      <c r="D173" s="191" t="s">
        <v>228</v>
      </c>
      <c r="E173" s="208">
        <v>70</v>
      </c>
      <c r="F173" s="254">
        <f>IF(Tableau14582[[#This Row],[Type]]="Feuillus",11*1.25,15.5*1.25)</f>
        <v>13.75</v>
      </c>
      <c r="G173" s="208">
        <v>10</v>
      </c>
      <c r="M173"/>
      <c r="N173" s="71">
        <v>152</v>
      </c>
      <c r="O173" s="239"/>
      <c r="P173" s="180"/>
      <c r="Q173" s="240">
        <f t="shared" si="28"/>
        <v>940.00249999999994</v>
      </c>
      <c r="R173" s="180">
        <f t="shared" si="24"/>
        <v>19.270051249999998</v>
      </c>
      <c r="S173" s="180">
        <f>$L$11*(1+$L$9)^N173*'Récapitulatif des résultats'!$I$11</f>
        <v>0</v>
      </c>
      <c r="T173" s="241"/>
      <c r="U173" s="180"/>
      <c r="V173" s="249">
        <f t="shared" si="25"/>
        <v>0</v>
      </c>
      <c r="W173" s="188">
        <f>SUM('Chenes+Alisier - f. très forte'!AQ157*'Chenes+Alisier - f. très forte'!$F$21,'Chenes+corm+merisier - f. forte'!AQ157*'Chenes+corm+merisier - f. forte'!$F$21,'Charme - fertil.forte'!AQ157*'Charme - fertil.forte'!$F$21,'Pin maritime - très forte'!AQ157*'Pin maritime - très forte'!$F$21,'P. sylv.+laricio+séquoia -forte'!AQ157*'P. sylv.+laricio+séquoia -forte'!$F$21,'Douglas - fertilité moyenne'!AQ157*'Douglas - fertilité moyenne'!$F$21)</f>
        <v>0</v>
      </c>
      <c r="X173" s="188">
        <f>SUM('Chenes+Alisier - f. très forte'!AR157*'Chenes+Alisier - f. très forte'!$F$21,'Chenes+corm+merisier - f. forte'!AR157*'Chenes+corm+merisier - f. forte'!$F$21,'Charme - fertil.forte'!AR157*'Charme - fertil.forte'!$F$21,'Pin maritime - très forte'!AR157*'Pin maritime - très forte'!$F$21,'P. sylv.+laricio+séquoia -forte'!AR157*'P. sylv.+laricio+séquoia -forte'!$F$21,'Douglas - fertilité moyenne'!AR157*'Douglas - fertilité moyenne'!$F$21)</f>
        <v>0</v>
      </c>
      <c r="Y173" s="188">
        <f>SUM('Chenes+Alisier - f. très forte'!AS157*'Chenes+Alisier - f. très forte'!$F$21,'Chenes+corm+merisier - f. forte'!AS157*'Chenes+corm+merisier - f. forte'!$F$21,'Charme - fertil.forte'!AS157*'Charme - fertil.forte'!$F$21,'Pin maritime - très forte'!AS157*'Pin maritime - très forte'!$F$21,'P. sylv.+laricio+séquoia -forte'!AS157*'P. sylv.+laricio+séquoia -forte'!$F$21,'Douglas - fertilité moyenne'!AS157*'Douglas - fertilité moyenne'!$F$21)</f>
        <v>0</v>
      </c>
      <c r="Z173" s="331">
        <f>SUM('Chenes+Alisier - f. très forte'!AT157*'Chenes+Alisier - f. très forte'!$F$21,'Chenes+corm+merisier - f. forte'!AT157*'Chenes+corm+merisier - f. forte'!$F$21,'Charme - fertil.forte'!AT157*'Charme - fertil.forte'!$F$21,'Pin maritime - très forte'!AT157*'Pin maritime - très forte'!$F$21,'P. sylv.+laricio+séquoia -forte'!AT157*'P. sylv.+laricio+séquoia -forte'!$F$21,'Douglas - fertilité moyenne'!AT157*'Douglas - fertilité moyenne'!$F$21)</f>
        <v>0</v>
      </c>
      <c r="AA173" s="178">
        <f t="shared" si="27"/>
        <v>0</v>
      </c>
      <c r="AB173" s="179">
        <f t="shared" si="26"/>
        <v>0</v>
      </c>
      <c r="AC173" s="178"/>
      <c r="AD173" s="178"/>
    </row>
    <row r="174" spans="2:30">
      <c r="B174" s="169" t="s">
        <v>61</v>
      </c>
      <c r="C174" s="4">
        <v>0.37</v>
      </c>
      <c r="D174" s="191" t="s">
        <v>229</v>
      </c>
      <c r="E174" s="208">
        <v>44</v>
      </c>
      <c r="F174" s="254">
        <f>IF(Tableau14582[[#This Row],[Type]]="Feuillus",11*1.25,15.5*1.25)</f>
        <v>19.375</v>
      </c>
      <c r="G174" s="208">
        <v>10</v>
      </c>
      <c r="M174"/>
      <c r="N174" s="71">
        <v>153</v>
      </c>
      <c r="O174" s="239"/>
      <c r="P174" s="180"/>
      <c r="Q174" s="240">
        <f t="shared" si="28"/>
        <v>940.00249999999994</v>
      </c>
      <c r="R174" s="180">
        <f t="shared" si="24"/>
        <v>19.270051249999998</v>
      </c>
      <c r="S174" s="180">
        <f>$L$11*(1+$L$9)^N174*'Récapitulatif des résultats'!$I$11</f>
        <v>0</v>
      </c>
      <c r="T174" s="241"/>
      <c r="U174" s="180"/>
      <c r="V174" s="249">
        <f t="shared" si="25"/>
        <v>0</v>
      </c>
      <c r="W174" s="188">
        <f>SUM('Chenes+Alisier - f. très forte'!AQ158*'Chenes+Alisier - f. très forte'!$F$21,'Chenes+corm+merisier - f. forte'!AQ158*'Chenes+corm+merisier - f. forte'!$F$21,'Charme - fertil.forte'!AQ158*'Charme - fertil.forte'!$F$21,'Pin maritime - très forte'!AQ158*'Pin maritime - très forte'!$F$21,'P. sylv.+laricio+séquoia -forte'!AQ158*'P. sylv.+laricio+séquoia -forte'!$F$21,'Douglas - fertilité moyenne'!AQ158*'Douglas - fertilité moyenne'!$F$21)</f>
        <v>0</v>
      </c>
      <c r="X174" s="188">
        <f>SUM('Chenes+Alisier - f. très forte'!AR158*'Chenes+Alisier - f. très forte'!$F$21,'Chenes+corm+merisier - f. forte'!AR158*'Chenes+corm+merisier - f. forte'!$F$21,'Charme - fertil.forte'!AR158*'Charme - fertil.forte'!$F$21,'Pin maritime - très forte'!AR158*'Pin maritime - très forte'!$F$21,'P. sylv.+laricio+séquoia -forte'!AR158*'P. sylv.+laricio+séquoia -forte'!$F$21,'Douglas - fertilité moyenne'!AR158*'Douglas - fertilité moyenne'!$F$21)</f>
        <v>0</v>
      </c>
      <c r="Y174" s="188">
        <f>SUM('Chenes+Alisier - f. très forte'!AS158*'Chenes+Alisier - f. très forte'!$F$21,'Chenes+corm+merisier - f. forte'!AS158*'Chenes+corm+merisier - f. forte'!$F$21,'Charme - fertil.forte'!AS158*'Charme - fertil.forte'!$F$21,'Pin maritime - très forte'!AS158*'Pin maritime - très forte'!$F$21,'P. sylv.+laricio+séquoia -forte'!AS158*'P. sylv.+laricio+séquoia -forte'!$F$21,'Douglas - fertilité moyenne'!AS158*'Douglas - fertilité moyenne'!$F$21)</f>
        <v>0</v>
      </c>
      <c r="Z174" s="331">
        <f>SUM('Chenes+Alisier - f. très forte'!AT158*'Chenes+Alisier - f. très forte'!$F$21,'Chenes+corm+merisier - f. forte'!AT158*'Chenes+corm+merisier - f. forte'!$F$21,'Charme - fertil.forte'!AT158*'Charme - fertil.forte'!$F$21,'Pin maritime - très forte'!AT158*'Pin maritime - très forte'!$F$21,'P. sylv.+laricio+séquoia -forte'!AT158*'P. sylv.+laricio+séquoia -forte'!$F$21,'Douglas - fertilité moyenne'!AT158*'Douglas - fertilité moyenne'!$F$21)</f>
        <v>0</v>
      </c>
      <c r="AA174" s="178">
        <f t="shared" si="27"/>
        <v>0</v>
      </c>
      <c r="AB174" s="179">
        <f t="shared" si="26"/>
        <v>0</v>
      </c>
      <c r="AC174" s="178"/>
      <c r="AD174" s="178"/>
    </row>
    <row r="175" spans="2:30">
      <c r="B175" s="169" t="s">
        <v>62</v>
      </c>
      <c r="C175" s="4">
        <v>0.37</v>
      </c>
      <c r="D175" s="191" t="s">
        <v>229</v>
      </c>
      <c r="E175" s="208">
        <v>44</v>
      </c>
      <c r="F175" s="254">
        <f>IF(Tableau14582[[#This Row],[Type]]="Feuillus",11*1.25,15.5*1.25)</f>
        <v>19.375</v>
      </c>
      <c r="G175" s="208">
        <v>10</v>
      </c>
      <c r="M175"/>
      <c r="N175" s="71">
        <v>154</v>
      </c>
      <c r="O175" s="239"/>
      <c r="P175" s="180"/>
      <c r="Q175" s="240">
        <f t="shared" si="28"/>
        <v>940.00249999999994</v>
      </c>
      <c r="R175" s="180">
        <f t="shared" si="24"/>
        <v>19.270051249999998</v>
      </c>
      <c r="S175" s="180">
        <f>$L$11*(1+$L$9)^N175*'Récapitulatif des résultats'!$I$11</f>
        <v>0</v>
      </c>
      <c r="T175" s="241"/>
      <c r="U175" s="180"/>
      <c r="V175" s="249">
        <f t="shared" si="25"/>
        <v>0</v>
      </c>
      <c r="W175" s="188">
        <f>SUM('Chenes+Alisier - f. très forte'!AQ159*'Chenes+Alisier - f. très forte'!$F$21,'Chenes+corm+merisier - f. forte'!AQ159*'Chenes+corm+merisier - f. forte'!$F$21,'Charme - fertil.forte'!AQ159*'Charme - fertil.forte'!$F$21,'Pin maritime - très forte'!AQ159*'Pin maritime - très forte'!$F$21,'P. sylv.+laricio+séquoia -forte'!AQ159*'P. sylv.+laricio+séquoia -forte'!$F$21,'Douglas - fertilité moyenne'!AQ159*'Douglas - fertilité moyenne'!$F$21)</f>
        <v>0</v>
      </c>
      <c r="X175" s="188">
        <f>SUM('Chenes+Alisier - f. très forte'!AR159*'Chenes+Alisier - f. très forte'!$F$21,'Chenes+corm+merisier - f. forte'!AR159*'Chenes+corm+merisier - f. forte'!$F$21,'Charme - fertil.forte'!AR159*'Charme - fertil.forte'!$F$21,'Pin maritime - très forte'!AR159*'Pin maritime - très forte'!$F$21,'P. sylv.+laricio+séquoia -forte'!AR159*'P. sylv.+laricio+séquoia -forte'!$F$21,'Douglas - fertilité moyenne'!AR159*'Douglas - fertilité moyenne'!$F$21)</f>
        <v>0</v>
      </c>
      <c r="Y175" s="188">
        <f>SUM('Chenes+Alisier - f. très forte'!AS159*'Chenes+Alisier - f. très forte'!$F$21,'Chenes+corm+merisier - f. forte'!AS159*'Chenes+corm+merisier - f. forte'!$F$21,'Charme - fertil.forte'!AS159*'Charme - fertil.forte'!$F$21,'Pin maritime - très forte'!AS159*'Pin maritime - très forte'!$F$21,'P. sylv.+laricio+séquoia -forte'!AS159*'P. sylv.+laricio+séquoia -forte'!$F$21,'Douglas - fertilité moyenne'!AS159*'Douglas - fertilité moyenne'!$F$21)</f>
        <v>0</v>
      </c>
      <c r="Z175" s="331">
        <f>SUM('Chenes+Alisier - f. très forte'!AT159*'Chenes+Alisier - f. très forte'!$F$21,'Chenes+corm+merisier - f. forte'!AT159*'Chenes+corm+merisier - f. forte'!$F$21,'Charme - fertil.forte'!AT159*'Charme - fertil.forte'!$F$21,'Pin maritime - très forte'!AT159*'Pin maritime - très forte'!$F$21,'P. sylv.+laricio+séquoia -forte'!AT159*'P. sylv.+laricio+séquoia -forte'!$F$21,'Douglas - fertilité moyenne'!AT159*'Douglas - fertilité moyenne'!$F$21)</f>
        <v>0</v>
      </c>
      <c r="AA175" s="178">
        <f t="shared" si="27"/>
        <v>0</v>
      </c>
      <c r="AB175" s="179">
        <f t="shared" si="26"/>
        <v>0</v>
      </c>
      <c r="AC175" s="178"/>
      <c r="AD175" s="178"/>
    </row>
    <row r="176" spans="2:30">
      <c r="B176" s="169" t="s">
        <v>63</v>
      </c>
      <c r="C176" s="4">
        <v>0.38</v>
      </c>
      <c r="D176" s="191" t="s">
        <v>229</v>
      </c>
      <c r="E176" s="208">
        <v>37</v>
      </c>
      <c r="F176" s="254">
        <f>IF(Tableau14582[[#This Row],[Type]]="Feuillus",11*1.25,15.5*1.25)</f>
        <v>19.375</v>
      </c>
      <c r="G176" s="208">
        <v>10</v>
      </c>
      <c r="M176"/>
      <c r="N176" s="71">
        <v>155</v>
      </c>
      <c r="O176" s="239"/>
      <c r="P176" s="180"/>
      <c r="Q176" s="240">
        <f t="shared" si="28"/>
        <v>940.00249999999994</v>
      </c>
      <c r="R176" s="180">
        <f t="shared" si="24"/>
        <v>19.270051249999998</v>
      </c>
      <c r="S176" s="180">
        <f>$L$11*(1+$L$9)^N176*'Récapitulatif des résultats'!$I$11</f>
        <v>0</v>
      </c>
      <c r="T176" s="241"/>
      <c r="U176" s="180"/>
      <c r="V176" s="249">
        <f t="shared" si="25"/>
        <v>0</v>
      </c>
      <c r="W176" s="188">
        <f>SUM('Chenes+Alisier - f. très forte'!AQ160*'Chenes+Alisier - f. très forte'!$F$21,'Chenes+corm+merisier - f. forte'!AQ160*'Chenes+corm+merisier - f. forte'!$F$21,'Charme - fertil.forte'!AQ160*'Charme - fertil.forte'!$F$21,'Pin maritime - très forte'!AQ160*'Pin maritime - très forte'!$F$21,'P. sylv.+laricio+séquoia -forte'!AQ160*'P. sylv.+laricio+séquoia -forte'!$F$21,'Douglas - fertilité moyenne'!AQ160*'Douglas - fertilité moyenne'!$F$21)</f>
        <v>0</v>
      </c>
      <c r="X176" s="188">
        <f>SUM('Chenes+Alisier - f. très forte'!AR160*'Chenes+Alisier - f. très forte'!$F$21,'Chenes+corm+merisier - f. forte'!AR160*'Chenes+corm+merisier - f. forte'!$F$21,'Charme - fertil.forte'!AR160*'Charme - fertil.forte'!$F$21,'Pin maritime - très forte'!AR160*'Pin maritime - très forte'!$F$21,'P. sylv.+laricio+séquoia -forte'!AR160*'P. sylv.+laricio+séquoia -forte'!$F$21,'Douglas - fertilité moyenne'!AR160*'Douglas - fertilité moyenne'!$F$21)</f>
        <v>0</v>
      </c>
      <c r="Y176" s="188">
        <f>SUM('Chenes+Alisier - f. très forte'!AS160*'Chenes+Alisier - f. très forte'!$F$21,'Chenes+corm+merisier - f. forte'!AS160*'Chenes+corm+merisier - f. forte'!$F$21,'Charme - fertil.forte'!AS160*'Charme - fertil.forte'!$F$21,'Pin maritime - très forte'!AS160*'Pin maritime - très forte'!$F$21,'P. sylv.+laricio+séquoia -forte'!AS160*'P. sylv.+laricio+séquoia -forte'!$F$21,'Douglas - fertilité moyenne'!AS160*'Douglas - fertilité moyenne'!$F$21)</f>
        <v>0</v>
      </c>
      <c r="Z176" s="331">
        <f>SUM('Chenes+Alisier - f. très forte'!AT160*'Chenes+Alisier - f. très forte'!$F$21,'Chenes+corm+merisier - f. forte'!AT160*'Chenes+corm+merisier - f. forte'!$F$21,'Charme - fertil.forte'!AT160*'Charme - fertil.forte'!$F$21,'Pin maritime - très forte'!AT160*'Pin maritime - très forte'!$F$21,'P. sylv.+laricio+séquoia -forte'!AT160*'P. sylv.+laricio+séquoia -forte'!$F$21,'Douglas - fertilité moyenne'!AT160*'Douglas - fertilité moyenne'!$F$21)</f>
        <v>0</v>
      </c>
      <c r="AA176" s="178">
        <f t="shared" si="27"/>
        <v>0</v>
      </c>
      <c r="AB176" s="179">
        <f t="shared" si="26"/>
        <v>0</v>
      </c>
      <c r="AC176" s="178"/>
      <c r="AD176" s="178"/>
    </row>
    <row r="177" spans="2:30">
      <c r="B177" s="169" t="s">
        <v>64</v>
      </c>
      <c r="C177" s="4">
        <v>0.36</v>
      </c>
      <c r="D177" s="191" t="s">
        <v>229</v>
      </c>
      <c r="E177" s="208">
        <v>44</v>
      </c>
      <c r="F177" s="254">
        <f>IF(Tableau14582[[#This Row],[Type]]="Feuillus",11*1.25,15.5*1.25)</f>
        <v>19.375</v>
      </c>
      <c r="G177" s="208">
        <v>10</v>
      </c>
      <c r="M177"/>
      <c r="N177" s="71">
        <v>156</v>
      </c>
      <c r="O177" s="239"/>
      <c r="P177" s="180"/>
      <c r="Q177" s="240">
        <f t="shared" si="28"/>
        <v>940.00249999999994</v>
      </c>
      <c r="R177" s="180">
        <f t="shared" si="24"/>
        <v>19.270051249999998</v>
      </c>
      <c r="S177" s="180">
        <f>$L$11*(1+$L$9)^N177*'Récapitulatif des résultats'!$I$11</f>
        <v>0</v>
      </c>
      <c r="T177" s="241"/>
      <c r="U177" s="180"/>
      <c r="V177" s="249">
        <f t="shared" si="25"/>
        <v>0</v>
      </c>
      <c r="W177" s="188">
        <f>SUM('Chenes+Alisier - f. très forte'!AQ161*'Chenes+Alisier - f. très forte'!$F$21,'Chenes+corm+merisier - f. forte'!AQ161*'Chenes+corm+merisier - f. forte'!$F$21,'Charme - fertil.forte'!AQ161*'Charme - fertil.forte'!$F$21,'Pin maritime - très forte'!AQ161*'Pin maritime - très forte'!$F$21,'P. sylv.+laricio+séquoia -forte'!AQ161*'P. sylv.+laricio+séquoia -forte'!$F$21,'Douglas - fertilité moyenne'!AQ161*'Douglas - fertilité moyenne'!$F$21)</f>
        <v>0</v>
      </c>
      <c r="X177" s="188">
        <f>SUM('Chenes+Alisier - f. très forte'!AR161*'Chenes+Alisier - f. très forte'!$F$21,'Chenes+corm+merisier - f. forte'!AR161*'Chenes+corm+merisier - f. forte'!$F$21,'Charme - fertil.forte'!AR161*'Charme - fertil.forte'!$F$21,'Pin maritime - très forte'!AR161*'Pin maritime - très forte'!$F$21,'P. sylv.+laricio+séquoia -forte'!AR161*'P. sylv.+laricio+séquoia -forte'!$F$21,'Douglas - fertilité moyenne'!AR161*'Douglas - fertilité moyenne'!$F$21)</f>
        <v>0</v>
      </c>
      <c r="Y177" s="188">
        <f>SUM('Chenes+Alisier - f. très forte'!AS161*'Chenes+Alisier - f. très forte'!$F$21,'Chenes+corm+merisier - f. forte'!AS161*'Chenes+corm+merisier - f. forte'!$F$21,'Charme - fertil.forte'!AS161*'Charme - fertil.forte'!$F$21,'Pin maritime - très forte'!AS161*'Pin maritime - très forte'!$F$21,'P. sylv.+laricio+séquoia -forte'!AS161*'P. sylv.+laricio+séquoia -forte'!$F$21,'Douglas - fertilité moyenne'!AS161*'Douglas - fertilité moyenne'!$F$21)</f>
        <v>0</v>
      </c>
      <c r="Z177" s="331">
        <f>SUM('Chenes+Alisier - f. très forte'!AT161*'Chenes+Alisier - f. très forte'!$F$21,'Chenes+corm+merisier - f. forte'!AT161*'Chenes+corm+merisier - f. forte'!$F$21,'Charme - fertil.forte'!AT161*'Charme - fertil.forte'!$F$21,'Pin maritime - très forte'!AT161*'Pin maritime - très forte'!$F$21,'P. sylv.+laricio+séquoia -forte'!AT161*'P. sylv.+laricio+séquoia -forte'!$F$21,'Douglas - fertilité moyenne'!AT161*'Douglas - fertilité moyenne'!$F$21)</f>
        <v>0</v>
      </c>
      <c r="AA177" s="178">
        <f t="shared" si="27"/>
        <v>0</v>
      </c>
      <c r="AB177" s="179">
        <f t="shared" si="26"/>
        <v>0</v>
      </c>
      <c r="AC177" s="178"/>
      <c r="AD177" s="178"/>
    </row>
    <row r="178" spans="2:30">
      <c r="B178" s="169" t="s">
        <v>65</v>
      </c>
      <c r="C178" s="4">
        <v>0.37</v>
      </c>
      <c r="D178" s="191" t="s">
        <v>228</v>
      </c>
      <c r="E178" s="208">
        <v>25</v>
      </c>
      <c r="F178" s="254">
        <f>IF(Tableau14582[[#This Row],[Type]]="Feuillus",11*1.25,15.5*1.25)</f>
        <v>13.75</v>
      </c>
      <c r="G178" s="208">
        <v>10</v>
      </c>
      <c r="M178"/>
      <c r="N178" s="71">
        <v>157</v>
      </c>
      <c r="O178" s="239"/>
      <c r="P178" s="180"/>
      <c r="Q178" s="240">
        <f t="shared" si="28"/>
        <v>940.00249999999994</v>
      </c>
      <c r="R178" s="180">
        <f t="shared" si="24"/>
        <v>19.270051249999998</v>
      </c>
      <c r="S178" s="180">
        <f>$L$11*(1+$L$9)^N178*'Récapitulatif des résultats'!$I$11</f>
        <v>0</v>
      </c>
      <c r="T178" s="241"/>
      <c r="U178" s="180"/>
      <c r="V178" s="249">
        <f t="shared" si="25"/>
        <v>0</v>
      </c>
      <c r="W178" s="188">
        <f>SUM('Chenes+Alisier - f. très forte'!AQ162*'Chenes+Alisier - f. très forte'!$F$21,'Chenes+corm+merisier - f. forte'!AQ162*'Chenes+corm+merisier - f. forte'!$F$21,'Charme - fertil.forte'!AQ162*'Charme - fertil.forte'!$F$21,'Pin maritime - très forte'!AQ162*'Pin maritime - très forte'!$F$21,'P. sylv.+laricio+séquoia -forte'!AQ162*'P. sylv.+laricio+séquoia -forte'!$F$21,'Douglas - fertilité moyenne'!AQ162*'Douglas - fertilité moyenne'!$F$21)</f>
        <v>0</v>
      </c>
      <c r="X178" s="188">
        <f>SUM('Chenes+Alisier - f. très forte'!AR162*'Chenes+Alisier - f. très forte'!$F$21,'Chenes+corm+merisier - f. forte'!AR162*'Chenes+corm+merisier - f. forte'!$F$21,'Charme - fertil.forte'!AR162*'Charme - fertil.forte'!$F$21,'Pin maritime - très forte'!AR162*'Pin maritime - très forte'!$F$21,'P. sylv.+laricio+séquoia -forte'!AR162*'P. sylv.+laricio+séquoia -forte'!$F$21,'Douglas - fertilité moyenne'!AR162*'Douglas - fertilité moyenne'!$F$21)</f>
        <v>0</v>
      </c>
      <c r="Y178" s="188">
        <f>SUM('Chenes+Alisier - f. très forte'!AS162*'Chenes+Alisier - f. très forte'!$F$21,'Chenes+corm+merisier - f. forte'!AS162*'Chenes+corm+merisier - f. forte'!$F$21,'Charme - fertil.forte'!AS162*'Charme - fertil.forte'!$F$21,'Pin maritime - très forte'!AS162*'Pin maritime - très forte'!$F$21,'P. sylv.+laricio+séquoia -forte'!AS162*'P. sylv.+laricio+séquoia -forte'!$F$21,'Douglas - fertilité moyenne'!AS162*'Douglas - fertilité moyenne'!$F$21)</f>
        <v>0</v>
      </c>
      <c r="Z178" s="331">
        <f>SUM('Chenes+Alisier - f. très forte'!AT162*'Chenes+Alisier - f. très forte'!$F$21,'Chenes+corm+merisier - f. forte'!AT162*'Chenes+corm+merisier - f. forte'!$F$21,'Charme - fertil.forte'!AT162*'Charme - fertil.forte'!$F$21,'Pin maritime - très forte'!AT162*'Pin maritime - très forte'!$F$21,'P. sylv.+laricio+séquoia -forte'!AT162*'P. sylv.+laricio+séquoia -forte'!$F$21,'Douglas - fertilité moyenne'!AT162*'Douglas - fertilité moyenne'!$F$21)</f>
        <v>0</v>
      </c>
      <c r="AA178" s="178">
        <f t="shared" si="27"/>
        <v>0</v>
      </c>
      <c r="AB178" s="179">
        <f t="shared" si="26"/>
        <v>0</v>
      </c>
      <c r="AC178" s="178"/>
      <c r="AD178" s="178"/>
    </row>
    <row r="179" spans="2:30">
      <c r="B179" s="169" t="s">
        <v>66</v>
      </c>
      <c r="C179" s="4">
        <v>0.53</v>
      </c>
      <c r="D179" s="191" t="s">
        <v>228</v>
      </c>
      <c r="E179" s="255" t="s">
        <v>250</v>
      </c>
      <c r="F179" s="254">
        <f>IF(Tableau14582[[#This Row],[Type]]="Feuillus",11*1.25,15.5*1.25)</f>
        <v>13.75</v>
      </c>
      <c r="G179" s="208">
        <v>10</v>
      </c>
      <c r="M179"/>
      <c r="N179" s="71">
        <v>158</v>
      </c>
      <c r="O179" s="239"/>
      <c r="P179" s="180"/>
      <c r="Q179" s="240">
        <f t="shared" si="28"/>
        <v>940.00249999999994</v>
      </c>
      <c r="R179" s="180">
        <f t="shared" si="24"/>
        <v>19.270051249999998</v>
      </c>
      <c r="S179" s="180">
        <f>$L$11*(1+$L$9)^N179*'Récapitulatif des résultats'!$I$11</f>
        <v>0</v>
      </c>
      <c r="T179" s="241"/>
      <c r="U179" s="180"/>
      <c r="V179" s="249">
        <f t="shared" si="25"/>
        <v>0</v>
      </c>
      <c r="W179" s="188">
        <f>SUM('Chenes+Alisier - f. très forte'!AQ163*'Chenes+Alisier - f. très forte'!$F$21,'Chenes+corm+merisier - f. forte'!AQ163*'Chenes+corm+merisier - f. forte'!$F$21,'Charme - fertil.forte'!AQ163*'Charme - fertil.forte'!$F$21,'Pin maritime - très forte'!AQ163*'Pin maritime - très forte'!$F$21,'P. sylv.+laricio+séquoia -forte'!AQ163*'P. sylv.+laricio+séquoia -forte'!$F$21,'Douglas - fertilité moyenne'!AQ163*'Douglas - fertilité moyenne'!$F$21)</f>
        <v>0</v>
      </c>
      <c r="X179" s="188">
        <f>SUM('Chenes+Alisier - f. très forte'!AR163*'Chenes+Alisier - f. très forte'!$F$21,'Chenes+corm+merisier - f. forte'!AR163*'Chenes+corm+merisier - f. forte'!$F$21,'Charme - fertil.forte'!AR163*'Charme - fertil.forte'!$F$21,'Pin maritime - très forte'!AR163*'Pin maritime - très forte'!$F$21,'P. sylv.+laricio+séquoia -forte'!AR163*'P. sylv.+laricio+séquoia -forte'!$F$21,'Douglas - fertilité moyenne'!AR163*'Douglas - fertilité moyenne'!$F$21)</f>
        <v>0</v>
      </c>
      <c r="Y179" s="188">
        <f>SUM('Chenes+Alisier - f. très forte'!AS163*'Chenes+Alisier - f. très forte'!$F$21,'Chenes+corm+merisier - f. forte'!AS163*'Chenes+corm+merisier - f. forte'!$F$21,'Charme - fertil.forte'!AS163*'Charme - fertil.forte'!$F$21,'Pin maritime - très forte'!AS163*'Pin maritime - très forte'!$F$21,'P. sylv.+laricio+séquoia -forte'!AS163*'P. sylv.+laricio+séquoia -forte'!$F$21,'Douglas - fertilité moyenne'!AS163*'Douglas - fertilité moyenne'!$F$21)</f>
        <v>0</v>
      </c>
      <c r="Z179" s="331">
        <f>SUM('Chenes+Alisier - f. très forte'!AT163*'Chenes+Alisier - f. très forte'!$F$21,'Chenes+corm+merisier - f. forte'!AT163*'Chenes+corm+merisier - f. forte'!$F$21,'Charme - fertil.forte'!AT163*'Charme - fertil.forte'!$F$21,'Pin maritime - très forte'!AT163*'Pin maritime - très forte'!$F$21,'P. sylv.+laricio+séquoia -forte'!AT163*'P. sylv.+laricio+séquoia -forte'!$F$21,'Douglas - fertilité moyenne'!AT163*'Douglas - fertilité moyenne'!$F$21)</f>
        <v>0</v>
      </c>
      <c r="AA179" s="178">
        <f t="shared" si="27"/>
        <v>0</v>
      </c>
      <c r="AB179" s="179">
        <f t="shared" si="26"/>
        <v>0</v>
      </c>
      <c r="AC179" s="178"/>
      <c r="AD179" s="178"/>
    </row>
    <row r="180" spans="2:30">
      <c r="B180" s="169" t="s">
        <v>67</v>
      </c>
      <c r="C180" s="4">
        <v>0.43</v>
      </c>
      <c r="D180" s="191" t="s">
        <v>228</v>
      </c>
      <c r="E180" s="208">
        <v>50</v>
      </c>
      <c r="F180" s="254">
        <f>IF(Tableau14582[[#This Row],[Type]]="Feuillus",11*1.25,15.5*1.25)</f>
        <v>13.75</v>
      </c>
      <c r="G180" s="208">
        <v>10</v>
      </c>
      <c r="M180"/>
      <c r="N180" s="71">
        <v>159</v>
      </c>
      <c r="O180" s="239"/>
      <c r="P180" s="180"/>
      <c r="Q180" s="240">
        <f t="shared" si="28"/>
        <v>940.00249999999994</v>
      </c>
      <c r="R180" s="180">
        <f t="shared" si="24"/>
        <v>19.270051249999998</v>
      </c>
      <c r="S180" s="180">
        <f>$L$11*(1+$L$9)^N180*'Récapitulatif des résultats'!$I$11</f>
        <v>0</v>
      </c>
      <c r="T180" s="241"/>
      <c r="U180" s="180"/>
      <c r="V180" s="249">
        <f t="shared" si="25"/>
        <v>0</v>
      </c>
      <c r="W180" s="188">
        <f>SUM('Chenes+Alisier - f. très forte'!AQ164*'Chenes+Alisier - f. très forte'!$F$21,'Chenes+corm+merisier - f. forte'!AQ164*'Chenes+corm+merisier - f. forte'!$F$21,'Charme - fertil.forte'!AQ164*'Charme - fertil.forte'!$F$21,'Pin maritime - très forte'!AQ164*'Pin maritime - très forte'!$F$21,'P. sylv.+laricio+séquoia -forte'!AQ164*'P. sylv.+laricio+séquoia -forte'!$F$21,'Douglas - fertilité moyenne'!AQ164*'Douglas - fertilité moyenne'!$F$21)</f>
        <v>0</v>
      </c>
      <c r="X180" s="188">
        <f>SUM('Chenes+Alisier - f. très forte'!AR164*'Chenes+Alisier - f. très forte'!$F$21,'Chenes+corm+merisier - f. forte'!AR164*'Chenes+corm+merisier - f. forte'!$F$21,'Charme - fertil.forte'!AR164*'Charme - fertil.forte'!$F$21,'Pin maritime - très forte'!AR164*'Pin maritime - très forte'!$F$21,'P. sylv.+laricio+séquoia -forte'!AR164*'P. sylv.+laricio+séquoia -forte'!$F$21,'Douglas - fertilité moyenne'!AR164*'Douglas - fertilité moyenne'!$F$21)</f>
        <v>0</v>
      </c>
      <c r="Y180" s="188">
        <f>SUM('Chenes+Alisier - f. très forte'!AS164*'Chenes+Alisier - f. très forte'!$F$21,'Chenes+corm+merisier - f. forte'!AS164*'Chenes+corm+merisier - f. forte'!$F$21,'Charme - fertil.forte'!AS164*'Charme - fertil.forte'!$F$21,'Pin maritime - très forte'!AS164*'Pin maritime - très forte'!$F$21,'P. sylv.+laricio+séquoia -forte'!AS164*'P. sylv.+laricio+séquoia -forte'!$F$21,'Douglas - fertilité moyenne'!AS164*'Douglas - fertilité moyenne'!$F$21)</f>
        <v>0</v>
      </c>
      <c r="Z180" s="331">
        <f>SUM('Chenes+Alisier - f. très forte'!AT164*'Chenes+Alisier - f. très forte'!$F$21,'Chenes+corm+merisier - f. forte'!AT164*'Chenes+corm+merisier - f. forte'!$F$21,'Charme - fertil.forte'!AT164*'Charme - fertil.forte'!$F$21,'Pin maritime - très forte'!AT164*'Pin maritime - très forte'!$F$21,'P. sylv.+laricio+séquoia -forte'!AT164*'P. sylv.+laricio+séquoia -forte'!$F$21,'Douglas - fertilité moyenne'!AT164*'Douglas - fertilité moyenne'!$F$21)</f>
        <v>0</v>
      </c>
      <c r="AA180" s="178">
        <f t="shared" si="27"/>
        <v>0</v>
      </c>
      <c r="AB180" s="179">
        <f t="shared" si="26"/>
        <v>0</v>
      </c>
      <c r="AC180" s="178"/>
      <c r="AD180" s="178"/>
    </row>
    <row r="181" spans="2:30">
      <c r="B181" s="169" t="s">
        <v>68</v>
      </c>
      <c r="C181" s="4">
        <v>0.38</v>
      </c>
      <c r="D181" s="191" t="s">
        <v>228</v>
      </c>
      <c r="E181" s="208">
        <v>25</v>
      </c>
      <c r="F181" s="254">
        <f>IF(Tableau14582[[#This Row],[Type]]="Feuillus",11*1.25,15.5*1.25)</f>
        <v>13.75</v>
      </c>
      <c r="G181" s="208">
        <v>10</v>
      </c>
      <c r="M181"/>
      <c r="N181" s="71">
        <v>160</v>
      </c>
      <c r="O181" s="239"/>
      <c r="P181" s="180"/>
      <c r="Q181" s="240">
        <f t="shared" si="28"/>
        <v>940.00249999999994</v>
      </c>
      <c r="R181" s="180">
        <f t="shared" si="24"/>
        <v>19.270051249999998</v>
      </c>
      <c r="S181" s="180">
        <f>$L$11*(1+$L$9)^N181*'Récapitulatif des résultats'!$I$11</f>
        <v>0</v>
      </c>
      <c r="T181" s="241"/>
      <c r="U181" s="180"/>
      <c r="V181" s="249">
        <f t="shared" si="25"/>
        <v>0</v>
      </c>
      <c r="W181" s="188">
        <f>SUM('Chenes+Alisier - f. très forte'!AQ165*'Chenes+Alisier - f. très forte'!$F$21,'Chenes+corm+merisier - f. forte'!AQ165*'Chenes+corm+merisier - f. forte'!$F$21,'Charme - fertil.forte'!AQ165*'Charme - fertil.forte'!$F$21,'Pin maritime - très forte'!AQ165*'Pin maritime - très forte'!$F$21,'P. sylv.+laricio+séquoia -forte'!AQ165*'P. sylv.+laricio+séquoia -forte'!$F$21,'Douglas - fertilité moyenne'!AQ165*'Douglas - fertilité moyenne'!$F$21)</f>
        <v>0</v>
      </c>
      <c r="X181" s="188">
        <f>SUM('Chenes+Alisier - f. très forte'!AR165*'Chenes+Alisier - f. très forte'!$F$21,'Chenes+corm+merisier - f. forte'!AR165*'Chenes+corm+merisier - f. forte'!$F$21,'Charme - fertil.forte'!AR165*'Charme - fertil.forte'!$F$21,'Pin maritime - très forte'!AR165*'Pin maritime - très forte'!$F$21,'P. sylv.+laricio+séquoia -forte'!AR165*'P. sylv.+laricio+séquoia -forte'!$F$21,'Douglas - fertilité moyenne'!AR165*'Douglas - fertilité moyenne'!$F$21)</f>
        <v>0</v>
      </c>
      <c r="Y181" s="188">
        <f>SUM('Chenes+Alisier - f. très forte'!AS165*'Chenes+Alisier - f. très forte'!$F$21,'Chenes+corm+merisier - f. forte'!AS165*'Chenes+corm+merisier - f. forte'!$F$21,'Charme - fertil.forte'!AS165*'Charme - fertil.forte'!$F$21,'Pin maritime - très forte'!AS165*'Pin maritime - très forte'!$F$21,'P. sylv.+laricio+séquoia -forte'!AS165*'P. sylv.+laricio+séquoia -forte'!$F$21,'Douglas - fertilité moyenne'!AS165*'Douglas - fertilité moyenne'!$F$21)</f>
        <v>0</v>
      </c>
      <c r="Z181" s="331">
        <f>SUM('Chenes+Alisier - f. très forte'!AT165*'Chenes+Alisier - f. très forte'!$F$21,'Chenes+corm+merisier - f. forte'!AT165*'Chenes+corm+merisier - f. forte'!$F$21,'Charme - fertil.forte'!AT165*'Charme - fertil.forte'!$F$21,'Pin maritime - très forte'!AT165*'Pin maritime - très forte'!$F$21,'P. sylv.+laricio+séquoia -forte'!AT165*'P. sylv.+laricio+séquoia -forte'!$F$21,'Douglas - fertilité moyenne'!AT165*'Douglas - fertilité moyenne'!$F$21)</f>
        <v>0</v>
      </c>
      <c r="AA181" s="178">
        <f t="shared" si="27"/>
        <v>0</v>
      </c>
      <c r="AB181" s="179">
        <f t="shared" si="26"/>
        <v>0</v>
      </c>
      <c r="AC181" s="178"/>
      <c r="AD181" s="178"/>
    </row>
    <row r="182" spans="2:30">
      <c r="B182" s="171" t="s">
        <v>69</v>
      </c>
      <c r="C182" s="3">
        <v>0.42</v>
      </c>
      <c r="D182" s="191" t="s">
        <v>229</v>
      </c>
      <c r="E182" s="208">
        <v>44</v>
      </c>
      <c r="F182" s="254">
        <f>IF(Tableau14582[[#This Row],[Type]]="Feuillus",11*1.25,15.5*1.25)</f>
        <v>19.375</v>
      </c>
      <c r="G182" s="208">
        <v>10</v>
      </c>
      <c r="M182"/>
      <c r="N182" s="71">
        <v>161</v>
      </c>
      <c r="O182" s="239"/>
      <c r="P182" s="180"/>
      <c r="Q182" s="240">
        <f t="shared" si="28"/>
        <v>940.00249999999994</v>
      </c>
      <c r="R182" s="180">
        <f t="shared" si="24"/>
        <v>19.270051249999998</v>
      </c>
      <c r="S182" s="180">
        <f>$L$11*(1+$L$9)^N182*'Récapitulatif des résultats'!$I$11</f>
        <v>0</v>
      </c>
      <c r="T182" s="241"/>
      <c r="U182" s="180"/>
      <c r="V182" s="249">
        <f t="shared" si="25"/>
        <v>0</v>
      </c>
      <c r="W182" s="188">
        <f>SUM('Chenes+Alisier - f. très forte'!AQ166*'Chenes+Alisier - f. très forte'!$F$21,'Chenes+corm+merisier - f. forte'!AQ166*'Chenes+corm+merisier - f. forte'!$F$21,'Charme - fertil.forte'!AQ166*'Charme - fertil.forte'!$F$21,'Pin maritime - très forte'!AQ166*'Pin maritime - très forte'!$F$21,'P. sylv.+laricio+séquoia -forte'!AQ166*'P. sylv.+laricio+séquoia -forte'!$F$21,'Douglas - fertilité moyenne'!AQ166*'Douglas - fertilité moyenne'!$F$21)</f>
        <v>0</v>
      </c>
      <c r="X182" s="188">
        <f>SUM('Chenes+Alisier - f. très forte'!AR166*'Chenes+Alisier - f. très forte'!$F$21,'Chenes+corm+merisier - f. forte'!AR166*'Chenes+corm+merisier - f. forte'!$F$21,'Charme - fertil.forte'!AR166*'Charme - fertil.forte'!$F$21,'Pin maritime - très forte'!AR166*'Pin maritime - très forte'!$F$21,'P. sylv.+laricio+séquoia -forte'!AR166*'P. sylv.+laricio+séquoia -forte'!$F$21,'Douglas - fertilité moyenne'!AR166*'Douglas - fertilité moyenne'!$F$21)</f>
        <v>0</v>
      </c>
      <c r="Y182" s="188">
        <f>SUM('Chenes+Alisier - f. très forte'!AS166*'Chenes+Alisier - f. très forte'!$F$21,'Chenes+corm+merisier - f. forte'!AS166*'Chenes+corm+merisier - f. forte'!$F$21,'Charme - fertil.forte'!AS166*'Charme - fertil.forte'!$F$21,'Pin maritime - très forte'!AS166*'Pin maritime - très forte'!$F$21,'P. sylv.+laricio+séquoia -forte'!AS166*'P. sylv.+laricio+séquoia -forte'!$F$21,'Douglas - fertilité moyenne'!AS166*'Douglas - fertilité moyenne'!$F$21)</f>
        <v>0</v>
      </c>
      <c r="Z182" s="331">
        <f>SUM('Chenes+Alisier - f. très forte'!AT166*'Chenes+Alisier - f. très forte'!$F$21,'Chenes+corm+merisier - f. forte'!AT166*'Chenes+corm+merisier - f. forte'!$F$21,'Charme - fertil.forte'!AT166*'Charme - fertil.forte'!$F$21,'Pin maritime - très forte'!AT166*'Pin maritime - très forte'!$F$21,'P. sylv.+laricio+séquoia -forte'!AT166*'P. sylv.+laricio+séquoia -forte'!$F$21,'Douglas - fertilité moyenne'!AT166*'Douglas - fertilité moyenne'!$F$21)</f>
        <v>0</v>
      </c>
      <c r="AA182" s="178">
        <f t="shared" si="27"/>
        <v>0</v>
      </c>
      <c r="AB182" s="179">
        <f t="shared" si="26"/>
        <v>0</v>
      </c>
      <c r="AC182" s="178"/>
      <c r="AD182" s="178"/>
    </row>
    <row r="183" spans="2:30">
      <c r="B183" s="171" t="s">
        <v>70</v>
      </c>
      <c r="C183" s="3">
        <v>0.56999999999999995</v>
      </c>
      <c r="D183" s="191" t="s">
        <v>228</v>
      </c>
      <c r="E183" s="255">
        <v>50</v>
      </c>
      <c r="F183" s="254">
        <f>IF(Tableau14582[[#This Row],[Type]]="Feuillus",11*1.25,15.5*1.25)</f>
        <v>13.75</v>
      </c>
      <c r="G183" s="208">
        <v>10</v>
      </c>
      <c r="M183"/>
      <c r="N183" s="71">
        <v>162</v>
      </c>
      <c r="O183" s="239"/>
      <c r="P183" s="180"/>
      <c r="Q183" s="240">
        <f t="shared" si="28"/>
        <v>940.00249999999994</v>
      </c>
      <c r="R183" s="180">
        <f t="shared" si="24"/>
        <v>19.270051249999998</v>
      </c>
      <c r="S183" s="180">
        <f>$L$11*(1+$L$9)^N183*'Récapitulatif des résultats'!$I$11</f>
        <v>0</v>
      </c>
      <c r="T183" s="241"/>
      <c r="U183" s="180"/>
      <c r="V183" s="249">
        <f t="shared" si="25"/>
        <v>0</v>
      </c>
      <c r="W183" s="188">
        <f>SUM('Chenes+Alisier - f. très forte'!AQ167*'Chenes+Alisier - f. très forte'!$F$21,'Chenes+corm+merisier - f. forte'!AQ167*'Chenes+corm+merisier - f. forte'!$F$21,'Charme - fertil.forte'!AQ167*'Charme - fertil.forte'!$F$21,'Pin maritime - très forte'!AQ167*'Pin maritime - très forte'!$F$21,'P. sylv.+laricio+séquoia -forte'!AQ167*'P. sylv.+laricio+séquoia -forte'!$F$21,'Douglas - fertilité moyenne'!AQ167*'Douglas - fertilité moyenne'!$F$21)</f>
        <v>0</v>
      </c>
      <c r="X183" s="188">
        <f>SUM('Chenes+Alisier - f. très forte'!AR167*'Chenes+Alisier - f. très forte'!$F$21,'Chenes+corm+merisier - f. forte'!AR167*'Chenes+corm+merisier - f. forte'!$F$21,'Charme - fertil.forte'!AR167*'Charme - fertil.forte'!$F$21,'Pin maritime - très forte'!AR167*'Pin maritime - très forte'!$F$21,'P. sylv.+laricio+séquoia -forte'!AR167*'P. sylv.+laricio+séquoia -forte'!$F$21,'Douglas - fertilité moyenne'!AR167*'Douglas - fertilité moyenne'!$F$21)</f>
        <v>0</v>
      </c>
      <c r="Y183" s="188">
        <f>SUM('Chenes+Alisier - f. très forte'!AS167*'Chenes+Alisier - f. très forte'!$F$21,'Chenes+corm+merisier - f. forte'!AS167*'Chenes+corm+merisier - f. forte'!$F$21,'Charme - fertil.forte'!AS167*'Charme - fertil.forte'!$F$21,'Pin maritime - très forte'!AS167*'Pin maritime - très forte'!$F$21,'P. sylv.+laricio+séquoia -forte'!AS167*'P. sylv.+laricio+séquoia -forte'!$F$21,'Douglas - fertilité moyenne'!AS167*'Douglas - fertilité moyenne'!$F$21)</f>
        <v>0</v>
      </c>
      <c r="Z183" s="331">
        <f>SUM('Chenes+Alisier - f. très forte'!AT167*'Chenes+Alisier - f. très forte'!$F$21,'Chenes+corm+merisier - f. forte'!AT167*'Chenes+corm+merisier - f. forte'!$F$21,'Charme - fertil.forte'!AT167*'Charme - fertil.forte'!$F$21,'Pin maritime - très forte'!AT167*'Pin maritime - très forte'!$F$21,'P. sylv.+laricio+séquoia -forte'!AT167*'P. sylv.+laricio+séquoia -forte'!$F$21,'Douglas - fertilité moyenne'!AT167*'Douglas - fertilité moyenne'!$F$21)</f>
        <v>0</v>
      </c>
      <c r="AA183" s="178">
        <f t="shared" si="27"/>
        <v>0</v>
      </c>
      <c r="AB183" s="179">
        <f t="shared" si="26"/>
        <v>0</v>
      </c>
      <c r="AC183" s="178"/>
      <c r="AD183" s="178"/>
    </row>
    <row r="184" spans="2:30">
      <c r="B184" s="171" t="s">
        <v>71</v>
      </c>
      <c r="C184" s="3">
        <v>0.54</v>
      </c>
      <c r="D184" s="191"/>
      <c r="E184" s="208">
        <v>60</v>
      </c>
      <c r="F184" s="208"/>
      <c r="G184" s="208">
        <v>10</v>
      </c>
      <c r="M184"/>
      <c r="N184" s="71">
        <v>163</v>
      </c>
      <c r="O184" s="239"/>
      <c r="P184" s="180"/>
      <c r="Q184" s="240">
        <f t="shared" si="28"/>
        <v>940.00249999999994</v>
      </c>
      <c r="R184" s="180">
        <f t="shared" si="24"/>
        <v>19.270051249999998</v>
      </c>
      <c r="S184" s="180">
        <f>$L$11*(1+$L$9)^N184*'Récapitulatif des résultats'!$I$11</f>
        <v>0</v>
      </c>
      <c r="T184" s="241"/>
      <c r="U184" s="180"/>
      <c r="V184" s="249">
        <f t="shared" si="25"/>
        <v>0</v>
      </c>
      <c r="W184" s="188">
        <f>SUM('Chenes+Alisier - f. très forte'!AQ168*'Chenes+Alisier - f. très forte'!$F$21,'Chenes+corm+merisier - f. forte'!AQ168*'Chenes+corm+merisier - f. forte'!$F$21,'Charme - fertil.forte'!AQ168*'Charme - fertil.forte'!$F$21,'Pin maritime - très forte'!AQ168*'Pin maritime - très forte'!$F$21,'P. sylv.+laricio+séquoia -forte'!AQ168*'P. sylv.+laricio+séquoia -forte'!$F$21,'Douglas - fertilité moyenne'!AQ168*'Douglas - fertilité moyenne'!$F$21)</f>
        <v>0</v>
      </c>
      <c r="X184" s="188">
        <f>SUM('Chenes+Alisier - f. très forte'!AR168*'Chenes+Alisier - f. très forte'!$F$21,'Chenes+corm+merisier - f. forte'!AR168*'Chenes+corm+merisier - f. forte'!$F$21,'Charme - fertil.forte'!AR168*'Charme - fertil.forte'!$F$21,'Pin maritime - très forte'!AR168*'Pin maritime - très forte'!$F$21,'P. sylv.+laricio+séquoia -forte'!AR168*'P. sylv.+laricio+séquoia -forte'!$F$21,'Douglas - fertilité moyenne'!AR168*'Douglas - fertilité moyenne'!$F$21)</f>
        <v>0</v>
      </c>
      <c r="Y184" s="188">
        <f>SUM('Chenes+Alisier - f. très forte'!AS168*'Chenes+Alisier - f. très forte'!$F$21,'Chenes+corm+merisier - f. forte'!AS168*'Chenes+corm+merisier - f. forte'!$F$21,'Charme - fertil.forte'!AS168*'Charme - fertil.forte'!$F$21,'Pin maritime - très forte'!AS168*'Pin maritime - très forte'!$F$21,'P. sylv.+laricio+séquoia -forte'!AS168*'P. sylv.+laricio+séquoia -forte'!$F$21,'Douglas - fertilité moyenne'!AS168*'Douglas - fertilité moyenne'!$F$21)</f>
        <v>0</v>
      </c>
      <c r="Z184" s="331">
        <f>SUM('Chenes+Alisier - f. très forte'!AT168*'Chenes+Alisier - f. très forte'!$F$21,'Chenes+corm+merisier - f. forte'!AT168*'Chenes+corm+merisier - f. forte'!$F$21,'Charme - fertil.forte'!AT168*'Charme - fertil.forte'!$F$21,'Pin maritime - très forte'!AT168*'Pin maritime - très forte'!$F$21,'P. sylv.+laricio+séquoia -forte'!AT168*'P. sylv.+laricio+séquoia -forte'!$F$21,'Douglas - fertilité moyenne'!AT168*'Douglas - fertilité moyenne'!$F$21)</f>
        <v>0</v>
      </c>
      <c r="AA184" s="178">
        <f t="shared" si="27"/>
        <v>0</v>
      </c>
      <c r="AB184" s="179">
        <f t="shared" si="26"/>
        <v>0</v>
      </c>
      <c r="AC184" s="178"/>
      <c r="AD184" s="178"/>
    </row>
    <row r="185" spans="2:30">
      <c r="M185"/>
      <c r="N185" s="71">
        <v>164</v>
      </c>
      <c r="O185" s="239"/>
      <c r="P185" s="180"/>
      <c r="Q185" s="240">
        <f t="shared" si="28"/>
        <v>940.00249999999994</v>
      </c>
      <c r="R185" s="180">
        <f t="shared" si="24"/>
        <v>19.270051249999998</v>
      </c>
      <c r="S185" s="180">
        <f>$L$11*(1+$L$9)^N185*'Récapitulatif des résultats'!$I$11</f>
        <v>0</v>
      </c>
      <c r="T185" s="241"/>
      <c r="U185" s="180"/>
      <c r="V185" s="249">
        <f t="shared" si="25"/>
        <v>0</v>
      </c>
      <c r="W185" s="188">
        <f>SUM('Chenes+Alisier - f. très forte'!AQ169*'Chenes+Alisier - f. très forte'!$F$21,'Chenes+corm+merisier - f. forte'!AQ169*'Chenes+corm+merisier - f. forte'!$F$21,'Charme - fertil.forte'!AQ169*'Charme - fertil.forte'!$F$21,'Pin maritime - très forte'!AQ169*'Pin maritime - très forte'!$F$21,'P. sylv.+laricio+séquoia -forte'!AQ169*'P. sylv.+laricio+séquoia -forte'!$F$21,'Douglas - fertilité moyenne'!AQ169*'Douglas - fertilité moyenne'!$F$21)</f>
        <v>0</v>
      </c>
      <c r="X185" s="188">
        <f>SUM('Chenes+Alisier - f. très forte'!AR169*'Chenes+Alisier - f. très forte'!$F$21,'Chenes+corm+merisier - f. forte'!AR169*'Chenes+corm+merisier - f. forte'!$F$21,'Charme - fertil.forte'!AR169*'Charme - fertil.forte'!$F$21,'Pin maritime - très forte'!AR169*'Pin maritime - très forte'!$F$21,'P. sylv.+laricio+séquoia -forte'!AR169*'P. sylv.+laricio+séquoia -forte'!$F$21,'Douglas - fertilité moyenne'!AR169*'Douglas - fertilité moyenne'!$F$21)</f>
        <v>0</v>
      </c>
      <c r="Y185" s="188">
        <f>SUM('Chenes+Alisier - f. très forte'!AS169*'Chenes+Alisier - f. très forte'!$F$21,'Chenes+corm+merisier - f. forte'!AS169*'Chenes+corm+merisier - f. forte'!$F$21,'Charme - fertil.forte'!AS169*'Charme - fertil.forte'!$F$21,'Pin maritime - très forte'!AS169*'Pin maritime - très forte'!$F$21,'P. sylv.+laricio+séquoia -forte'!AS169*'P. sylv.+laricio+séquoia -forte'!$F$21,'Douglas - fertilité moyenne'!AS169*'Douglas - fertilité moyenne'!$F$21)</f>
        <v>0</v>
      </c>
      <c r="Z185" s="331">
        <f>SUM('Chenes+Alisier - f. très forte'!AT169*'Chenes+Alisier - f. très forte'!$F$21,'Chenes+corm+merisier - f. forte'!AT169*'Chenes+corm+merisier - f. forte'!$F$21,'Charme - fertil.forte'!AT169*'Charme - fertil.forte'!$F$21,'Pin maritime - très forte'!AT169*'Pin maritime - très forte'!$F$21,'P. sylv.+laricio+séquoia -forte'!AT169*'P. sylv.+laricio+séquoia -forte'!$F$21,'Douglas - fertilité moyenne'!AT169*'Douglas - fertilité moyenne'!$F$21)</f>
        <v>0</v>
      </c>
      <c r="AA185" s="178">
        <f t="shared" si="27"/>
        <v>0</v>
      </c>
      <c r="AB185" s="179">
        <f t="shared" si="26"/>
        <v>0</v>
      </c>
      <c r="AC185" s="178"/>
      <c r="AD185" s="178"/>
    </row>
    <row r="186" spans="2:30">
      <c r="B186" t="s">
        <v>237</v>
      </c>
      <c r="N186" s="71">
        <v>165</v>
      </c>
      <c r="O186" s="239"/>
      <c r="P186" s="180"/>
      <c r="Q186" s="240">
        <f t="shared" si="28"/>
        <v>940.00249999999994</v>
      </c>
      <c r="R186" s="180">
        <f t="shared" si="24"/>
        <v>19.270051249999998</v>
      </c>
      <c r="S186" s="180">
        <f>$L$11*(1+$L$9)^N186*'Récapitulatif des résultats'!$I$11</f>
        <v>0</v>
      </c>
      <c r="T186" s="241"/>
      <c r="U186" s="180"/>
      <c r="V186" s="249">
        <f t="shared" si="25"/>
        <v>0</v>
      </c>
      <c r="W186" s="188">
        <f>SUM('Chenes+Alisier - f. très forte'!AQ170*'Chenes+Alisier - f. très forte'!$F$21,'Chenes+corm+merisier - f. forte'!AQ170*'Chenes+corm+merisier - f. forte'!$F$21,'Charme - fertil.forte'!AQ170*'Charme - fertil.forte'!$F$21,'Pin maritime - très forte'!AQ170*'Pin maritime - très forte'!$F$21,'P. sylv.+laricio+séquoia -forte'!AQ170*'P. sylv.+laricio+séquoia -forte'!$F$21,'Douglas - fertilité moyenne'!AQ170*'Douglas - fertilité moyenne'!$F$21)</f>
        <v>0</v>
      </c>
      <c r="X186" s="188">
        <f>SUM('Chenes+Alisier - f. très forte'!AR170*'Chenes+Alisier - f. très forte'!$F$21,'Chenes+corm+merisier - f. forte'!AR170*'Chenes+corm+merisier - f. forte'!$F$21,'Charme - fertil.forte'!AR170*'Charme - fertil.forte'!$F$21,'Pin maritime - très forte'!AR170*'Pin maritime - très forte'!$F$21,'P. sylv.+laricio+séquoia -forte'!AR170*'P. sylv.+laricio+séquoia -forte'!$F$21,'Douglas - fertilité moyenne'!AR170*'Douglas - fertilité moyenne'!$F$21)</f>
        <v>0</v>
      </c>
      <c r="Y186" s="188">
        <f>SUM('Chenes+Alisier - f. très forte'!AS170*'Chenes+Alisier - f. très forte'!$F$21,'Chenes+corm+merisier - f. forte'!AS170*'Chenes+corm+merisier - f. forte'!$F$21,'Charme - fertil.forte'!AS170*'Charme - fertil.forte'!$F$21,'Pin maritime - très forte'!AS170*'Pin maritime - très forte'!$F$21,'P. sylv.+laricio+séquoia -forte'!AS170*'P. sylv.+laricio+séquoia -forte'!$F$21,'Douglas - fertilité moyenne'!AS170*'Douglas - fertilité moyenne'!$F$21)</f>
        <v>0</v>
      </c>
      <c r="Z186" s="331">
        <f>SUM('Chenes+Alisier - f. très forte'!AT170*'Chenes+Alisier - f. très forte'!$F$21,'Chenes+corm+merisier - f. forte'!AT170*'Chenes+corm+merisier - f. forte'!$F$21,'Charme - fertil.forte'!AT170*'Charme - fertil.forte'!$F$21,'Pin maritime - très forte'!AT170*'Pin maritime - très forte'!$F$21,'P. sylv.+laricio+séquoia -forte'!AT170*'P. sylv.+laricio+séquoia -forte'!$F$21,'Douglas - fertilité moyenne'!AT170*'Douglas - fertilité moyenne'!$F$21)</f>
        <v>0</v>
      </c>
      <c r="AA186" s="178">
        <f t="shared" si="27"/>
        <v>0</v>
      </c>
      <c r="AB186" s="179">
        <f t="shared" si="26"/>
        <v>0</v>
      </c>
      <c r="AC186" s="178"/>
      <c r="AD186" s="178"/>
    </row>
    <row r="187" spans="2:30">
      <c r="B187" t="s">
        <v>238</v>
      </c>
      <c r="N187" s="71">
        <v>166</v>
      </c>
      <c r="O187" s="239"/>
      <c r="P187" s="180"/>
      <c r="Q187" s="240">
        <f t="shared" ref="Q187:Q221" si="29">$L$13*(1+$L$9)^N187*$L$5</f>
        <v>940.00249999999994</v>
      </c>
      <c r="R187" s="180">
        <f t="shared" si="24"/>
        <v>19.270051249999998</v>
      </c>
      <c r="S187" s="180">
        <f>$L$11*(1+$L$9)^N187*'Récapitulatif des résultats'!$I$11</f>
        <v>0</v>
      </c>
      <c r="T187" s="241"/>
      <c r="U187" s="180"/>
      <c r="V187" s="249">
        <f t="shared" si="25"/>
        <v>0</v>
      </c>
      <c r="W187" s="188">
        <f>SUM('Chenes+Alisier - f. très forte'!AQ171*'Chenes+Alisier - f. très forte'!$F$21,'Chenes+corm+merisier - f. forte'!AQ171*'Chenes+corm+merisier - f. forte'!$F$21,'Charme - fertil.forte'!AQ171*'Charme - fertil.forte'!$F$21,'Pin maritime - très forte'!AQ171*'Pin maritime - très forte'!$F$21,'P. sylv.+laricio+séquoia -forte'!AQ171*'P. sylv.+laricio+séquoia -forte'!$F$21,'Douglas - fertilité moyenne'!AQ171*'Douglas - fertilité moyenne'!$F$21)</f>
        <v>0</v>
      </c>
      <c r="X187" s="188">
        <f>SUM('Chenes+Alisier - f. très forte'!AR171*'Chenes+Alisier - f. très forte'!$F$21,'Chenes+corm+merisier - f. forte'!AR171*'Chenes+corm+merisier - f. forte'!$F$21,'Charme - fertil.forte'!AR171*'Charme - fertil.forte'!$F$21,'Pin maritime - très forte'!AR171*'Pin maritime - très forte'!$F$21,'P. sylv.+laricio+séquoia -forte'!AR171*'P. sylv.+laricio+séquoia -forte'!$F$21,'Douglas - fertilité moyenne'!AR171*'Douglas - fertilité moyenne'!$F$21)</f>
        <v>0</v>
      </c>
      <c r="Y187" s="188">
        <f>SUM('Chenes+Alisier - f. très forte'!AS171*'Chenes+Alisier - f. très forte'!$F$21,'Chenes+corm+merisier - f. forte'!AS171*'Chenes+corm+merisier - f. forte'!$F$21,'Charme - fertil.forte'!AS171*'Charme - fertil.forte'!$F$21,'Pin maritime - très forte'!AS171*'Pin maritime - très forte'!$F$21,'P. sylv.+laricio+séquoia -forte'!AS171*'P. sylv.+laricio+séquoia -forte'!$F$21,'Douglas - fertilité moyenne'!AS171*'Douglas - fertilité moyenne'!$F$21)</f>
        <v>0</v>
      </c>
      <c r="Z187" s="331">
        <f>SUM('Chenes+Alisier - f. très forte'!AT171*'Chenes+Alisier - f. très forte'!$F$21,'Chenes+corm+merisier - f. forte'!AT171*'Chenes+corm+merisier - f. forte'!$F$21,'Charme - fertil.forte'!AT171*'Charme - fertil.forte'!$F$21,'Pin maritime - très forte'!AT171*'Pin maritime - très forte'!$F$21,'P. sylv.+laricio+séquoia -forte'!AT171*'P. sylv.+laricio+séquoia -forte'!$F$21,'Douglas - fertilité moyenne'!AT171*'Douglas - fertilité moyenne'!$F$21)</f>
        <v>0</v>
      </c>
      <c r="AA187" s="178">
        <f t="shared" si="27"/>
        <v>0</v>
      </c>
      <c r="AB187" s="179">
        <f t="shared" si="26"/>
        <v>0</v>
      </c>
      <c r="AC187" s="178"/>
      <c r="AD187" s="178"/>
    </row>
    <row r="188" spans="2:30">
      <c r="B188" t="s">
        <v>243</v>
      </c>
      <c r="N188" s="71">
        <v>167</v>
      </c>
      <c r="O188" s="239"/>
      <c r="P188" s="180"/>
      <c r="Q188" s="240">
        <f t="shared" si="29"/>
        <v>940.00249999999994</v>
      </c>
      <c r="R188" s="180">
        <f t="shared" si="24"/>
        <v>19.270051249999998</v>
      </c>
      <c r="S188" s="180">
        <f>$L$11*(1+$L$9)^N188*'Récapitulatif des résultats'!$I$11</f>
        <v>0</v>
      </c>
      <c r="T188" s="241"/>
      <c r="U188" s="180"/>
      <c r="V188" s="249">
        <f t="shared" si="25"/>
        <v>0</v>
      </c>
      <c r="W188" s="188">
        <f>SUM('Chenes+Alisier - f. très forte'!AQ172*'Chenes+Alisier - f. très forte'!$F$21,'Chenes+corm+merisier - f. forte'!AQ172*'Chenes+corm+merisier - f. forte'!$F$21,'Charme - fertil.forte'!AQ172*'Charme - fertil.forte'!$F$21,'Pin maritime - très forte'!AQ172*'Pin maritime - très forte'!$F$21,'P. sylv.+laricio+séquoia -forte'!AQ172*'P. sylv.+laricio+séquoia -forte'!$F$21,'Douglas - fertilité moyenne'!AQ172*'Douglas - fertilité moyenne'!$F$21)</f>
        <v>0</v>
      </c>
      <c r="X188" s="188">
        <f>SUM('Chenes+Alisier - f. très forte'!AR172*'Chenes+Alisier - f. très forte'!$F$21,'Chenes+corm+merisier - f. forte'!AR172*'Chenes+corm+merisier - f. forte'!$F$21,'Charme - fertil.forte'!AR172*'Charme - fertil.forte'!$F$21,'Pin maritime - très forte'!AR172*'Pin maritime - très forte'!$F$21,'P. sylv.+laricio+séquoia -forte'!AR172*'P. sylv.+laricio+séquoia -forte'!$F$21,'Douglas - fertilité moyenne'!AR172*'Douglas - fertilité moyenne'!$F$21)</f>
        <v>0</v>
      </c>
      <c r="Y188" s="188">
        <f>SUM('Chenes+Alisier - f. très forte'!AS172*'Chenes+Alisier - f. très forte'!$F$21,'Chenes+corm+merisier - f. forte'!AS172*'Chenes+corm+merisier - f. forte'!$F$21,'Charme - fertil.forte'!AS172*'Charme - fertil.forte'!$F$21,'Pin maritime - très forte'!AS172*'Pin maritime - très forte'!$F$21,'P. sylv.+laricio+séquoia -forte'!AS172*'P. sylv.+laricio+séquoia -forte'!$F$21,'Douglas - fertilité moyenne'!AS172*'Douglas - fertilité moyenne'!$F$21)</f>
        <v>0</v>
      </c>
      <c r="Z188" s="331">
        <f>SUM('Chenes+Alisier - f. très forte'!AT172*'Chenes+Alisier - f. très forte'!$F$21,'Chenes+corm+merisier - f. forte'!AT172*'Chenes+corm+merisier - f. forte'!$F$21,'Charme - fertil.forte'!AT172*'Charme - fertil.forte'!$F$21,'Pin maritime - très forte'!AT172*'Pin maritime - très forte'!$F$21,'P. sylv.+laricio+séquoia -forte'!AT172*'P. sylv.+laricio+séquoia -forte'!$F$21,'Douglas - fertilité moyenne'!AT172*'Douglas - fertilité moyenne'!$F$21)</f>
        <v>0</v>
      </c>
      <c r="AA188" s="178">
        <f t="shared" si="27"/>
        <v>0</v>
      </c>
      <c r="AB188" s="179">
        <f t="shared" si="26"/>
        <v>0</v>
      </c>
      <c r="AC188" s="178"/>
      <c r="AD188" s="178"/>
    </row>
    <row r="189" spans="2:30">
      <c r="B189" t="s">
        <v>241</v>
      </c>
      <c r="N189" s="71">
        <v>168</v>
      </c>
      <c r="O189" s="239"/>
      <c r="P189" s="180"/>
      <c r="Q189" s="240">
        <f t="shared" si="29"/>
        <v>940.00249999999994</v>
      </c>
      <c r="R189" s="180">
        <f t="shared" si="24"/>
        <v>19.270051249999998</v>
      </c>
      <c r="S189" s="180">
        <f>$L$11*(1+$L$9)^N189*'Récapitulatif des résultats'!$I$11</f>
        <v>0</v>
      </c>
      <c r="T189" s="241"/>
      <c r="U189" s="180"/>
      <c r="V189" s="249">
        <f t="shared" si="25"/>
        <v>0</v>
      </c>
      <c r="W189" s="188">
        <f>SUM('Chenes+Alisier - f. très forte'!AQ173*'Chenes+Alisier - f. très forte'!$F$21,'Chenes+corm+merisier - f. forte'!AQ173*'Chenes+corm+merisier - f. forte'!$F$21,'Charme - fertil.forte'!AQ173*'Charme - fertil.forte'!$F$21,'Pin maritime - très forte'!AQ173*'Pin maritime - très forte'!$F$21,'P. sylv.+laricio+séquoia -forte'!AQ173*'P. sylv.+laricio+séquoia -forte'!$F$21,'Douglas - fertilité moyenne'!AQ173*'Douglas - fertilité moyenne'!$F$21)</f>
        <v>0</v>
      </c>
      <c r="X189" s="188">
        <f>SUM('Chenes+Alisier - f. très forte'!AR173*'Chenes+Alisier - f. très forte'!$F$21,'Chenes+corm+merisier - f. forte'!AR173*'Chenes+corm+merisier - f. forte'!$F$21,'Charme - fertil.forte'!AR173*'Charme - fertil.forte'!$F$21,'Pin maritime - très forte'!AR173*'Pin maritime - très forte'!$F$21,'P. sylv.+laricio+séquoia -forte'!AR173*'P. sylv.+laricio+séquoia -forte'!$F$21,'Douglas - fertilité moyenne'!AR173*'Douglas - fertilité moyenne'!$F$21)</f>
        <v>0</v>
      </c>
      <c r="Y189" s="188">
        <f>SUM('Chenes+Alisier - f. très forte'!AS173*'Chenes+Alisier - f. très forte'!$F$21,'Chenes+corm+merisier - f. forte'!AS173*'Chenes+corm+merisier - f. forte'!$F$21,'Charme - fertil.forte'!AS173*'Charme - fertil.forte'!$F$21,'Pin maritime - très forte'!AS173*'Pin maritime - très forte'!$F$21,'P. sylv.+laricio+séquoia -forte'!AS173*'P. sylv.+laricio+séquoia -forte'!$F$21,'Douglas - fertilité moyenne'!AS173*'Douglas - fertilité moyenne'!$F$21)</f>
        <v>0</v>
      </c>
      <c r="Z189" s="331">
        <f>SUM('Chenes+Alisier - f. très forte'!AT173*'Chenes+Alisier - f. très forte'!$F$21,'Chenes+corm+merisier - f. forte'!AT173*'Chenes+corm+merisier - f. forte'!$F$21,'Charme - fertil.forte'!AT173*'Charme - fertil.forte'!$F$21,'Pin maritime - très forte'!AT173*'Pin maritime - très forte'!$F$21,'P. sylv.+laricio+séquoia -forte'!AT173*'P. sylv.+laricio+séquoia -forte'!$F$21,'Douglas - fertilité moyenne'!AT173*'Douglas - fertilité moyenne'!$F$21)</f>
        <v>0</v>
      </c>
      <c r="AA189" s="178">
        <f t="shared" si="27"/>
        <v>0</v>
      </c>
      <c r="AB189" s="179">
        <f t="shared" si="26"/>
        <v>0</v>
      </c>
      <c r="AC189" s="178"/>
      <c r="AD189" s="178"/>
    </row>
    <row r="190" spans="2:30">
      <c r="B190" t="s">
        <v>242</v>
      </c>
      <c r="N190" s="71">
        <v>169</v>
      </c>
      <c r="O190" s="239"/>
      <c r="P190" s="180"/>
      <c r="Q190" s="240">
        <f t="shared" si="29"/>
        <v>940.00249999999994</v>
      </c>
      <c r="R190" s="180">
        <f t="shared" si="24"/>
        <v>19.270051249999998</v>
      </c>
      <c r="S190" s="180">
        <f>$L$11*(1+$L$9)^N190*'Récapitulatif des résultats'!$I$11</f>
        <v>0</v>
      </c>
      <c r="T190" s="241"/>
      <c r="U190" s="180"/>
      <c r="V190" s="249">
        <f t="shared" si="25"/>
        <v>0</v>
      </c>
      <c r="W190" s="188">
        <f>SUM('Chenes+Alisier - f. très forte'!AQ174*'Chenes+Alisier - f. très forte'!$F$21,'Chenes+corm+merisier - f. forte'!AQ174*'Chenes+corm+merisier - f. forte'!$F$21,'Charme - fertil.forte'!AQ174*'Charme - fertil.forte'!$F$21,'Pin maritime - très forte'!AQ174*'Pin maritime - très forte'!$F$21,'P. sylv.+laricio+séquoia -forte'!AQ174*'P. sylv.+laricio+séquoia -forte'!$F$21,'Douglas - fertilité moyenne'!AQ174*'Douglas - fertilité moyenne'!$F$21)</f>
        <v>0</v>
      </c>
      <c r="X190" s="188">
        <f>SUM('Chenes+Alisier - f. très forte'!AR174*'Chenes+Alisier - f. très forte'!$F$21,'Chenes+corm+merisier - f. forte'!AR174*'Chenes+corm+merisier - f. forte'!$F$21,'Charme - fertil.forte'!AR174*'Charme - fertil.forte'!$F$21,'Pin maritime - très forte'!AR174*'Pin maritime - très forte'!$F$21,'P. sylv.+laricio+séquoia -forte'!AR174*'P. sylv.+laricio+séquoia -forte'!$F$21,'Douglas - fertilité moyenne'!AR174*'Douglas - fertilité moyenne'!$F$21)</f>
        <v>0</v>
      </c>
      <c r="Y190" s="188">
        <f>SUM('Chenes+Alisier - f. très forte'!AS174*'Chenes+Alisier - f. très forte'!$F$21,'Chenes+corm+merisier - f. forte'!AS174*'Chenes+corm+merisier - f. forte'!$F$21,'Charme - fertil.forte'!AS174*'Charme - fertil.forte'!$F$21,'Pin maritime - très forte'!AS174*'Pin maritime - très forte'!$F$21,'P. sylv.+laricio+séquoia -forte'!AS174*'P. sylv.+laricio+séquoia -forte'!$F$21,'Douglas - fertilité moyenne'!AS174*'Douglas - fertilité moyenne'!$F$21)</f>
        <v>0</v>
      </c>
      <c r="Z190" s="331">
        <f>SUM('Chenes+Alisier - f. très forte'!AT174*'Chenes+Alisier - f. très forte'!$F$21,'Chenes+corm+merisier - f. forte'!AT174*'Chenes+corm+merisier - f. forte'!$F$21,'Charme - fertil.forte'!AT174*'Charme - fertil.forte'!$F$21,'Pin maritime - très forte'!AT174*'Pin maritime - très forte'!$F$21,'P. sylv.+laricio+séquoia -forte'!AT174*'P. sylv.+laricio+séquoia -forte'!$F$21,'Douglas - fertilité moyenne'!AT174*'Douglas - fertilité moyenne'!$F$21)</f>
        <v>0</v>
      </c>
      <c r="AA190" s="178">
        <f t="shared" si="27"/>
        <v>0</v>
      </c>
      <c r="AB190" s="179">
        <f t="shared" si="26"/>
        <v>0</v>
      </c>
      <c r="AC190" s="178"/>
      <c r="AD190" s="178"/>
    </row>
    <row r="191" spans="2:30">
      <c r="B191" t="s">
        <v>240</v>
      </c>
      <c r="N191" s="71">
        <v>170</v>
      </c>
      <c r="O191" s="239"/>
      <c r="P191" s="180"/>
      <c r="Q191" s="240">
        <f t="shared" si="29"/>
        <v>940.00249999999994</v>
      </c>
      <c r="R191" s="180">
        <f t="shared" si="24"/>
        <v>19.270051249999998</v>
      </c>
      <c r="S191" s="180">
        <f>$L$11*(1+$L$9)^N191*'Récapitulatif des résultats'!$I$11</f>
        <v>0</v>
      </c>
      <c r="T191" s="241"/>
      <c r="U191" s="180"/>
      <c r="V191" s="249">
        <f t="shared" si="25"/>
        <v>0</v>
      </c>
      <c r="W191" s="188">
        <f>SUM('Chenes+Alisier - f. très forte'!AQ175*'Chenes+Alisier - f. très forte'!$F$21,'Chenes+corm+merisier - f. forte'!AQ175*'Chenes+corm+merisier - f. forte'!$F$21,'Charme - fertil.forte'!AQ175*'Charme - fertil.forte'!$F$21,'Pin maritime - très forte'!AQ175*'Pin maritime - très forte'!$F$21,'P. sylv.+laricio+séquoia -forte'!AQ175*'P. sylv.+laricio+séquoia -forte'!$F$21,'Douglas - fertilité moyenne'!AQ175*'Douglas - fertilité moyenne'!$F$21)</f>
        <v>0</v>
      </c>
      <c r="X191" s="188">
        <f>SUM('Chenes+Alisier - f. très forte'!AR175*'Chenes+Alisier - f. très forte'!$F$21,'Chenes+corm+merisier - f. forte'!AR175*'Chenes+corm+merisier - f. forte'!$F$21,'Charme - fertil.forte'!AR175*'Charme - fertil.forte'!$F$21,'Pin maritime - très forte'!AR175*'Pin maritime - très forte'!$F$21,'P. sylv.+laricio+séquoia -forte'!AR175*'P. sylv.+laricio+séquoia -forte'!$F$21,'Douglas - fertilité moyenne'!AR175*'Douglas - fertilité moyenne'!$F$21)</f>
        <v>0</v>
      </c>
      <c r="Y191" s="188">
        <f>SUM('Chenes+Alisier - f. très forte'!AS175*'Chenes+Alisier - f. très forte'!$F$21,'Chenes+corm+merisier - f. forte'!AS175*'Chenes+corm+merisier - f. forte'!$F$21,'Charme - fertil.forte'!AS175*'Charme - fertil.forte'!$F$21,'Pin maritime - très forte'!AS175*'Pin maritime - très forte'!$F$21,'P. sylv.+laricio+séquoia -forte'!AS175*'P. sylv.+laricio+séquoia -forte'!$F$21,'Douglas - fertilité moyenne'!AS175*'Douglas - fertilité moyenne'!$F$21)</f>
        <v>0</v>
      </c>
      <c r="Z191" s="331">
        <f>SUM('Chenes+Alisier - f. très forte'!AT175*'Chenes+Alisier - f. très forte'!$F$21,'Chenes+corm+merisier - f. forte'!AT175*'Chenes+corm+merisier - f. forte'!$F$21,'Charme - fertil.forte'!AT175*'Charme - fertil.forte'!$F$21,'Pin maritime - très forte'!AT175*'Pin maritime - très forte'!$F$21,'P. sylv.+laricio+séquoia -forte'!AT175*'P. sylv.+laricio+séquoia -forte'!$F$21,'Douglas - fertilité moyenne'!AT175*'Douglas - fertilité moyenne'!$F$21)</f>
        <v>0</v>
      </c>
      <c r="AA191" s="178">
        <f t="shared" si="27"/>
        <v>0</v>
      </c>
      <c r="AB191" s="179">
        <f t="shared" si="26"/>
        <v>0</v>
      </c>
      <c r="AC191" s="178"/>
      <c r="AD191" s="178"/>
    </row>
    <row r="192" spans="2:30">
      <c r="B192" t="s">
        <v>244</v>
      </c>
      <c r="N192" s="71">
        <v>171</v>
      </c>
      <c r="O192" s="239"/>
      <c r="P192" s="180"/>
      <c r="Q192" s="240">
        <f t="shared" si="29"/>
        <v>940.00249999999994</v>
      </c>
      <c r="R192" s="180">
        <f t="shared" si="24"/>
        <v>19.270051249999998</v>
      </c>
      <c r="S192" s="180">
        <f>$L$11*(1+$L$9)^N192*'Récapitulatif des résultats'!$I$11</f>
        <v>0</v>
      </c>
      <c r="T192" s="241"/>
      <c r="U192" s="180"/>
      <c r="V192" s="249">
        <f t="shared" si="25"/>
        <v>0</v>
      </c>
      <c r="W192" s="188">
        <f>SUM('Chenes+Alisier - f. très forte'!AQ176*'Chenes+Alisier - f. très forte'!$F$21,'Chenes+corm+merisier - f. forte'!AQ176*'Chenes+corm+merisier - f. forte'!$F$21,'Charme - fertil.forte'!AQ176*'Charme - fertil.forte'!$F$21,'Pin maritime - très forte'!AQ176*'Pin maritime - très forte'!$F$21,'P. sylv.+laricio+séquoia -forte'!AQ176*'P. sylv.+laricio+séquoia -forte'!$F$21,'Douglas - fertilité moyenne'!AQ176*'Douglas - fertilité moyenne'!$F$21)</f>
        <v>0</v>
      </c>
      <c r="X192" s="188">
        <f>SUM('Chenes+Alisier - f. très forte'!AR176*'Chenes+Alisier - f. très forte'!$F$21,'Chenes+corm+merisier - f. forte'!AR176*'Chenes+corm+merisier - f. forte'!$F$21,'Charme - fertil.forte'!AR176*'Charme - fertil.forte'!$F$21,'Pin maritime - très forte'!AR176*'Pin maritime - très forte'!$F$21,'P. sylv.+laricio+séquoia -forte'!AR176*'P. sylv.+laricio+séquoia -forte'!$F$21,'Douglas - fertilité moyenne'!AR176*'Douglas - fertilité moyenne'!$F$21)</f>
        <v>0</v>
      </c>
      <c r="Y192" s="188">
        <f>SUM('Chenes+Alisier - f. très forte'!AS176*'Chenes+Alisier - f. très forte'!$F$21,'Chenes+corm+merisier - f. forte'!AS176*'Chenes+corm+merisier - f. forte'!$F$21,'Charme - fertil.forte'!AS176*'Charme - fertil.forte'!$F$21,'Pin maritime - très forte'!AS176*'Pin maritime - très forte'!$F$21,'P. sylv.+laricio+séquoia -forte'!AS176*'P. sylv.+laricio+séquoia -forte'!$F$21,'Douglas - fertilité moyenne'!AS176*'Douglas - fertilité moyenne'!$F$21)</f>
        <v>0</v>
      </c>
      <c r="Z192" s="331">
        <f>SUM('Chenes+Alisier - f. très forte'!AT176*'Chenes+Alisier - f. très forte'!$F$21,'Chenes+corm+merisier - f. forte'!AT176*'Chenes+corm+merisier - f. forte'!$F$21,'Charme - fertil.forte'!AT176*'Charme - fertil.forte'!$F$21,'Pin maritime - très forte'!AT176*'Pin maritime - très forte'!$F$21,'P. sylv.+laricio+séquoia -forte'!AT176*'P. sylv.+laricio+séquoia -forte'!$F$21,'Douglas - fertilité moyenne'!AT176*'Douglas - fertilité moyenne'!$F$21)</f>
        <v>0</v>
      </c>
      <c r="AA192" s="178">
        <f t="shared" si="27"/>
        <v>0</v>
      </c>
      <c r="AB192" s="179">
        <f t="shared" si="26"/>
        <v>0</v>
      </c>
      <c r="AC192" s="178"/>
      <c r="AD192" s="178"/>
    </row>
    <row r="193" spans="14:30">
      <c r="N193" s="71">
        <v>172</v>
      </c>
      <c r="O193" s="239"/>
      <c r="P193" s="180"/>
      <c r="Q193" s="240">
        <f t="shared" si="29"/>
        <v>940.00249999999994</v>
      </c>
      <c r="R193" s="180">
        <f t="shared" si="24"/>
        <v>19.270051249999998</v>
      </c>
      <c r="S193" s="180">
        <f>$L$11*(1+$L$9)^N193*'Récapitulatif des résultats'!$I$11</f>
        <v>0</v>
      </c>
      <c r="T193" s="241"/>
      <c r="U193" s="180"/>
      <c r="V193" s="249">
        <f t="shared" si="25"/>
        <v>0</v>
      </c>
      <c r="W193" s="188">
        <f>SUM('Chenes+Alisier - f. très forte'!AQ177*'Chenes+Alisier - f. très forte'!$F$21,'Chenes+corm+merisier - f. forte'!AQ177*'Chenes+corm+merisier - f. forte'!$F$21,'Charme - fertil.forte'!AQ177*'Charme - fertil.forte'!$F$21,'Pin maritime - très forte'!AQ177*'Pin maritime - très forte'!$F$21,'P. sylv.+laricio+séquoia -forte'!AQ177*'P. sylv.+laricio+séquoia -forte'!$F$21,'Douglas - fertilité moyenne'!AQ177*'Douglas - fertilité moyenne'!$F$21)</f>
        <v>0</v>
      </c>
      <c r="X193" s="188">
        <f>SUM('Chenes+Alisier - f. très forte'!AR177*'Chenes+Alisier - f. très forte'!$F$21,'Chenes+corm+merisier - f. forte'!AR177*'Chenes+corm+merisier - f. forte'!$F$21,'Charme - fertil.forte'!AR177*'Charme - fertil.forte'!$F$21,'Pin maritime - très forte'!AR177*'Pin maritime - très forte'!$F$21,'P. sylv.+laricio+séquoia -forte'!AR177*'P. sylv.+laricio+séquoia -forte'!$F$21,'Douglas - fertilité moyenne'!AR177*'Douglas - fertilité moyenne'!$F$21)</f>
        <v>0</v>
      </c>
      <c r="Y193" s="188">
        <f>SUM('Chenes+Alisier - f. très forte'!AS177*'Chenes+Alisier - f. très forte'!$F$21,'Chenes+corm+merisier - f. forte'!AS177*'Chenes+corm+merisier - f. forte'!$F$21,'Charme - fertil.forte'!AS177*'Charme - fertil.forte'!$F$21,'Pin maritime - très forte'!AS177*'Pin maritime - très forte'!$F$21,'P. sylv.+laricio+séquoia -forte'!AS177*'P. sylv.+laricio+séquoia -forte'!$F$21,'Douglas - fertilité moyenne'!AS177*'Douglas - fertilité moyenne'!$F$21)</f>
        <v>0</v>
      </c>
      <c r="Z193" s="331">
        <f>SUM('Chenes+Alisier - f. très forte'!AT177*'Chenes+Alisier - f. très forte'!$F$21,'Chenes+corm+merisier - f. forte'!AT177*'Chenes+corm+merisier - f. forte'!$F$21,'Charme - fertil.forte'!AT177*'Charme - fertil.forte'!$F$21,'Pin maritime - très forte'!AT177*'Pin maritime - très forte'!$F$21,'P. sylv.+laricio+séquoia -forte'!AT177*'P. sylv.+laricio+séquoia -forte'!$F$21,'Douglas - fertilité moyenne'!AT177*'Douglas - fertilité moyenne'!$F$21)</f>
        <v>0</v>
      </c>
      <c r="AA193" s="178">
        <f t="shared" si="27"/>
        <v>0</v>
      </c>
      <c r="AB193" s="179">
        <f t="shared" si="26"/>
        <v>0</v>
      </c>
      <c r="AC193" s="178"/>
      <c r="AD193" s="178"/>
    </row>
    <row r="194" spans="14:30">
      <c r="N194" s="71">
        <v>173</v>
      </c>
      <c r="O194" s="239"/>
      <c r="P194" s="180"/>
      <c r="Q194" s="240">
        <f t="shared" si="29"/>
        <v>940.00249999999994</v>
      </c>
      <c r="R194" s="180">
        <f t="shared" si="24"/>
        <v>19.270051249999998</v>
      </c>
      <c r="S194" s="180">
        <f>$L$11*(1+$L$9)^N194*'Récapitulatif des résultats'!$I$11</f>
        <v>0</v>
      </c>
      <c r="T194" s="241"/>
      <c r="U194" s="180"/>
      <c r="V194" s="249">
        <f t="shared" si="25"/>
        <v>0</v>
      </c>
      <c r="W194" s="188">
        <f>SUM('Chenes+Alisier - f. très forte'!AQ178*'Chenes+Alisier - f. très forte'!$F$21,'Chenes+corm+merisier - f. forte'!AQ178*'Chenes+corm+merisier - f. forte'!$F$21,'Charme - fertil.forte'!AQ178*'Charme - fertil.forte'!$F$21,'Pin maritime - très forte'!AQ178*'Pin maritime - très forte'!$F$21,'P. sylv.+laricio+séquoia -forte'!AQ178*'P. sylv.+laricio+séquoia -forte'!$F$21,'Douglas - fertilité moyenne'!AQ178*'Douglas - fertilité moyenne'!$F$21)</f>
        <v>0</v>
      </c>
      <c r="X194" s="188">
        <f>SUM('Chenes+Alisier - f. très forte'!AR178*'Chenes+Alisier - f. très forte'!$F$21,'Chenes+corm+merisier - f. forte'!AR178*'Chenes+corm+merisier - f. forte'!$F$21,'Charme - fertil.forte'!AR178*'Charme - fertil.forte'!$F$21,'Pin maritime - très forte'!AR178*'Pin maritime - très forte'!$F$21,'P. sylv.+laricio+séquoia -forte'!AR178*'P. sylv.+laricio+séquoia -forte'!$F$21,'Douglas - fertilité moyenne'!AR178*'Douglas - fertilité moyenne'!$F$21)</f>
        <v>0</v>
      </c>
      <c r="Y194" s="188">
        <f>SUM('Chenes+Alisier - f. très forte'!AS178*'Chenes+Alisier - f. très forte'!$F$21,'Chenes+corm+merisier - f. forte'!AS178*'Chenes+corm+merisier - f. forte'!$F$21,'Charme - fertil.forte'!AS178*'Charme - fertil.forte'!$F$21,'Pin maritime - très forte'!AS178*'Pin maritime - très forte'!$F$21,'P. sylv.+laricio+séquoia -forte'!AS178*'P. sylv.+laricio+séquoia -forte'!$F$21,'Douglas - fertilité moyenne'!AS178*'Douglas - fertilité moyenne'!$F$21)</f>
        <v>0</v>
      </c>
      <c r="Z194" s="331">
        <f>SUM('Chenes+Alisier - f. très forte'!AT178*'Chenes+Alisier - f. très forte'!$F$21,'Chenes+corm+merisier - f. forte'!AT178*'Chenes+corm+merisier - f. forte'!$F$21,'Charme - fertil.forte'!AT178*'Charme - fertil.forte'!$F$21,'Pin maritime - très forte'!AT178*'Pin maritime - très forte'!$F$21,'P. sylv.+laricio+séquoia -forte'!AT178*'P. sylv.+laricio+séquoia -forte'!$F$21,'Douglas - fertilité moyenne'!AT178*'Douglas - fertilité moyenne'!$F$21)</f>
        <v>0</v>
      </c>
      <c r="AA194" s="178">
        <f t="shared" si="27"/>
        <v>0</v>
      </c>
      <c r="AB194" s="179">
        <f t="shared" si="26"/>
        <v>0</v>
      </c>
      <c r="AC194" s="178"/>
      <c r="AD194" s="178"/>
    </row>
    <row r="195" spans="14:30">
      <c r="N195" s="71">
        <v>174</v>
      </c>
      <c r="O195" s="239"/>
      <c r="P195" s="180"/>
      <c r="Q195" s="240">
        <f t="shared" si="29"/>
        <v>940.00249999999994</v>
      </c>
      <c r="R195" s="180">
        <f t="shared" si="24"/>
        <v>19.270051249999998</v>
      </c>
      <c r="S195" s="180">
        <f>$L$11*(1+$L$9)^N195*'Récapitulatif des résultats'!$I$11</f>
        <v>0</v>
      </c>
      <c r="T195" s="241"/>
      <c r="U195" s="180"/>
      <c r="V195" s="249">
        <f t="shared" si="25"/>
        <v>0</v>
      </c>
      <c r="W195" s="188">
        <f>SUM('Chenes+Alisier - f. très forte'!AQ179*'Chenes+Alisier - f. très forte'!$F$21,'Chenes+corm+merisier - f. forte'!AQ179*'Chenes+corm+merisier - f. forte'!$F$21,'Charme - fertil.forte'!AQ179*'Charme - fertil.forte'!$F$21,'Pin maritime - très forte'!AQ179*'Pin maritime - très forte'!$F$21,'P. sylv.+laricio+séquoia -forte'!AQ179*'P. sylv.+laricio+séquoia -forte'!$F$21,'Douglas - fertilité moyenne'!AQ179*'Douglas - fertilité moyenne'!$F$21)</f>
        <v>0</v>
      </c>
      <c r="X195" s="188">
        <f>SUM('Chenes+Alisier - f. très forte'!AR179*'Chenes+Alisier - f. très forte'!$F$21,'Chenes+corm+merisier - f. forte'!AR179*'Chenes+corm+merisier - f. forte'!$F$21,'Charme - fertil.forte'!AR179*'Charme - fertil.forte'!$F$21,'Pin maritime - très forte'!AR179*'Pin maritime - très forte'!$F$21,'P. sylv.+laricio+séquoia -forte'!AR179*'P. sylv.+laricio+séquoia -forte'!$F$21,'Douglas - fertilité moyenne'!AR179*'Douglas - fertilité moyenne'!$F$21)</f>
        <v>0</v>
      </c>
      <c r="Y195" s="188">
        <f>SUM('Chenes+Alisier - f. très forte'!AS179*'Chenes+Alisier - f. très forte'!$F$21,'Chenes+corm+merisier - f. forte'!AS179*'Chenes+corm+merisier - f. forte'!$F$21,'Charme - fertil.forte'!AS179*'Charme - fertil.forte'!$F$21,'Pin maritime - très forte'!AS179*'Pin maritime - très forte'!$F$21,'P. sylv.+laricio+séquoia -forte'!AS179*'P. sylv.+laricio+séquoia -forte'!$F$21,'Douglas - fertilité moyenne'!AS179*'Douglas - fertilité moyenne'!$F$21)</f>
        <v>0</v>
      </c>
      <c r="Z195" s="331">
        <f>SUM('Chenes+Alisier - f. très forte'!AT179*'Chenes+Alisier - f. très forte'!$F$21,'Chenes+corm+merisier - f. forte'!AT179*'Chenes+corm+merisier - f. forte'!$F$21,'Charme - fertil.forte'!AT179*'Charme - fertil.forte'!$F$21,'Pin maritime - très forte'!AT179*'Pin maritime - très forte'!$F$21,'P. sylv.+laricio+séquoia -forte'!AT179*'P. sylv.+laricio+séquoia -forte'!$F$21,'Douglas - fertilité moyenne'!AT179*'Douglas - fertilité moyenne'!$F$21)</f>
        <v>0</v>
      </c>
      <c r="AA195" s="178">
        <f t="shared" si="27"/>
        <v>0</v>
      </c>
      <c r="AB195" s="179">
        <f t="shared" si="26"/>
        <v>0</v>
      </c>
      <c r="AC195" s="178"/>
      <c r="AD195" s="178"/>
    </row>
    <row r="196" spans="14:30">
      <c r="N196" s="71">
        <v>175</v>
      </c>
      <c r="O196" s="239"/>
      <c r="P196" s="180"/>
      <c r="Q196" s="240">
        <f t="shared" si="29"/>
        <v>940.00249999999994</v>
      </c>
      <c r="R196" s="180">
        <f t="shared" si="24"/>
        <v>19.270051249999998</v>
      </c>
      <c r="S196" s="180">
        <f>$L$11*(1+$L$9)^N196*'Récapitulatif des résultats'!$I$11</f>
        <v>0</v>
      </c>
      <c r="T196" s="241"/>
      <c r="U196" s="180"/>
      <c r="V196" s="249">
        <f t="shared" si="25"/>
        <v>0</v>
      </c>
      <c r="W196" s="188">
        <f>SUM('Chenes+Alisier - f. très forte'!AQ180*'Chenes+Alisier - f. très forte'!$F$21,'Chenes+corm+merisier - f. forte'!AQ180*'Chenes+corm+merisier - f. forte'!$F$21,'Charme - fertil.forte'!AQ180*'Charme - fertil.forte'!$F$21,'Pin maritime - très forte'!AQ180*'Pin maritime - très forte'!$F$21,'P. sylv.+laricio+séquoia -forte'!AQ180*'P. sylv.+laricio+séquoia -forte'!$F$21,'Douglas - fertilité moyenne'!AQ180*'Douglas - fertilité moyenne'!$F$21)</f>
        <v>0</v>
      </c>
      <c r="X196" s="188">
        <f>SUM('Chenes+Alisier - f. très forte'!AR180*'Chenes+Alisier - f. très forte'!$F$21,'Chenes+corm+merisier - f. forte'!AR180*'Chenes+corm+merisier - f. forte'!$F$21,'Charme - fertil.forte'!AR180*'Charme - fertil.forte'!$F$21,'Pin maritime - très forte'!AR180*'Pin maritime - très forte'!$F$21,'P. sylv.+laricio+séquoia -forte'!AR180*'P. sylv.+laricio+séquoia -forte'!$F$21,'Douglas - fertilité moyenne'!AR180*'Douglas - fertilité moyenne'!$F$21)</f>
        <v>0</v>
      </c>
      <c r="Y196" s="188">
        <f>SUM('Chenes+Alisier - f. très forte'!AS180*'Chenes+Alisier - f. très forte'!$F$21,'Chenes+corm+merisier - f. forte'!AS180*'Chenes+corm+merisier - f. forte'!$F$21,'Charme - fertil.forte'!AS180*'Charme - fertil.forte'!$F$21,'Pin maritime - très forte'!AS180*'Pin maritime - très forte'!$F$21,'P. sylv.+laricio+séquoia -forte'!AS180*'P. sylv.+laricio+séquoia -forte'!$F$21,'Douglas - fertilité moyenne'!AS180*'Douglas - fertilité moyenne'!$F$21)</f>
        <v>0</v>
      </c>
      <c r="Z196" s="331">
        <f>SUM('Chenes+Alisier - f. très forte'!AT180*'Chenes+Alisier - f. très forte'!$F$21,'Chenes+corm+merisier - f. forte'!AT180*'Chenes+corm+merisier - f. forte'!$F$21,'Charme - fertil.forte'!AT180*'Charme - fertil.forte'!$F$21,'Pin maritime - très forte'!AT180*'Pin maritime - très forte'!$F$21,'P. sylv.+laricio+séquoia -forte'!AT180*'P. sylv.+laricio+séquoia -forte'!$F$21,'Douglas - fertilité moyenne'!AT180*'Douglas - fertilité moyenne'!$F$21)</f>
        <v>0</v>
      </c>
      <c r="AA196" s="178">
        <f t="shared" si="27"/>
        <v>0</v>
      </c>
      <c r="AB196" s="179">
        <f t="shared" si="26"/>
        <v>0</v>
      </c>
      <c r="AC196" s="178"/>
      <c r="AD196" s="178"/>
    </row>
    <row r="197" spans="14:30">
      <c r="N197" s="71">
        <v>176</v>
      </c>
      <c r="O197" s="239"/>
      <c r="P197" s="180"/>
      <c r="Q197" s="240">
        <f t="shared" si="29"/>
        <v>940.00249999999994</v>
      </c>
      <c r="R197" s="180">
        <f t="shared" si="24"/>
        <v>19.270051249999998</v>
      </c>
      <c r="S197" s="180">
        <f>$L$11*(1+$L$9)^N197*'Récapitulatif des résultats'!$I$11</f>
        <v>0</v>
      </c>
      <c r="T197" s="241"/>
      <c r="U197" s="180"/>
      <c r="V197" s="249">
        <f t="shared" si="25"/>
        <v>0</v>
      </c>
      <c r="W197" s="188">
        <f>SUM('Chenes+Alisier - f. très forte'!AQ181*'Chenes+Alisier - f. très forte'!$F$21,'Chenes+corm+merisier - f. forte'!AQ181*'Chenes+corm+merisier - f. forte'!$F$21,'Charme - fertil.forte'!AQ181*'Charme - fertil.forte'!$F$21,'Pin maritime - très forte'!AQ181*'Pin maritime - très forte'!$F$21,'P. sylv.+laricio+séquoia -forte'!AQ181*'P. sylv.+laricio+séquoia -forte'!$F$21,'Douglas - fertilité moyenne'!AQ181*'Douglas - fertilité moyenne'!$F$21)</f>
        <v>0</v>
      </c>
      <c r="X197" s="188">
        <f>SUM('Chenes+Alisier - f. très forte'!AR181*'Chenes+Alisier - f. très forte'!$F$21,'Chenes+corm+merisier - f. forte'!AR181*'Chenes+corm+merisier - f. forte'!$F$21,'Charme - fertil.forte'!AR181*'Charme - fertil.forte'!$F$21,'Pin maritime - très forte'!AR181*'Pin maritime - très forte'!$F$21,'P. sylv.+laricio+séquoia -forte'!AR181*'P. sylv.+laricio+séquoia -forte'!$F$21,'Douglas - fertilité moyenne'!AR181*'Douglas - fertilité moyenne'!$F$21)</f>
        <v>0</v>
      </c>
      <c r="Y197" s="188">
        <f>SUM('Chenes+Alisier - f. très forte'!AS181*'Chenes+Alisier - f. très forte'!$F$21,'Chenes+corm+merisier - f. forte'!AS181*'Chenes+corm+merisier - f. forte'!$F$21,'Charme - fertil.forte'!AS181*'Charme - fertil.forte'!$F$21,'Pin maritime - très forte'!AS181*'Pin maritime - très forte'!$F$21,'P. sylv.+laricio+séquoia -forte'!AS181*'P. sylv.+laricio+séquoia -forte'!$F$21,'Douglas - fertilité moyenne'!AS181*'Douglas - fertilité moyenne'!$F$21)</f>
        <v>0</v>
      </c>
      <c r="Z197" s="331">
        <f>SUM('Chenes+Alisier - f. très forte'!AT181*'Chenes+Alisier - f. très forte'!$F$21,'Chenes+corm+merisier - f. forte'!AT181*'Chenes+corm+merisier - f. forte'!$F$21,'Charme - fertil.forte'!AT181*'Charme - fertil.forte'!$F$21,'Pin maritime - très forte'!AT181*'Pin maritime - très forte'!$F$21,'P. sylv.+laricio+séquoia -forte'!AT181*'P. sylv.+laricio+séquoia -forte'!$F$21,'Douglas - fertilité moyenne'!AT181*'Douglas - fertilité moyenne'!$F$21)</f>
        <v>0</v>
      </c>
      <c r="AA197" s="178">
        <f t="shared" si="27"/>
        <v>0</v>
      </c>
      <c r="AB197" s="179">
        <f t="shared" si="26"/>
        <v>0</v>
      </c>
      <c r="AC197" s="178"/>
      <c r="AD197" s="178"/>
    </row>
    <row r="198" spans="14:30">
      <c r="N198" s="71">
        <v>177</v>
      </c>
      <c r="O198" s="239"/>
      <c r="P198" s="180"/>
      <c r="Q198" s="240">
        <f t="shared" si="29"/>
        <v>940.00249999999994</v>
      </c>
      <c r="R198" s="180">
        <f t="shared" si="24"/>
        <v>19.270051249999998</v>
      </c>
      <c r="S198" s="180">
        <f>$L$11*(1+$L$9)^N198*'Récapitulatif des résultats'!$I$11</f>
        <v>0</v>
      </c>
      <c r="T198" s="241"/>
      <c r="U198" s="180"/>
      <c r="V198" s="249">
        <f t="shared" si="25"/>
        <v>0</v>
      </c>
      <c r="W198" s="188">
        <f>SUM('Chenes+Alisier - f. très forte'!AQ182*'Chenes+Alisier - f. très forte'!$F$21,'Chenes+corm+merisier - f. forte'!AQ182*'Chenes+corm+merisier - f. forte'!$F$21,'Charme - fertil.forte'!AQ182*'Charme - fertil.forte'!$F$21,'Pin maritime - très forte'!AQ182*'Pin maritime - très forte'!$F$21,'P. sylv.+laricio+séquoia -forte'!AQ182*'P. sylv.+laricio+séquoia -forte'!$F$21,'Douglas - fertilité moyenne'!AQ182*'Douglas - fertilité moyenne'!$F$21)</f>
        <v>0</v>
      </c>
      <c r="X198" s="188">
        <f>SUM('Chenes+Alisier - f. très forte'!AR182*'Chenes+Alisier - f. très forte'!$F$21,'Chenes+corm+merisier - f. forte'!AR182*'Chenes+corm+merisier - f. forte'!$F$21,'Charme - fertil.forte'!AR182*'Charme - fertil.forte'!$F$21,'Pin maritime - très forte'!AR182*'Pin maritime - très forte'!$F$21,'P. sylv.+laricio+séquoia -forte'!AR182*'P. sylv.+laricio+séquoia -forte'!$F$21,'Douglas - fertilité moyenne'!AR182*'Douglas - fertilité moyenne'!$F$21)</f>
        <v>0</v>
      </c>
      <c r="Y198" s="188">
        <f>SUM('Chenes+Alisier - f. très forte'!AS182*'Chenes+Alisier - f. très forte'!$F$21,'Chenes+corm+merisier - f. forte'!AS182*'Chenes+corm+merisier - f. forte'!$F$21,'Charme - fertil.forte'!AS182*'Charme - fertil.forte'!$F$21,'Pin maritime - très forte'!AS182*'Pin maritime - très forte'!$F$21,'P. sylv.+laricio+séquoia -forte'!AS182*'P. sylv.+laricio+séquoia -forte'!$F$21,'Douglas - fertilité moyenne'!AS182*'Douglas - fertilité moyenne'!$F$21)</f>
        <v>0</v>
      </c>
      <c r="Z198" s="331">
        <f>SUM('Chenes+Alisier - f. très forte'!AT182*'Chenes+Alisier - f. très forte'!$F$21,'Chenes+corm+merisier - f. forte'!AT182*'Chenes+corm+merisier - f. forte'!$F$21,'Charme - fertil.forte'!AT182*'Charme - fertil.forte'!$F$21,'Pin maritime - très forte'!AT182*'Pin maritime - très forte'!$F$21,'P. sylv.+laricio+séquoia -forte'!AT182*'P. sylv.+laricio+séquoia -forte'!$F$21,'Douglas - fertilité moyenne'!AT182*'Douglas - fertilité moyenne'!$F$21)</f>
        <v>0</v>
      </c>
      <c r="AA198" s="178">
        <f t="shared" si="27"/>
        <v>0</v>
      </c>
      <c r="AB198" s="179">
        <f t="shared" si="26"/>
        <v>0</v>
      </c>
      <c r="AC198" s="178"/>
      <c r="AD198" s="178"/>
    </row>
    <row r="199" spans="14:30">
      <c r="N199" s="71">
        <v>178</v>
      </c>
      <c r="O199" s="239"/>
      <c r="P199" s="180"/>
      <c r="Q199" s="240">
        <f t="shared" si="29"/>
        <v>940.00249999999994</v>
      </c>
      <c r="R199" s="180">
        <f t="shared" si="24"/>
        <v>19.270051249999998</v>
      </c>
      <c r="S199" s="180">
        <f>$L$11*(1+$L$9)^N199*'Récapitulatif des résultats'!$I$11</f>
        <v>0</v>
      </c>
      <c r="T199" s="241"/>
      <c r="U199" s="180"/>
      <c r="V199" s="249">
        <f t="shared" si="25"/>
        <v>0</v>
      </c>
      <c r="W199" s="188">
        <f>SUM('Chenes+Alisier - f. très forte'!AQ183*'Chenes+Alisier - f. très forte'!$F$21,'Chenes+corm+merisier - f. forte'!AQ183*'Chenes+corm+merisier - f. forte'!$F$21,'Charme - fertil.forte'!AQ183*'Charme - fertil.forte'!$F$21,'Pin maritime - très forte'!AQ183*'Pin maritime - très forte'!$F$21,'P. sylv.+laricio+séquoia -forte'!AQ183*'P. sylv.+laricio+séquoia -forte'!$F$21,'Douglas - fertilité moyenne'!AQ183*'Douglas - fertilité moyenne'!$F$21)</f>
        <v>0</v>
      </c>
      <c r="X199" s="188">
        <f>SUM('Chenes+Alisier - f. très forte'!AR183*'Chenes+Alisier - f. très forte'!$F$21,'Chenes+corm+merisier - f. forte'!AR183*'Chenes+corm+merisier - f. forte'!$F$21,'Charme - fertil.forte'!AR183*'Charme - fertil.forte'!$F$21,'Pin maritime - très forte'!AR183*'Pin maritime - très forte'!$F$21,'P. sylv.+laricio+séquoia -forte'!AR183*'P. sylv.+laricio+séquoia -forte'!$F$21,'Douglas - fertilité moyenne'!AR183*'Douglas - fertilité moyenne'!$F$21)</f>
        <v>0</v>
      </c>
      <c r="Y199" s="188">
        <f>SUM('Chenes+Alisier - f. très forte'!AS183*'Chenes+Alisier - f. très forte'!$F$21,'Chenes+corm+merisier - f. forte'!AS183*'Chenes+corm+merisier - f. forte'!$F$21,'Charme - fertil.forte'!AS183*'Charme - fertil.forte'!$F$21,'Pin maritime - très forte'!AS183*'Pin maritime - très forte'!$F$21,'P. sylv.+laricio+séquoia -forte'!AS183*'P. sylv.+laricio+séquoia -forte'!$F$21,'Douglas - fertilité moyenne'!AS183*'Douglas - fertilité moyenne'!$F$21)</f>
        <v>0</v>
      </c>
      <c r="Z199" s="331">
        <f>SUM('Chenes+Alisier - f. très forte'!AT183*'Chenes+Alisier - f. très forte'!$F$21,'Chenes+corm+merisier - f. forte'!AT183*'Chenes+corm+merisier - f. forte'!$F$21,'Charme - fertil.forte'!AT183*'Charme - fertil.forte'!$F$21,'Pin maritime - très forte'!AT183*'Pin maritime - très forte'!$F$21,'P. sylv.+laricio+séquoia -forte'!AT183*'P. sylv.+laricio+séquoia -forte'!$F$21,'Douglas - fertilité moyenne'!AT183*'Douglas - fertilité moyenne'!$F$21)</f>
        <v>0</v>
      </c>
      <c r="AA199" s="178">
        <f t="shared" si="27"/>
        <v>0</v>
      </c>
      <c r="AB199" s="179">
        <f t="shared" si="26"/>
        <v>0</v>
      </c>
      <c r="AC199" s="178"/>
      <c r="AD199" s="178"/>
    </row>
    <row r="200" spans="14:30">
      <c r="N200" s="71">
        <v>179</v>
      </c>
      <c r="O200" s="239"/>
      <c r="P200" s="180"/>
      <c r="Q200" s="240">
        <f t="shared" si="29"/>
        <v>940.00249999999994</v>
      </c>
      <c r="R200" s="180">
        <f t="shared" si="24"/>
        <v>19.270051249999998</v>
      </c>
      <c r="S200" s="180">
        <f>$L$11*(1+$L$9)^N200*'Récapitulatif des résultats'!$I$11</f>
        <v>0</v>
      </c>
      <c r="T200" s="241"/>
      <c r="U200" s="180"/>
      <c r="V200" s="249">
        <f t="shared" si="25"/>
        <v>0</v>
      </c>
      <c r="W200" s="188">
        <f>SUM('Chenes+Alisier - f. très forte'!AQ184*'Chenes+Alisier - f. très forte'!$F$21,'Chenes+corm+merisier - f. forte'!AQ184*'Chenes+corm+merisier - f. forte'!$F$21,'Charme - fertil.forte'!AQ184*'Charme - fertil.forte'!$F$21,'Pin maritime - très forte'!AQ184*'Pin maritime - très forte'!$F$21,'P. sylv.+laricio+séquoia -forte'!AQ184*'P. sylv.+laricio+séquoia -forte'!$F$21,'Douglas - fertilité moyenne'!AQ184*'Douglas - fertilité moyenne'!$F$21)</f>
        <v>0</v>
      </c>
      <c r="X200" s="188">
        <f>SUM('Chenes+Alisier - f. très forte'!AR184*'Chenes+Alisier - f. très forte'!$F$21,'Chenes+corm+merisier - f. forte'!AR184*'Chenes+corm+merisier - f. forte'!$F$21,'Charme - fertil.forte'!AR184*'Charme - fertil.forte'!$F$21,'Pin maritime - très forte'!AR184*'Pin maritime - très forte'!$F$21,'P. sylv.+laricio+séquoia -forte'!AR184*'P. sylv.+laricio+séquoia -forte'!$F$21,'Douglas - fertilité moyenne'!AR184*'Douglas - fertilité moyenne'!$F$21)</f>
        <v>0</v>
      </c>
      <c r="Y200" s="188">
        <f>SUM('Chenes+Alisier - f. très forte'!AS184*'Chenes+Alisier - f. très forte'!$F$21,'Chenes+corm+merisier - f. forte'!AS184*'Chenes+corm+merisier - f. forte'!$F$21,'Charme - fertil.forte'!AS184*'Charme - fertil.forte'!$F$21,'Pin maritime - très forte'!AS184*'Pin maritime - très forte'!$F$21,'P. sylv.+laricio+séquoia -forte'!AS184*'P. sylv.+laricio+séquoia -forte'!$F$21,'Douglas - fertilité moyenne'!AS184*'Douglas - fertilité moyenne'!$F$21)</f>
        <v>0</v>
      </c>
      <c r="Z200" s="331">
        <f>SUM('Chenes+Alisier - f. très forte'!AT184*'Chenes+Alisier - f. très forte'!$F$21,'Chenes+corm+merisier - f. forte'!AT184*'Chenes+corm+merisier - f. forte'!$F$21,'Charme - fertil.forte'!AT184*'Charme - fertil.forte'!$F$21,'Pin maritime - très forte'!AT184*'Pin maritime - très forte'!$F$21,'P. sylv.+laricio+séquoia -forte'!AT184*'P. sylv.+laricio+séquoia -forte'!$F$21,'Douglas - fertilité moyenne'!AT184*'Douglas - fertilité moyenne'!$F$21)</f>
        <v>0</v>
      </c>
      <c r="AA200" s="178">
        <f t="shared" si="27"/>
        <v>0</v>
      </c>
      <c r="AB200" s="179">
        <f t="shared" si="26"/>
        <v>0</v>
      </c>
      <c r="AC200" s="178"/>
      <c r="AD200" s="178"/>
    </row>
    <row r="201" spans="14:30">
      <c r="N201" s="71">
        <v>180</v>
      </c>
      <c r="O201" s="239"/>
      <c r="P201" s="180"/>
      <c r="Q201" s="240">
        <f t="shared" si="29"/>
        <v>940.00249999999994</v>
      </c>
      <c r="R201" s="180">
        <f t="shared" si="24"/>
        <v>19.270051249999998</v>
      </c>
      <c r="S201" s="180">
        <f>$L$11*(1+$L$9)^N201*'Récapitulatif des résultats'!$I$11</f>
        <v>0</v>
      </c>
      <c r="T201" s="241"/>
      <c r="U201" s="180"/>
      <c r="V201" s="249">
        <f t="shared" si="25"/>
        <v>0</v>
      </c>
      <c r="W201" s="188">
        <f>SUM('Chenes+Alisier - f. très forte'!AQ185*'Chenes+Alisier - f. très forte'!$F$21,'Chenes+corm+merisier - f. forte'!AQ185*'Chenes+corm+merisier - f. forte'!$F$21,'Charme - fertil.forte'!AQ185*'Charme - fertil.forte'!$F$21,'Pin maritime - très forte'!AQ185*'Pin maritime - très forte'!$F$21,'P. sylv.+laricio+séquoia -forte'!AQ185*'P. sylv.+laricio+séquoia -forte'!$F$21,'Douglas - fertilité moyenne'!AQ185*'Douglas - fertilité moyenne'!$F$21)</f>
        <v>0</v>
      </c>
      <c r="X201" s="188">
        <f>SUM('Chenes+Alisier - f. très forte'!AR185*'Chenes+Alisier - f. très forte'!$F$21,'Chenes+corm+merisier - f. forte'!AR185*'Chenes+corm+merisier - f. forte'!$F$21,'Charme - fertil.forte'!AR185*'Charme - fertil.forte'!$F$21,'Pin maritime - très forte'!AR185*'Pin maritime - très forte'!$F$21,'P. sylv.+laricio+séquoia -forte'!AR185*'P. sylv.+laricio+séquoia -forte'!$F$21,'Douglas - fertilité moyenne'!AR185*'Douglas - fertilité moyenne'!$F$21)</f>
        <v>0</v>
      </c>
      <c r="Y201" s="188">
        <f>SUM('Chenes+Alisier - f. très forte'!AS185*'Chenes+Alisier - f. très forte'!$F$21,'Chenes+corm+merisier - f. forte'!AS185*'Chenes+corm+merisier - f. forte'!$F$21,'Charme - fertil.forte'!AS185*'Charme - fertil.forte'!$F$21,'Pin maritime - très forte'!AS185*'Pin maritime - très forte'!$F$21,'P. sylv.+laricio+séquoia -forte'!AS185*'P. sylv.+laricio+séquoia -forte'!$F$21,'Douglas - fertilité moyenne'!AS185*'Douglas - fertilité moyenne'!$F$21)</f>
        <v>0</v>
      </c>
      <c r="Z201" s="331">
        <f>SUM('Chenes+Alisier - f. très forte'!AT185*'Chenes+Alisier - f. très forte'!$F$21,'Chenes+corm+merisier - f. forte'!AT185*'Chenes+corm+merisier - f. forte'!$F$21,'Charme - fertil.forte'!AT185*'Charme - fertil.forte'!$F$21,'Pin maritime - très forte'!AT185*'Pin maritime - très forte'!$F$21,'P. sylv.+laricio+séquoia -forte'!AT185*'P. sylv.+laricio+séquoia -forte'!$F$21,'Douglas - fertilité moyenne'!AT185*'Douglas - fertilité moyenne'!$F$21)</f>
        <v>0</v>
      </c>
      <c r="AA201" s="178">
        <f t="shared" si="27"/>
        <v>0</v>
      </c>
      <c r="AB201" s="179">
        <f t="shared" si="26"/>
        <v>0</v>
      </c>
      <c r="AC201" s="178"/>
      <c r="AD201" s="178"/>
    </row>
    <row r="202" spans="14:30">
      <c r="N202" s="71">
        <v>181</v>
      </c>
      <c r="O202" s="239"/>
      <c r="P202" s="180"/>
      <c r="Q202" s="240">
        <f t="shared" si="29"/>
        <v>940.00249999999994</v>
      </c>
      <c r="R202" s="180">
        <f t="shared" si="24"/>
        <v>19.270051249999998</v>
      </c>
      <c r="S202" s="180">
        <f>$L$11*(1+$L$9)^N202*'Récapitulatif des résultats'!$I$11</f>
        <v>0</v>
      </c>
      <c r="T202" s="241"/>
      <c r="U202" s="180"/>
      <c r="V202" s="249">
        <f t="shared" si="25"/>
        <v>0</v>
      </c>
      <c r="W202" s="188">
        <f>SUM('Chenes+Alisier - f. très forte'!AQ186*'Chenes+Alisier - f. très forte'!$F$21,'Chenes+corm+merisier - f. forte'!AQ186*'Chenes+corm+merisier - f. forte'!$F$21,'Charme - fertil.forte'!AQ186*'Charme - fertil.forte'!$F$21,'Pin maritime - très forte'!AQ186*'Pin maritime - très forte'!$F$21,'P. sylv.+laricio+séquoia -forte'!AQ186*'P. sylv.+laricio+séquoia -forte'!$F$21,'Douglas - fertilité moyenne'!AQ186*'Douglas - fertilité moyenne'!$F$21)</f>
        <v>0</v>
      </c>
      <c r="X202" s="188">
        <f>SUM('Chenes+Alisier - f. très forte'!AR186*'Chenes+Alisier - f. très forte'!$F$21,'Chenes+corm+merisier - f. forte'!AR186*'Chenes+corm+merisier - f. forte'!$F$21,'Charme - fertil.forte'!AR186*'Charme - fertil.forte'!$F$21,'Pin maritime - très forte'!AR186*'Pin maritime - très forte'!$F$21,'P. sylv.+laricio+séquoia -forte'!AR186*'P. sylv.+laricio+séquoia -forte'!$F$21,'Douglas - fertilité moyenne'!AR186*'Douglas - fertilité moyenne'!$F$21)</f>
        <v>0</v>
      </c>
      <c r="Y202" s="188">
        <f>SUM('Chenes+Alisier - f. très forte'!AS186*'Chenes+Alisier - f. très forte'!$F$21,'Chenes+corm+merisier - f. forte'!AS186*'Chenes+corm+merisier - f. forte'!$F$21,'Charme - fertil.forte'!AS186*'Charme - fertil.forte'!$F$21,'Pin maritime - très forte'!AS186*'Pin maritime - très forte'!$F$21,'P. sylv.+laricio+séquoia -forte'!AS186*'P. sylv.+laricio+séquoia -forte'!$F$21,'Douglas - fertilité moyenne'!AS186*'Douglas - fertilité moyenne'!$F$21)</f>
        <v>0</v>
      </c>
      <c r="Z202" s="331">
        <f>SUM('Chenes+Alisier - f. très forte'!AT186*'Chenes+Alisier - f. très forte'!$F$21,'Chenes+corm+merisier - f. forte'!AT186*'Chenes+corm+merisier - f. forte'!$F$21,'Charme - fertil.forte'!AT186*'Charme - fertil.forte'!$F$21,'Pin maritime - très forte'!AT186*'Pin maritime - très forte'!$F$21,'P. sylv.+laricio+séquoia -forte'!AT186*'P. sylv.+laricio+séquoia -forte'!$F$21,'Douglas - fertilité moyenne'!AT186*'Douglas - fertilité moyenne'!$F$21)</f>
        <v>0</v>
      </c>
      <c r="AA202" s="178">
        <f t="shared" si="27"/>
        <v>0</v>
      </c>
      <c r="AB202" s="179">
        <f t="shared" si="26"/>
        <v>0</v>
      </c>
      <c r="AC202" s="178"/>
      <c r="AD202" s="178"/>
    </row>
    <row r="203" spans="14:30">
      <c r="N203" s="71">
        <v>182</v>
      </c>
      <c r="O203" s="239"/>
      <c r="P203" s="180"/>
      <c r="Q203" s="240">
        <f t="shared" si="29"/>
        <v>940.00249999999994</v>
      </c>
      <c r="R203" s="180">
        <f t="shared" si="24"/>
        <v>19.270051249999998</v>
      </c>
      <c r="S203" s="180">
        <f>$L$11*(1+$L$9)^N203*'Récapitulatif des résultats'!$I$11</f>
        <v>0</v>
      </c>
      <c r="T203" s="241"/>
      <c r="U203" s="180"/>
      <c r="V203" s="249">
        <f t="shared" si="25"/>
        <v>0</v>
      </c>
      <c r="W203" s="188">
        <f>SUM('Chenes+Alisier - f. très forte'!AQ187*'Chenes+Alisier - f. très forte'!$F$21,'Chenes+corm+merisier - f. forte'!AQ187*'Chenes+corm+merisier - f. forte'!$F$21,'Charme - fertil.forte'!AQ187*'Charme - fertil.forte'!$F$21,'Pin maritime - très forte'!AQ187*'Pin maritime - très forte'!$F$21,'P. sylv.+laricio+séquoia -forte'!AQ187*'P. sylv.+laricio+séquoia -forte'!$F$21,'Douglas - fertilité moyenne'!AQ187*'Douglas - fertilité moyenne'!$F$21)</f>
        <v>0</v>
      </c>
      <c r="X203" s="188">
        <f>SUM('Chenes+Alisier - f. très forte'!AR187*'Chenes+Alisier - f. très forte'!$F$21,'Chenes+corm+merisier - f. forte'!AR187*'Chenes+corm+merisier - f. forte'!$F$21,'Charme - fertil.forte'!AR187*'Charme - fertil.forte'!$F$21,'Pin maritime - très forte'!AR187*'Pin maritime - très forte'!$F$21,'P. sylv.+laricio+séquoia -forte'!AR187*'P. sylv.+laricio+séquoia -forte'!$F$21,'Douglas - fertilité moyenne'!AR187*'Douglas - fertilité moyenne'!$F$21)</f>
        <v>0</v>
      </c>
      <c r="Y203" s="188">
        <f>SUM('Chenes+Alisier - f. très forte'!AS187*'Chenes+Alisier - f. très forte'!$F$21,'Chenes+corm+merisier - f. forte'!AS187*'Chenes+corm+merisier - f. forte'!$F$21,'Charme - fertil.forte'!AS187*'Charme - fertil.forte'!$F$21,'Pin maritime - très forte'!AS187*'Pin maritime - très forte'!$F$21,'P. sylv.+laricio+séquoia -forte'!AS187*'P. sylv.+laricio+séquoia -forte'!$F$21,'Douglas - fertilité moyenne'!AS187*'Douglas - fertilité moyenne'!$F$21)</f>
        <v>0</v>
      </c>
      <c r="Z203" s="331">
        <f>SUM('Chenes+Alisier - f. très forte'!AT187*'Chenes+Alisier - f. très forte'!$F$21,'Chenes+corm+merisier - f. forte'!AT187*'Chenes+corm+merisier - f. forte'!$F$21,'Charme - fertil.forte'!AT187*'Charme - fertil.forte'!$F$21,'Pin maritime - très forte'!AT187*'Pin maritime - très forte'!$F$21,'P. sylv.+laricio+séquoia -forte'!AT187*'P. sylv.+laricio+séquoia -forte'!$F$21,'Douglas - fertilité moyenne'!AT187*'Douglas - fertilité moyenne'!$F$21)</f>
        <v>0</v>
      </c>
      <c r="AA203" s="178">
        <f t="shared" si="27"/>
        <v>0</v>
      </c>
      <c r="AB203" s="179">
        <f t="shared" si="26"/>
        <v>0</v>
      </c>
      <c r="AC203" s="178"/>
      <c r="AD203" s="178"/>
    </row>
    <row r="204" spans="14:30">
      <c r="N204" s="71">
        <v>183</v>
      </c>
      <c r="O204" s="239"/>
      <c r="P204" s="180"/>
      <c r="Q204" s="240">
        <f t="shared" si="29"/>
        <v>940.00249999999994</v>
      </c>
      <c r="R204" s="180">
        <f t="shared" si="24"/>
        <v>19.270051249999998</v>
      </c>
      <c r="S204" s="180">
        <f>$L$11*(1+$L$9)^N204*'Récapitulatif des résultats'!$I$11</f>
        <v>0</v>
      </c>
      <c r="T204" s="241"/>
      <c r="U204" s="180"/>
      <c r="V204" s="249">
        <f t="shared" si="25"/>
        <v>0</v>
      </c>
      <c r="W204" s="188">
        <f>SUM('Chenes+Alisier - f. très forte'!AQ188*'Chenes+Alisier - f. très forte'!$F$21,'Chenes+corm+merisier - f. forte'!AQ188*'Chenes+corm+merisier - f. forte'!$F$21,'Charme - fertil.forte'!AQ188*'Charme - fertil.forte'!$F$21,'Pin maritime - très forte'!AQ188*'Pin maritime - très forte'!$F$21,'P. sylv.+laricio+séquoia -forte'!AQ188*'P. sylv.+laricio+séquoia -forte'!$F$21,'Douglas - fertilité moyenne'!AQ188*'Douglas - fertilité moyenne'!$F$21)</f>
        <v>0</v>
      </c>
      <c r="X204" s="188">
        <f>SUM('Chenes+Alisier - f. très forte'!AR188*'Chenes+Alisier - f. très forte'!$F$21,'Chenes+corm+merisier - f. forte'!AR188*'Chenes+corm+merisier - f. forte'!$F$21,'Charme - fertil.forte'!AR188*'Charme - fertil.forte'!$F$21,'Pin maritime - très forte'!AR188*'Pin maritime - très forte'!$F$21,'P. sylv.+laricio+séquoia -forte'!AR188*'P. sylv.+laricio+séquoia -forte'!$F$21,'Douglas - fertilité moyenne'!AR188*'Douglas - fertilité moyenne'!$F$21)</f>
        <v>0</v>
      </c>
      <c r="Y204" s="188">
        <f>SUM('Chenes+Alisier - f. très forte'!AS188*'Chenes+Alisier - f. très forte'!$F$21,'Chenes+corm+merisier - f. forte'!AS188*'Chenes+corm+merisier - f. forte'!$F$21,'Charme - fertil.forte'!AS188*'Charme - fertil.forte'!$F$21,'Pin maritime - très forte'!AS188*'Pin maritime - très forte'!$F$21,'P. sylv.+laricio+séquoia -forte'!AS188*'P. sylv.+laricio+séquoia -forte'!$F$21,'Douglas - fertilité moyenne'!AS188*'Douglas - fertilité moyenne'!$F$21)</f>
        <v>0</v>
      </c>
      <c r="Z204" s="331">
        <f>SUM('Chenes+Alisier - f. très forte'!AT188*'Chenes+Alisier - f. très forte'!$F$21,'Chenes+corm+merisier - f. forte'!AT188*'Chenes+corm+merisier - f. forte'!$F$21,'Charme - fertil.forte'!AT188*'Charme - fertil.forte'!$F$21,'Pin maritime - très forte'!AT188*'Pin maritime - très forte'!$F$21,'P. sylv.+laricio+séquoia -forte'!AT188*'P. sylv.+laricio+séquoia -forte'!$F$21,'Douglas - fertilité moyenne'!AT188*'Douglas - fertilité moyenne'!$F$21)</f>
        <v>0</v>
      </c>
      <c r="AA204" s="178">
        <f t="shared" si="27"/>
        <v>0</v>
      </c>
      <c r="AB204" s="179">
        <f t="shared" si="26"/>
        <v>0</v>
      </c>
      <c r="AC204" s="178"/>
      <c r="AD204" s="178"/>
    </row>
    <row r="205" spans="14:30">
      <c r="N205" s="71">
        <v>184</v>
      </c>
      <c r="O205" s="239"/>
      <c r="P205" s="180"/>
      <c r="Q205" s="240">
        <f t="shared" si="29"/>
        <v>940.00249999999994</v>
      </c>
      <c r="R205" s="180">
        <f t="shared" si="24"/>
        <v>19.270051249999998</v>
      </c>
      <c r="S205" s="180">
        <f>$L$11*(1+$L$9)^N205*'Récapitulatif des résultats'!$I$11</f>
        <v>0</v>
      </c>
      <c r="T205" s="241"/>
      <c r="U205" s="180"/>
      <c r="V205" s="249">
        <f t="shared" si="25"/>
        <v>0</v>
      </c>
      <c r="W205" s="188">
        <f>SUM('Chenes+Alisier - f. très forte'!AQ189*'Chenes+Alisier - f. très forte'!$F$21,'Chenes+corm+merisier - f. forte'!AQ189*'Chenes+corm+merisier - f. forte'!$F$21,'Charme - fertil.forte'!AQ189*'Charme - fertil.forte'!$F$21,'Pin maritime - très forte'!AQ189*'Pin maritime - très forte'!$F$21,'P. sylv.+laricio+séquoia -forte'!AQ189*'P. sylv.+laricio+séquoia -forte'!$F$21,'Douglas - fertilité moyenne'!AQ189*'Douglas - fertilité moyenne'!$F$21)</f>
        <v>0</v>
      </c>
      <c r="X205" s="188">
        <f>SUM('Chenes+Alisier - f. très forte'!AR189*'Chenes+Alisier - f. très forte'!$F$21,'Chenes+corm+merisier - f. forte'!AR189*'Chenes+corm+merisier - f. forte'!$F$21,'Charme - fertil.forte'!AR189*'Charme - fertil.forte'!$F$21,'Pin maritime - très forte'!AR189*'Pin maritime - très forte'!$F$21,'P. sylv.+laricio+séquoia -forte'!AR189*'P. sylv.+laricio+séquoia -forte'!$F$21,'Douglas - fertilité moyenne'!AR189*'Douglas - fertilité moyenne'!$F$21)</f>
        <v>0</v>
      </c>
      <c r="Y205" s="188">
        <f>SUM('Chenes+Alisier - f. très forte'!AS189*'Chenes+Alisier - f. très forte'!$F$21,'Chenes+corm+merisier - f. forte'!AS189*'Chenes+corm+merisier - f. forte'!$F$21,'Charme - fertil.forte'!AS189*'Charme - fertil.forte'!$F$21,'Pin maritime - très forte'!AS189*'Pin maritime - très forte'!$F$21,'P. sylv.+laricio+séquoia -forte'!AS189*'P. sylv.+laricio+séquoia -forte'!$F$21,'Douglas - fertilité moyenne'!AS189*'Douglas - fertilité moyenne'!$F$21)</f>
        <v>0</v>
      </c>
      <c r="Z205" s="331">
        <f>SUM('Chenes+Alisier - f. très forte'!AT189*'Chenes+Alisier - f. très forte'!$F$21,'Chenes+corm+merisier - f. forte'!AT189*'Chenes+corm+merisier - f. forte'!$F$21,'Charme - fertil.forte'!AT189*'Charme - fertil.forte'!$F$21,'Pin maritime - très forte'!AT189*'Pin maritime - très forte'!$F$21,'P. sylv.+laricio+séquoia -forte'!AT189*'P. sylv.+laricio+séquoia -forte'!$F$21,'Douglas - fertilité moyenne'!AT189*'Douglas - fertilité moyenne'!$F$21)</f>
        <v>0</v>
      </c>
      <c r="AA205" s="178">
        <f t="shared" si="27"/>
        <v>0</v>
      </c>
      <c r="AB205" s="179">
        <f t="shared" si="26"/>
        <v>0</v>
      </c>
      <c r="AC205" s="178"/>
      <c r="AD205" s="178"/>
    </row>
    <row r="206" spans="14:30">
      <c r="N206" s="71">
        <v>185</v>
      </c>
      <c r="O206" s="239"/>
      <c r="P206" s="180"/>
      <c r="Q206" s="240">
        <f t="shared" si="29"/>
        <v>940.00249999999994</v>
      </c>
      <c r="R206" s="180">
        <f t="shared" si="24"/>
        <v>19.270051249999998</v>
      </c>
      <c r="S206" s="180">
        <f>$L$11*(1+$L$9)^N206*'Récapitulatif des résultats'!$I$11</f>
        <v>0</v>
      </c>
      <c r="T206" s="241"/>
      <c r="U206" s="180"/>
      <c r="V206" s="249">
        <f t="shared" si="25"/>
        <v>0</v>
      </c>
      <c r="W206" s="188">
        <f>SUM('Chenes+Alisier - f. très forte'!AQ190*'Chenes+Alisier - f. très forte'!$F$21,'Chenes+corm+merisier - f. forte'!AQ190*'Chenes+corm+merisier - f. forte'!$F$21,'Charme - fertil.forte'!AQ190*'Charme - fertil.forte'!$F$21,'Pin maritime - très forte'!AQ190*'Pin maritime - très forte'!$F$21,'P. sylv.+laricio+séquoia -forte'!AQ190*'P. sylv.+laricio+séquoia -forte'!$F$21,'Douglas - fertilité moyenne'!AQ190*'Douglas - fertilité moyenne'!$F$21)</f>
        <v>0</v>
      </c>
      <c r="X206" s="188">
        <f>SUM('Chenes+Alisier - f. très forte'!AR190*'Chenes+Alisier - f. très forte'!$F$21,'Chenes+corm+merisier - f. forte'!AR190*'Chenes+corm+merisier - f. forte'!$F$21,'Charme - fertil.forte'!AR190*'Charme - fertil.forte'!$F$21,'Pin maritime - très forte'!AR190*'Pin maritime - très forte'!$F$21,'P. sylv.+laricio+séquoia -forte'!AR190*'P. sylv.+laricio+séquoia -forte'!$F$21,'Douglas - fertilité moyenne'!AR190*'Douglas - fertilité moyenne'!$F$21)</f>
        <v>0</v>
      </c>
      <c r="Y206" s="188">
        <f>SUM('Chenes+Alisier - f. très forte'!AS190*'Chenes+Alisier - f. très forte'!$F$21,'Chenes+corm+merisier - f. forte'!AS190*'Chenes+corm+merisier - f. forte'!$F$21,'Charme - fertil.forte'!AS190*'Charme - fertil.forte'!$F$21,'Pin maritime - très forte'!AS190*'Pin maritime - très forte'!$F$21,'P. sylv.+laricio+séquoia -forte'!AS190*'P. sylv.+laricio+séquoia -forte'!$F$21,'Douglas - fertilité moyenne'!AS190*'Douglas - fertilité moyenne'!$F$21)</f>
        <v>0</v>
      </c>
      <c r="Z206" s="331">
        <f>SUM('Chenes+Alisier - f. très forte'!AT190*'Chenes+Alisier - f. très forte'!$F$21,'Chenes+corm+merisier - f. forte'!AT190*'Chenes+corm+merisier - f. forte'!$F$21,'Charme - fertil.forte'!AT190*'Charme - fertil.forte'!$F$21,'Pin maritime - très forte'!AT190*'Pin maritime - très forte'!$F$21,'P. sylv.+laricio+séquoia -forte'!AT190*'P. sylv.+laricio+séquoia -forte'!$F$21,'Douglas - fertilité moyenne'!AT190*'Douglas - fertilité moyenne'!$F$21)</f>
        <v>0</v>
      </c>
      <c r="AA206" s="178">
        <f t="shared" si="27"/>
        <v>0</v>
      </c>
      <c r="AB206" s="179">
        <f t="shared" si="26"/>
        <v>0</v>
      </c>
      <c r="AC206" s="178"/>
      <c r="AD206" s="178"/>
    </row>
    <row r="207" spans="14:30">
      <c r="N207" s="71">
        <v>186</v>
      </c>
      <c r="O207" s="239"/>
      <c r="P207" s="180"/>
      <c r="Q207" s="240">
        <f t="shared" si="29"/>
        <v>940.00249999999994</v>
      </c>
      <c r="R207" s="180">
        <f t="shared" si="24"/>
        <v>19.270051249999998</v>
      </c>
      <c r="S207" s="180">
        <f>$L$11*(1+$L$9)^N207*'Récapitulatif des résultats'!$I$11</f>
        <v>0</v>
      </c>
      <c r="T207" s="241"/>
      <c r="U207" s="180"/>
      <c r="V207" s="249">
        <f t="shared" si="25"/>
        <v>0</v>
      </c>
      <c r="W207" s="188">
        <f>SUM('Chenes+Alisier - f. très forte'!AQ191*'Chenes+Alisier - f. très forte'!$F$21,'Chenes+corm+merisier - f. forte'!AQ191*'Chenes+corm+merisier - f. forte'!$F$21,'Charme - fertil.forte'!AQ191*'Charme - fertil.forte'!$F$21,'Pin maritime - très forte'!AQ191*'Pin maritime - très forte'!$F$21,'P. sylv.+laricio+séquoia -forte'!AQ191*'P. sylv.+laricio+séquoia -forte'!$F$21,'Douglas - fertilité moyenne'!AQ191*'Douglas - fertilité moyenne'!$F$21)</f>
        <v>0</v>
      </c>
      <c r="X207" s="188">
        <f>SUM('Chenes+Alisier - f. très forte'!AR191*'Chenes+Alisier - f. très forte'!$F$21,'Chenes+corm+merisier - f. forte'!AR191*'Chenes+corm+merisier - f. forte'!$F$21,'Charme - fertil.forte'!AR191*'Charme - fertil.forte'!$F$21,'Pin maritime - très forte'!AR191*'Pin maritime - très forte'!$F$21,'P. sylv.+laricio+séquoia -forte'!AR191*'P. sylv.+laricio+séquoia -forte'!$F$21,'Douglas - fertilité moyenne'!AR191*'Douglas - fertilité moyenne'!$F$21)</f>
        <v>0</v>
      </c>
      <c r="Y207" s="188">
        <f>SUM('Chenes+Alisier - f. très forte'!AS191*'Chenes+Alisier - f. très forte'!$F$21,'Chenes+corm+merisier - f. forte'!AS191*'Chenes+corm+merisier - f. forte'!$F$21,'Charme - fertil.forte'!AS191*'Charme - fertil.forte'!$F$21,'Pin maritime - très forte'!AS191*'Pin maritime - très forte'!$F$21,'P. sylv.+laricio+séquoia -forte'!AS191*'P. sylv.+laricio+séquoia -forte'!$F$21,'Douglas - fertilité moyenne'!AS191*'Douglas - fertilité moyenne'!$F$21)</f>
        <v>0</v>
      </c>
      <c r="Z207" s="331">
        <f>SUM('Chenes+Alisier - f. très forte'!AT191*'Chenes+Alisier - f. très forte'!$F$21,'Chenes+corm+merisier - f. forte'!AT191*'Chenes+corm+merisier - f. forte'!$F$21,'Charme - fertil.forte'!AT191*'Charme - fertil.forte'!$F$21,'Pin maritime - très forte'!AT191*'Pin maritime - très forte'!$F$21,'P. sylv.+laricio+séquoia -forte'!AT191*'P. sylv.+laricio+séquoia -forte'!$F$21,'Douglas - fertilité moyenne'!AT191*'Douglas - fertilité moyenne'!$F$21)</f>
        <v>0</v>
      </c>
      <c r="AA207" s="178">
        <f t="shared" si="27"/>
        <v>0</v>
      </c>
      <c r="AB207" s="179">
        <f t="shared" si="26"/>
        <v>0</v>
      </c>
      <c r="AC207" s="178"/>
      <c r="AD207" s="178"/>
    </row>
    <row r="208" spans="14:30">
      <c r="N208" s="71">
        <v>187</v>
      </c>
      <c r="O208" s="239"/>
      <c r="P208" s="180"/>
      <c r="Q208" s="240">
        <f t="shared" si="29"/>
        <v>940.00249999999994</v>
      </c>
      <c r="R208" s="180">
        <f t="shared" si="24"/>
        <v>19.270051249999998</v>
      </c>
      <c r="S208" s="180">
        <f>$L$11*(1+$L$9)^N208*'Récapitulatif des résultats'!$I$11</f>
        <v>0</v>
      </c>
      <c r="T208" s="241"/>
      <c r="U208" s="180"/>
      <c r="V208" s="249">
        <f t="shared" si="25"/>
        <v>0</v>
      </c>
      <c r="W208" s="188">
        <f>SUM('Chenes+Alisier - f. très forte'!AQ192*'Chenes+Alisier - f. très forte'!$F$21,'Chenes+corm+merisier - f. forte'!AQ192*'Chenes+corm+merisier - f. forte'!$F$21,'Charme - fertil.forte'!AQ192*'Charme - fertil.forte'!$F$21,'Pin maritime - très forte'!AQ192*'Pin maritime - très forte'!$F$21,'P. sylv.+laricio+séquoia -forte'!AQ192*'P. sylv.+laricio+séquoia -forte'!$F$21,'Douglas - fertilité moyenne'!AQ192*'Douglas - fertilité moyenne'!$F$21)</f>
        <v>0</v>
      </c>
      <c r="X208" s="188">
        <f>SUM('Chenes+Alisier - f. très forte'!AR192*'Chenes+Alisier - f. très forte'!$F$21,'Chenes+corm+merisier - f. forte'!AR192*'Chenes+corm+merisier - f. forte'!$F$21,'Charme - fertil.forte'!AR192*'Charme - fertil.forte'!$F$21,'Pin maritime - très forte'!AR192*'Pin maritime - très forte'!$F$21,'P. sylv.+laricio+séquoia -forte'!AR192*'P. sylv.+laricio+séquoia -forte'!$F$21,'Douglas - fertilité moyenne'!AR192*'Douglas - fertilité moyenne'!$F$21)</f>
        <v>0</v>
      </c>
      <c r="Y208" s="188">
        <f>SUM('Chenes+Alisier - f. très forte'!AS192*'Chenes+Alisier - f. très forte'!$F$21,'Chenes+corm+merisier - f. forte'!AS192*'Chenes+corm+merisier - f. forte'!$F$21,'Charme - fertil.forte'!AS192*'Charme - fertil.forte'!$F$21,'Pin maritime - très forte'!AS192*'Pin maritime - très forte'!$F$21,'P. sylv.+laricio+séquoia -forte'!AS192*'P. sylv.+laricio+séquoia -forte'!$F$21,'Douglas - fertilité moyenne'!AS192*'Douglas - fertilité moyenne'!$F$21)</f>
        <v>0</v>
      </c>
      <c r="Z208" s="331">
        <f>SUM('Chenes+Alisier - f. très forte'!AT192*'Chenes+Alisier - f. très forte'!$F$21,'Chenes+corm+merisier - f. forte'!AT192*'Chenes+corm+merisier - f. forte'!$F$21,'Charme - fertil.forte'!AT192*'Charme - fertil.forte'!$F$21,'Pin maritime - très forte'!AT192*'Pin maritime - très forte'!$F$21,'P. sylv.+laricio+séquoia -forte'!AT192*'P. sylv.+laricio+séquoia -forte'!$F$21,'Douglas - fertilité moyenne'!AT192*'Douglas - fertilité moyenne'!$F$21)</f>
        <v>0</v>
      </c>
      <c r="AA208" s="178">
        <f t="shared" si="27"/>
        <v>0</v>
      </c>
      <c r="AB208" s="179">
        <f t="shared" si="26"/>
        <v>0</v>
      </c>
      <c r="AC208" s="178"/>
      <c r="AD208" s="178"/>
    </row>
    <row r="209" spans="14:30">
      <c r="N209" s="71">
        <v>188</v>
      </c>
      <c r="O209" s="239"/>
      <c r="P209" s="180"/>
      <c r="Q209" s="240">
        <f t="shared" si="29"/>
        <v>940.00249999999994</v>
      </c>
      <c r="R209" s="180">
        <f t="shared" si="24"/>
        <v>19.270051249999998</v>
      </c>
      <c r="S209" s="180">
        <f>$L$11*(1+$L$9)^N209*'Récapitulatif des résultats'!$I$11</f>
        <v>0</v>
      </c>
      <c r="T209" s="241"/>
      <c r="U209" s="180"/>
      <c r="V209" s="249">
        <f t="shared" si="25"/>
        <v>0</v>
      </c>
      <c r="W209" s="188">
        <f>SUM('Chenes+Alisier - f. très forte'!AQ193*'Chenes+Alisier - f. très forte'!$F$21,'Chenes+corm+merisier - f. forte'!AQ193*'Chenes+corm+merisier - f. forte'!$F$21,'Charme - fertil.forte'!AQ193*'Charme - fertil.forte'!$F$21,'Pin maritime - très forte'!AQ193*'Pin maritime - très forte'!$F$21,'P. sylv.+laricio+séquoia -forte'!AQ193*'P. sylv.+laricio+séquoia -forte'!$F$21,'Douglas - fertilité moyenne'!AQ193*'Douglas - fertilité moyenne'!$F$21)</f>
        <v>0</v>
      </c>
      <c r="X209" s="188">
        <f>SUM('Chenes+Alisier - f. très forte'!AR193*'Chenes+Alisier - f. très forte'!$F$21,'Chenes+corm+merisier - f. forte'!AR193*'Chenes+corm+merisier - f. forte'!$F$21,'Charme - fertil.forte'!AR193*'Charme - fertil.forte'!$F$21,'Pin maritime - très forte'!AR193*'Pin maritime - très forte'!$F$21,'P. sylv.+laricio+séquoia -forte'!AR193*'P. sylv.+laricio+séquoia -forte'!$F$21,'Douglas - fertilité moyenne'!AR193*'Douglas - fertilité moyenne'!$F$21)</f>
        <v>0</v>
      </c>
      <c r="Y209" s="188">
        <f>SUM('Chenes+Alisier - f. très forte'!AS193*'Chenes+Alisier - f. très forte'!$F$21,'Chenes+corm+merisier - f. forte'!AS193*'Chenes+corm+merisier - f. forte'!$F$21,'Charme - fertil.forte'!AS193*'Charme - fertil.forte'!$F$21,'Pin maritime - très forte'!AS193*'Pin maritime - très forte'!$F$21,'P. sylv.+laricio+séquoia -forte'!AS193*'P. sylv.+laricio+séquoia -forte'!$F$21,'Douglas - fertilité moyenne'!AS193*'Douglas - fertilité moyenne'!$F$21)</f>
        <v>0</v>
      </c>
      <c r="Z209" s="331">
        <f>SUM('Chenes+Alisier - f. très forte'!AT193*'Chenes+Alisier - f. très forte'!$F$21,'Chenes+corm+merisier - f. forte'!AT193*'Chenes+corm+merisier - f. forte'!$F$21,'Charme - fertil.forte'!AT193*'Charme - fertil.forte'!$F$21,'Pin maritime - très forte'!AT193*'Pin maritime - très forte'!$F$21,'P. sylv.+laricio+séquoia -forte'!AT193*'P. sylv.+laricio+séquoia -forte'!$F$21,'Douglas - fertilité moyenne'!AT193*'Douglas - fertilité moyenne'!$F$21)</f>
        <v>0</v>
      </c>
      <c r="AA209" s="178">
        <f t="shared" si="27"/>
        <v>0</v>
      </c>
      <c r="AB209" s="179">
        <f t="shared" si="26"/>
        <v>0</v>
      </c>
      <c r="AC209" s="178"/>
      <c r="AD209" s="178"/>
    </row>
    <row r="210" spans="14:30">
      <c r="N210" s="71">
        <v>189</v>
      </c>
      <c r="O210" s="239"/>
      <c r="P210" s="180"/>
      <c r="Q210" s="240">
        <f t="shared" si="29"/>
        <v>940.00249999999994</v>
      </c>
      <c r="R210" s="180">
        <f t="shared" si="24"/>
        <v>19.270051249999998</v>
      </c>
      <c r="S210" s="180">
        <f>$L$11*(1+$L$9)^N210*'Récapitulatif des résultats'!$I$11</f>
        <v>0</v>
      </c>
      <c r="T210" s="241"/>
      <c r="U210" s="180"/>
      <c r="V210" s="249">
        <f t="shared" si="25"/>
        <v>0</v>
      </c>
      <c r="W210" s="188">
        <f>SUM('Chenes+Alisier - f. très forte'!AQ194*'Chenes+Alisier - f. très forte'!$F$21,'Chenes+corm+merisier - f. forte'!AQ194*'Chenes+corm+merisier - f. forte'!$F$21,'Charme - fertil.forte'!AQ194*'Charme - fertil.forte'!$F$21,'Pin maritime - très forte'!AQ194*'Pin maritime - très forte'!$F$21,'P. sylv.+laricio+séquoia -forte'!AQ194*'P. sylv.+laricio+séquoia -forte'!$F$21,'Douglas - fertilité moyenne'!AQ194*'Douglas - fertilité moyenne'!$F$21)</f>
        <v>0</v>
      </c>
      <c r="X210" s="188">
        <f>SUM('Chenes+Alisier - f. très forte'!AR194*'Chenes+Alisier - f. très forte'!$F$21,'Chenes+corm+merisier - f. forte'!AR194*'Chenes+corm+merisier - f. forte'!$F$21,'Charme - fertil.forte'!AR194*'Charme - fertil.forte'!$F$21,'Pin maritime - très forte'!AR194*'Pin maritime - très forte'!$F$21,'P. sylv.+laricio+séquoia -forte'!AR194*'P. sylv.+laricio+séquoia -forte'!$F$21,'Douglas - fertilité moyenne'!AR194*'Douglas - fertilité moyenne'!$F$21)</f>
        <v>0</v>
      </c>
      <c r="Y210" s="188">
        <f>SUM('Chenes+Alisier - f. très forte'!AS194*'Chenes+Alisier - f. très forte'!$F$21,'Chenes+corm+merisier - f. forte'!AS194*'Chenes+corm+merisier - f. forte'!$F$21,'Charme - fertil.forte'!AS194*'Charme - fertil.forte'!$F$21,'Pin maritime - très forte'!AS194*'Pin maritime - très forte'!$F$21,'P. sylv.+laricio+séquoia -forte'!AS194*'P. sylv.+laricio+séquoia -forte'!$F$21,'Douglas - fertilité moyenne'!AS194*'Douglas - fertilité moyenne'!$F$21)</f>
        <v>0</v>
      </c>
      <c r="Z210" s="331">
        <f>SUM('Chenes+Alisier - f. très forte'!AT194*'Chenes+Alisier - f. très forte'!$F$21,'Chenes+corm+merisier - f. forte'!AT194*'Chenes+corm+merisier - f. forte'!$F$21,'Charme - fertil.forte'!AT194*'Charme - fertil.forte'!$F$21,'Pin maritime - très forte'!AT194*'Pin maritime - très forte'!$F$21,'P. sylv.+laricio+séquoia -forte'!AT194*'P. sylv.+laricio+séquoia -forte'!$F$21,'Douglas - fertilité moyenne'!AT194*'Douglas - fertilité moyenne'!$F$21)</f>
        <v>0</v>
      </c>
      <c r="AA210" s="178">
        <f t="shared" si="27"/>
        <v>0</v>
      </c>
      <c r="AB210" s="179">
        <f t="shared" si="26"/>
        <v>0</v>
      </c>
      <c r="AC210" s="178"/>
      <c r="AD210" s="178"/>
    </row>
    <row r="211" spans="14:30">
      <c r="N211" s="71">
        <v>190</v>
      </c>
      <c r="O211" s="239"/>
      <c r="P211" s="180"/>
      <c r="Q211" s="240">
        <f t="shared" si="29"/>
        <v>940.00249999999994</v>
      </c>
      <c r="R211" s="180">
        <f t="shared" si="24"/>
        <v>19.270051249999998</v>
      </c>
      <c r="S211" s="180">
        <f>$L$11*(1+$L$9)^N211*'Récapitulatif des résultats'!$I$11</f>
        <v>0</v>
      </c>
      <c r="T211" s="241"/>
      <c r="U211" s="180"/>
      <c r="V211" s="249">
        <f t="shared" si="25"/>
        <v>0</v>
      </c>
      <c r="W211" s="188">
        <f>SUM('Chenes+Alisier - f. très forte'!AQ195*'Chenes+Alisier - f. très forte'!$F$21,'Chenes+corm+merisier - f. forte'!AQ195*'Chenes+corm+merisier - f. forte'!$F$21,'Charme - fertil.forte'!AQ195*'Charme - fertil.forte'!$F$21,'Pin maritime - très forte'!AQ195*'Pin maritime - très forte'!$F$21,'P. sylv.+laricio+séquoia -forte'!AQ195*'P. sylv.+laricio+séquoia -forte'!$F$21,'Douglas - fertilité moyenne'!AQ195*'Douglas - fertilité moyenne'!$F$21)</f>
        <v>0</v>
      </c>
      <c r="X211" s="188">
        <f>SUM('Chenes+Alisier - f. très forte'!AR195*'Chenes+Alisier - f. très forte'!$F$21,'Chenes+corm+merisier - f. forte'!AR195*'Chenes+corm+merisier - f. forte'!$F$21,'Charme - fertil.forte'!AR195*'Charme - fertil.forte'!$F$21,'Pin maritime - très forte'!AR195*'Pin maritime - très forte'!$F$21,'P. sylv.+laricio+séquoia -forte'!AR195*'P. sylv.+laricio+séquoia -forte'!$F$21,'Douglas - fertilité moyenne'!AR195*'Douglas - fertilité moyenne'!$F$21)</f>
        <v>0</v>
      </c>
      <c r="Y211" s="188">
        <f>SUM('Chenes+Alisier - f. très forte'!AS195*'Chenes+Alisier - f. très forte'!$F$21,'Chenes+corm+merisier - f. forte'!AS195*'Chenes+corm+merisier - f. forte'!$F$21,'Charme - fertil.forte'!AS195*'Charme - fertil.forte'!$F$21,'Pin maritime - très forte'!AS195*'Pin maritime - très forte'!$F$21,'P. sylv.+laricio+séquoia -forte'!AS195*'P. sylv.+laricio+séquoia -forte'!$F$21,'Douglas - fertilité moyenne'!AS195*'Douglas - fertilité moyenne'!$F$21)</f>
        <v>0</v>
      </c>
      <c r="Z211" s="331">
        <f>SUM('Chenes+Alisier - f. très forte'!AT195*'Chenes+Alisier - f. très forte'!$F$21,'Chenes+corm+merisier - f. forte'!AT195*'Chenes+corm+merisier - f. forte'!$F$21,'Charme - fertil.forte'!AT195*'Charme - fertil.forte'!$F$21,'Pin maritime - très forte'!AT195*'Pin maritime - très forte'!$F$21,'P. sylv.+laricio+séquoia -forte'!AT195*'P. sylv.+laricio+séquoia -forte'!$F$21,'Douglas - fertilité moyenne'!AT195*'Douglas - fertilité moyenne'!$F$21)</f>
        <v>0</v>
      </c>
      <c r="AA211" s="178">
        <f t="shared" si="27"/>
        <v>0</v>
      </c>
      <c r="AB211" s="179">
        <f t="shared" si="26"/>
        <v>0</v>
      </c>
      <c r="AC211" s="178"/>
      <c r="AD211" s="178"/>
    </row>
    <row r="212" spans="14:30">
      <c r="N212" s="71">
        <v>191</v>
      </c>
      <c r="O212" s="239"/>
      <c r="P212" s="180"/>
      <c r="Q212" s="240">
        <f t="shared" si="29"/>
        <v>940.00249999999994</v>
      </c>
      <c r="R212" s="180">
        <f t="shared" si="24"/>
        <v>19.270051249999998</v>
      </c>
      <c r="S212" s="180">
        <f>$L$11*(1+$L$9)^N212*'Récapitulatif des résultats'!$I$11</f>
        <v>0</v>
      </c>
      <c r="T212" s="241"/>
      <c r="U212" s="180"/>
      <c r="V212" s="249">
        <f t="shared" si="25"/>
        <v>0</v>
      </c>
      <c r="W212" s="188">
        <f>SUM('Chenes+Alisier - f. très forte'!AQ196*'Chenes+Alisier - f. très forte'!$F$21,'Chenes+corm+merisier - f. forte'!AQ196*'Chenes+corm+merisier - f. forte'!$F$21,'Charme - fertil.forte'!AQ196*'Charme - fertil.forte'!$F$21,'Pin maritime - très forte'!AQ196*'Pin maritime - très forte'!$F$21,'P. sylv.+laricio+séquoia -forte'!AQ196*'P. sylv.+laricio+séquoia -forte'!$F$21,'Douglas - fertilité moyenne'!AQ196*'Douglas - fertilité moyenne'!$F$21)</f>
        <v>0</v>
      </c>
      <c r="X212" s="188">
        <f>SUM('Chenes+Alisier - f. très forte'!AR196*'Chenes+Alisier - f. très forte'!$F$21,'Chenes+corm+merisier - f. forte'!AR196*'Chenes+corm+merisier - f. forte'!$F$21,'Charme - fertil.forte'!AR196*'Charme - fertil.forte'!$F$21,'Pin maritime - très forte'!AR196*'Pin maritime - très forte'!$F$21,'P. sylv.+laricio+séquoia -forte'!AR196*'P. sylv.+laricio+séquoia -forte'!$F$21,'Douglas - fertilité moyenne'!AR196*'Douglas - fertilité moyenne'!$F$21)</f>
        <v>0</v>
      </c>
      <c r="Y212" s="188">
        <f>SUM('Chenes+Alisier - f. très forte'!AS196*'Chenes+Alisier - f. très forte'!$F$21,'Chenes+corm+merisier - f. forte'!AS196*'Chenes+corm+merisier - f. forte'!$F$21,'Charme - fertil.forte'!AS196*'Charme - fertil.forte'!$F$21,'Pin maritime - très forte'!AS196*'Pin maritime - très forte'!$F$21,'P. sylv.+laricio+séquoia -forte'!AS196*'P. sylv.+laricio+séquoia -forte'!$F$21,'Douglas - fertilité moyenne'!AS196*'Douglas - fertilité moyenne'!$F$21)</f>
        <v>0</v>
      </c>
      <c r="Z212" s="331">
        <f>SUM('Chenes+Alisier - f. très forte'!AT196*'Chenes+Alisier - f. très forte'!$F$21,'Chenes+corm+merisier - f. forte'!AT196*'Chenes+corm+merisier - f. forte'!$F$21,'Charme - fertil.forte'!AT196*'Charme - fertil.forte'!$F$21,'Pin maritime - très forte'!AT196*'Pin maritime - très forte'!$F$21,'P. sylv.+laricio+séquoia -forte'!AT196*'P. sylv.+laricio+séquoia -forte'!$F$21,'Douglas - fertilité moyenne'!AT196*'Douglas - fertilité moyenne'!$F$21)</f>
        <v>0</v>
      </c>
      <c r="AA212" s="178">
        <f t="shared" si="27"/>
        <v>0</v>
      </c>
      <c r="AB212" s="179">
        <f t="shared" si="26"/>
        <v>0</v>
      </c>
      <c r="AC212" s="178"/>
      <c r="AD212" s="178"/>
    </row>
    <row r="213" spans="14:30">
      <c r="N213" s="71">
        <v>192</v>
      </c>
      <c r="O213" s="239"/>
      <c r="P213" s="180"/>
      <c r="Q213" s="240">
        <f t="shared" si="29"/>
        <v>940.00249999999994</v>
      </c>
      <c r="R213" s="180">
        <f t="shared" ref="R213:R221" si="30">$L$10*SUM(O213:Q213)</f>
        <v>19.270051249999998</v>
      </c>
      <c r="S213" s="180">
        <f>$L$11*(1+$L$9)^N213*'Récapitulatif des résultats'!$I$11</f>
        <v>0</v>
      </c>
      <c r="T213" s="241"/>
      <c r="U213" s="180"/>
      <c r="V213" s="249">
        <f t="shared" ref="V213:V221" si="31">SUM(W213:Z213)</f>
        <v>0</v>
      </c>
      <c r="W213" s="188">
        <f>SUM('Chenes+Alisier - f. très forte'!AQ197*'Chenes+Alisier - f. très forte'!$F$21,'Chenes+corm+merisier - f. forte'!AQ197*'Chenes+corm+merisier - f. forte'!$F$21,'Charme - fertil.forte'!AQ197*'Charme - fertil.forte'!$F$21,'Pin maritime - très forte'!AQ197*'Pin maritime - très forte'!$F$21,'P. sylv.+laricio+séquoia -forte'!AQ197*'P. sylv.+laricio+séquoia -forte'!$F$21,'Douglas - fertilité moyenne'!AQ197*'Douglas - fertilité moyenne'!$F$21)</f>
        <v>0</v>
      </c>
      <c r="X213" s="188">
        <f>SUM('Chenes+Alisier - f. très forte'!AR197*'Chenes+Alisier - f. très forte'!$F$21,'Chenes+corm+merisier - f. forte'!AR197*'Chenes+corm+merisier - f. forte'!$F$21,'Charme - fertil.forte'!AR197*'Charme - fertil.forte'!$F$21,'Pin maritime - très forte'!AR197*'Pin maritime - très forte'!$F$21,'P. sylv.+laricio+séquoia -forte'!AR197*'P. sylv.+laricio+séquoia -forte'!$F$21,'Douglas - fertilité moyenne'!AR197*'Douglas - fertilité moyenne'!$F$21)</f>
        <v>0</v>
      </c>
      <c r="Y213" s="188">
        <f>SUM('Chenes+Alisier - f. très forte'!AS197*'Chenes+Alisier - f. très forte'!$F$21,'Chenes+corm+merisier - f. forte'!AS197*'Chenes+corm+merisier - f. forte'!$F$21,'Charme - fertil.forte'!AS197*'Charme - fertil.forte'!$F$21,'Pin maritime - très forte'!AS197*'Pin maritime - très forte'!$F$21,'P. sylv.+laricio+séquoia -forte'!AS197*'P. sylv.+laricio+séquoia -forte'!$F$21,'Douglas - fertilité moyenne'!AS197*'Douglas - fertilité moyenne'!$F$21)</f>
        <v>0</v>
      </c>
      <c r="Z213" s="331">
        <f>SUM('Chenes+Alisier - f. très forte'!AT197*'Chenes+Alisier - f. très forte'!$F$21,'Chenes+corm+merisier - f. forte'!AT197*'Chenes+corm+merisier - f. forte'!$F$21,'Charme - fertil.forte'!AT197*'Charme - fertil.forte'!$F$21,'Pin maritime - très forte'!AT197*'Pin maritime - très forte'!$F$21,'P. sylv.+laricio+séquoia -forte'!AT197*'P. sylv.+laricio+séquoia -forte'!$F$21,'Douglas - fertilité moyenne'!AT197*'Douglas - fertilité moyenne'!$F$21)</f>
        <v>0</v>
      </c>
      <c r="AA213" s="178">
        <f t="shared" si="27"/>
        <v>0</v>
      </c>
      <c r="AB213" s="179">
        <f t="shared" ref="AB213:AB221" si="32">IF(N213&lt;=$L$4,(AA213-SUM(O213:T213))/((1+4.5%)^N213),)</f>
        <v>0</v>
      </c>
      <c r="AC213" s="178"/>
      <c r="AD213" s="178"/>
    </row>
    <row r="214" spans="14:30">
      <c r="N214" s="71">
        <v>193</v>
      </c>
      <c r="O214" s="239"/>
      <c r="P214" s="180"/>
      <c r="Q214" s="240">
        <f t="shared" si="29"/>
        <v>940.00249999999994</v>
      </c>
      <c r="R214" s="180">
        <f t="shared" si="30"/>
        <v>19.270051249999998</v>
      </c>
      <c r="S214" s="180">
        <f>$L$11*(1+$L$9)^N214*'Récapitulatif des résultats'!$I$11</f>
        <v>0</v>
      </c>
      <c r="T214" s="241"/>
      <c r="U214" s="180"/>
      <c r="V214" s="249">
        <f t="shared" si="31"/>
        <v>0</v>
      </c>
      <c r="W214" s="188">
        <f>SUM('Chenes+Alisier - f. très forte'!AQ198*'Chenes+Alisier - f. très forte'!$F$21,'Chenes+corm+merisier - f. forte'!AQ198*'Chenes+corm+merisier - f. forte'!$F$21,'Charme - fertil.forte'!AQ198*'Charme - fertil.forte'!$F$21,'Pin maritime - très forte'!AQ198*'Pin maritime - très forte'!$F$21,'P. sylv.+laricio+séquoia -forte'!AQ198*'P. sylv.+laricio+séquoia -forte'!$F$21,'Douglas - fertilité moyenne'!AQ198*'Douglas - fertilité moyenne'!$F$21)</f>
        <v>0</v>
      </c>
      <c r="X214" s="188">
        <f>SUM('Chenes+Alisier - f. très forte'!AR198*'Chenes+Alisier - f. très forte'!$F$21,'Chenes+corm+merisier - f. forte'!AR198*'Chenes+corm+merisier - f. forte'!$F$21,'Charme - fertil.forte'!AR198*'Charme - fertil.forte'!$F$21,'Pin maritime - très forte'!AR198*'Pin maritime - très forte'!$F$21,'P. sylv.+laricio+séquoia -forte'!AR198*'P. sylv.+laricio+séquoia -forte'!$F$21,'Douglas - fertilité moyenne'!AR198*'Douglas - fertilité moyenne'!$F$21)</f>
        <v>0</v>
      </c>
      <c r="Y214" s="188">
        <f>SUM('Chenes+Alisier - f. très forte'!AS198*'Chenes+Alisier - f. très forte'!$F$21,'Chenes+corm+merisier - f. forte'!AS198*'Chenes+corm+merisier - f. forte'!$F$21,'Charme - fertil.forte'!AS198*'Charme - fertil.forte'!$F$21,'Pin maritime - très forte'!AS198*'Pin maritime - très forte'!$F$21,'P. sylv.+laricio+séquoia -forte'!AS198*'P. sylv.+laricio+séquoia -forte'!$F$21,'Douglas - fertilité moyenne'!AS198*'Douglas - fertilité moyenne'!$F$21)</f>
        <v>0</v>
      </c>
      <c r="Z214" s="331">
        <f>SUM('Chenes+Alisier - f. très forte'!AT198*'Chenes+Alisier - f. très forte'!$F$21,'Chenes+corm+merisier - f. forte'!AT198*'Chenes+corm+merisier - f. forte'!$F$21,'Charme - fertil.forte'!AT198*'Charme - fertil.forte'!$F$21,'Pin maritime - très forte'!AT198*'Pin maritime - très forte'!$F$21,'P. sylv.+laricio+séquoia -forte'!AT198*'P. sylv.+laricio+séquoia -forte'!$F$21,'Douglas - fertilité moyenne'!AT198*'Douglas - fertilité moyenne'!$F$21)</f>
        <v>0</v>
      </c>
      <c r="AA214" s="178">
        <f t="shared" ref="AA214:AA221" si="33">SUMIF(B$23:B$115,N214,L$23:L$115)+U214</f>
        <v>0</v>
      </c>
      <c r="AB214" s="179">
        <f t="shared" si="32"/>
        <v>0</v>
      </c>
      <c r="AC214" s="178"/>
      <c r="AD214" s="178"/>
    </row>
    <row r="215" spans="14:30">
      <c r="N215" s="71">
        <v>194</v>
      </c>
      <c r="O215" s="239"/>
      <c r="P215" s="180"/>
      <c r="Q215" s="240">
        <f t="shared" si="29"/>
        <v>940.00249999999994</v>
      </c>
      <c r="R215" s="180">
        <f t="shared" si="30"/>
        <v>19.270051249999998</v>
      </c>
      <c r="S215" s="180">
        <f>$L$11*(1+$L$9)^N215*'Récapitulatif des résultats'!$I$11</f>
        <v>0</v>
      </c>
      <c r="T215" s="241"/>
      <c r="U215" s="180"/>
      <c r="V215" s="249">
        <f t="shared" si="31"/>
        <v>0</v>
      </c>
      <c r="W215" s="188">
        <f>SUM('Chenes+Alisier - f. très forte'!AQ199*'Chenes+Alisier - f. très forte'!$F$21,'Chenes+corm+merisier - f. forte'!AQ199*'Chenes+corm+merisier - f. forte'!$F$21,'Charme - fertil.forte'!AQ199*'Charme - fertil.forte'!$F$21,'Pin maritime - très forte'!AQ199*'Pin maritime - très forte'!$F$21,'P. sylv.+laricio+séquoia -forte'!AQ199*'P. sylv.+laricio+séquoia -forte'!$F$21,'Douglas - fertilité moyenne'!AQ199*'Douglas - fertilité moyenne'!$F$21)</f>
        <v>0</v>
      </c>
      <c r="X215" s="188">
        <f>SUM('Chenes+Alisier - f. très forte'!AR199*'Chenes+Alisier - f. très forte'!$F$21,'Chenes+corm+merisier - f. forte'!AR199*'Chenes+corm+merisier - f. forte'!$F$21,'Charme - fertil.forte'!AR199*'Charme - fertil.forte'!$F$21,'Pin maritime - très forte'!AR199*'Pin maritime - très forte'!$F$21,'P. sylv.+laricio+séquoia -forte'!AR199*'P. sylv.+laricio+séquoia -forte'!$F$21,'Douglas - fertilité moyenne'!AR199*'Douglas - fertilité moyenne'!$F$21)</f>
        <v>0</v>
      </c>
      <c r="Y215" s="188">
        <f>SUM('Chenes+Alisier - f. très forte'!AS199*'Chenes+Alisier - f. très forte'!$F$21,'Chenes+corm+merisier - f. forte'!AS199*'Chenes+corm+merisier - f. forte'!$F$21,'Charme - fertil.forte'!AS199*'Charme - fertil.forte'!$F$21,'Pin maritime - très forte'!AS199*'Pin maritime - très forte'!$F$21,'P. sylv.+laricio+séquoia -forte'!AS199*'P. sylv.+laricio+séquoia -forte'!$F$21,'Douglas - fertilité moyenne'!AS199*'Douglas - fertilité moyenne'!$F$21)</f>
        <v>0</v>
      </c>
      <c r="Z215" s="331">
        <f>SUM('Chenes+Alisier - f. très forte'!AT199*'Chenes+Alisier - f. très forte'!$F$21,'Chenes+corm+merisier - f. forte'!AT199*'Chenes+corm+merisier - f. forte'!$F$21,'Charme - fertil.forte'!AT199*'Charme - fertil.forte'!$F$21,'Pin maritime - très forte'!AT199*'Pin maritime - très forte'!$F$21,'P. sylv.+laricio+séquoia -forte'!AT199*'P. sylv.+laricio+séquoia -forte'!$F$21,'Douglas - fertilité moyenne'!AT199*'Douglas - fertilité moyenne'!$F$21)</f>
        <v>0</v>
      </c>
      <c r="AA215" s="178">
        <f t="shared" si="33"/>
        <v>0</v>
      </c>
      <c r="AB215" s="179">
        <f t="shared" si="32"/>
        <v>0</v>
      </c>
      <c r="AC215" s="178"/>
      <c r="AD215" s="178"/>
    </row>
    <row r="216" spans="14:30">
      <c r="N216" s="71">
        <v>195</v>
      </c>
      <c r="O216" s="239"/>
      <c r="P216" s="180"/>
      <c r="Q216" s="240">
        <f t="shared" si="29"/>
        <v>940.00249999999994</v>
      </c>
      <c r="R216" s="180">
        <f t="shared" si="30"/>
        <v>19.270051249999998</v>
      </c>
      <c r="S216" s="180">
        <f>$L$11*(1+$L$9)^N216*'Récapitulatif des résultats'!$I$11</f>
        <v>0</v>
      </c>
      <c r="T216" s="241"/>
      <c r="U216" s="180"/>
      <c r="V216" s="249">
        <f t="shared" si="31"/>
        <v>0</v>
      </c>
      <c r="W216" s="188">
        <f>SUM('Chenes+Alisier - f. très forte'!AQ200*'Chenes+Alisier - f. très forte'!$F$21,'Chenes+corm+merisier - f. forte'!AQ200*'Chenes+corm+merisier - f. forte'!$F$21,'Charme - fertil.forte'!AQ200*'Charme - fertil.forte'!$F$21,'Pin maritime - très forte'!AQ200*'Pin maritime - très forte'!$F$21,'P. sylv.+laricio+séquoia -forte'!AQ200*'P. sylv.+laricio+séquoia -forte'!$F$21,'Douglas - fertilité moyenne'!AQ200*'Douglas - fertilité moyenne'!$F$21)</f>
        <v>0</v>
      </c>
      <c r="X216" s="188">
        <f>SUM('Chenes+Alisier - f. très forte'!AR200*'Chenes+Alisier - f. très forte'!$F$21,'Chenes+corm+merisier - f. forte'!AR200*'Chenes+corm+merisier - f. forte'!$F$21,'Charme - fertil.forte'!AR200*'Charme - fertil.forte'!$F$21,'Pin maritime - très forte'!AR200*'Pin maritime - très forte'!$F$21,'P. sylv.+laricio+séquoia -forte'!AR200*'P. sylv.+laricio+séquoia -forte'!$F$21,'Douglas - fertilité moyenne'!AR200*'Douglas - fertilité moyenne'!$F$21)</f>
        <v>0</v>
      </c>
      <c r="Y216" s="188">
        <f>SUM('Chenes+Alisier - f. très forte'!AS200*'Chenes+Alisier - f. très forte'!$F$21,'Chenes+corm+merisier - f. forte'!AS200*'Chenes+corm+merisier - f. forte'!$F$21,'Charme - fertil.forte'!AS200*'Charme - fertil.forte'!$F$21,'Pin maritime - très forte'!AS200*'Pin maritime - très forte'!$F$21,'P. sylv.+laricio+séquoia -forte'!AS200*'P. sylv.+laricio+séquoia -forte'!$F$21,'Douglas - fertilité moyenne'!AS200*'Douglas - fertilité moyenne'!$F$21)</f>
        <v>0</v>
      </c>
      <c r="Z216" s="331">
        <f>SUM('Chenes+Alisier - f. très forte'!AT200*'Chenes+Alisier - f. très forte'!$F$21,'Chenes+corm+merisier - f. forte'!AT200*'Chenes+corm+merisier - f. forte'!$F$21,'Charme - fertil.forte'!AT200*'Charme - fertil.forte'!$F$21,'Pin maritime - très forte'!AT200*'Pin maritime - très forte'!$F$21,'P. sylv.+laricio+séquoia -forte'!AT200*'P. sylv.+laricio+séquoia -forte'!$F$21,'Douglas - fertilité moyenne'!AT200*'Douglas - fertilité moyenne'!$F$21)</f>
        <v>0</v>
      </c>
      <c r="AA216" s="178">
        <f t="shared" si="33"/>
        <v>0</v>
      </c>
      <c r="AB216" s="179">
        <f t="shared" si="32"/>
        <v>0</v>
      </c>
      <c r="AC216" s="178"/>
      <c r="AD216" s="178"/>
    </row>
    <row r="217" spans="14:30">
      <c r="N217" s="71">
        <v>196</v>
      </c>
      <c r="O217" s="239"/>
      <c r="P217" s="180"/>
      <c r="Q217" s="240">
        <f t="shared" si="29"/>
        <v>940.00249999999994</v>
      </c>
      <c r="R217" s="180">
        <f t="shared" si="30"/>
        <v>19.270051249999998</v>
      </c>
      <c r="S217" s="180">
        <f>$L$11*(1+$L$9)^N217*'Récapitulatif des résultats'!$I$11</f>
        <v>0</v>
      </c>
      <c r="T217" s="241"/>
      <c r="U217" s="180"/>
      <c r="V217" s="249">
        <f t="shared" si="31"/>
        <v>0</v>
      </c>
      <c r="W217" s="188">
        <f>SUM('Chenes+Alisier - f. très forte'!AQ201*'Chenes+Alisier - f. très forte'!$F$21,'Chenes+corm+merisier - f. forte'!AQ201*'Chenes+corm+merisier - f. forte'!$F$21,'Charme - fertil.forte'!AQ201*'Charme - fertil.forte'!$F$21,'Pin maritime - très forte'!AQ201*'Pin maritime - très forte'!$F$21,'P. sylv.+laricio+séquoia -forte'!AQ201*'P. sylv.+laricio+séquoia -forte'!$F$21,'Douglas - fertilité moyenne'!AQ201*'Douglas - fertilité moyenne'!$F$21)</f>
        <v>0</v>
      </c>
      <c r="X217" s="188">
        <f>SUM('Chenes+Alisier - f. très forte'!AR201*'Chenes+Alisier - f. très forte'!$F$21,'Chenes+corm+merisier - f. forte'!AR201*'Chenes+corm+merisier - f. forte'!$F$21,'Charme - fertil.forte'!AR201*'Charme - fertil.forte'!$F$21,'Pin maritime - très forte'!AR201*'Pin maritime - très forte'!$F$21,'P. sylv.+laricio+séquoia -forte'!AR201*'P. sylv.+laricio+séquoia -forte'!$F$21,'Douglas - fertilité moyenne'!AR201*'Douglas - fertilité moyenne'!$F$21)</f>
        <v>0</v>
      </c>
      <c r="Y217" s="188">
        <f>SUM('Chenes+Alisier - f. très forte'!AS201*'Chenes+Alisier - f. très forte'!$F$21,'Chenes+corm+merisier - f. forte'!AS201*'Chenes+corm+merisier - f. forte'!$F$21,'Charme - fertil.forte'!AS201*'Charme - fertil.forte'!$F$21,'Pin maritime - très forte'!AS201*'Pin maritime - très forte'!$F$21,'P. sylv.+laricio+séquoia -forte'!AS201*'P. sylv.+laricio+séquoia -forte'!$F$21,'Douglas - fertilité moyenne'!AS201*'Douglas - fertilité moyenne'!$F$21)</f>
        <v>0</v>
      </c>
      <c r="Z217" s="331">
        <f>SUM('Chenes+Alisier - f. très forte'!AT201*'Chenes+Alisier - f. très forte'!$F$21,'Chenes+corm+merisier - f. forte'!AT201*'Chenes+corm+merisier - f. forte'!$F$21,'Charme - fertil.forte'!AT201*'Charme - fertil.forte'!$F$21,'Pin maritime - très forte'!AT201*'Pin maritime - très forte'!$F$21,'P. sylv.+laricio+séquoia -forte'!AT201*'P. sylv.+laricio+séquoia -forte'!$F$21,'Douglas - fertilité moyenne'!AT201*'Douglas - fertilité moyenne'!$F$21)</f>
        <v>0</v>
      </c>
      <c r="AA217" s="178">
        <f t="shared" si="33"/>
        <v>0</v>
      </c>
      <c r="AB217" s="179">
        <f t="shared" si="32"/>
        <v>0</v>
      </c>
      <c r="AC217" s="178"/>
      <c r="AD217" s="178"/>
    </row>
    <row r="218" spans="14:30">
      <c r="N218" s="71">
        <v>197</v>
      </c>
      <c r="O218" s="239"/>
      <c r="P218" s="180"/>
      <c r="Q218" s="240">
        <f t="shared" si="29"/>
        <v>940.00249999999994</v>
      </c>
      <c r="R218" s="180">
        <f t="shared" si="30"/>
        <v>19.270051249999998</v>
      </c>
      <c r="S218" s="180">
        <f>$L$11*(1+$L$9)^N218*'Récapitulatif des résultats'!$I$11</f>
        <v>0</v>
      </c>
      <c r="T218" s="241"/>
      <c r="U218" s="180"/>
      <c r="V218" s="249">
        <f t="shared" si="31"/>
        <v>0</v>
      </c>
      <c r="W218" s="188">
        <f>SUM('Chenes+Alisier - f. très forte'!AQ202*'Chenes+Alisier - f. très forte'!$F$21,'Chenes+corm+merisier - f. forte'!AQ202*'Chenes+corm+merisier - f. forte'!$F$21,'Charme - fertil.forte'!AQ202*'Charme - fertil.forte'!$F$21,'Pin maritime - très forte'!AQ202*'Pin maritime - très forte'!$F$21,'P. sylv.+laricio+séquoia -forte'!AQ202*'P. sylv.+laricio+séquoia -forte'!$F$21,'Douglas - fertilité moyenne'!AQ202*'Douglas - fertilité moyenne'!$F$21)</f>
        <v>0</v>
      </c>
      <c r="X218" s="188">
        <f>SUM('Chenes+Alisier - f. très forte'!AR202*'Chenes+Alisier - f. très forte'!$F$21,'Chenes+corm+merisier - f. forte'!AR202*'Chenes+corm+merisier - f. forte'!$F$21,'Charme - fertil.forte'!AR202*'Charme - fertil.forte'!$F$21,'Pin maritime - très forte'!AR202*'Pin maritime - très forte'!$F$21,'P. sylv.+laricio+séquoia -forte'!AR202*'P. sylv.+laricio+séquoia -forte'!$F$21,'Douglas - fertilité moyenne'!AR202*'Douglas - fertilité moyenne'!$F$21)</f>
        <v>0</v>
      </c>
      <c r="Y218" s="188">
        <f>SUM('Chenes+Alisier - f. très forte'!AS202*'Chenes+Alisier - f. très forte'!$F$21,'Chenes+corm+merisier - f. forte'!AS202*'Chenes+corm+merisier - f. forte'!$F$21,'Charme - fertil.forte'!AS202*'Charme - fertil.forte'!$F$21,'Pin maritime - très forte'!AS202*'Pin maritime - très forte'!$F$21,'P. sylv.+laricio+séquoia -forte'!AS202*'P. sylv.+laricio+séquoia -forte'!$F$21,'Douglas - fertilité moyenne'!AS202*'Douglas - fertilité moyenne'!$F$21)</f>
        <v>0</v>
      </c>
      <c r="Z218" s="331">
        <f>SUM('Chenes+Alisier - f. très forte'!AT202*'Chenes+Alisier - f. très forte'!$F$21,'Chenes+corm+merisier - f. forte'!AT202*'Chenes+corm+merisier - f. forte'!$F$21,'Charme - fertil.forte'!AT202*'Charme - fertil.forte'!$F$21,'Pin maritime - très forte'!AT202*'Pin maritime - très forte'!$F$21,'P. sylv.+laricio+séquoia -forte'!AT202*'P. sylv.+laricio+séquoia -forte'!$F$21,'Douglas - fertilité moyenne'!AT202*'Douglas - fertilité moyenne'!$F$21)</f>
        <v>0</v>
      </c>
      <c r="AA218" s="178">
        <f t="shared" si="33"/>
        <v>0</v>
      </c>
      <c r="AB218" s="179">
        <f t="shared" si="32"/>
        <v>0</v>
      </c>
      <c r="AC218" s="178"/>
      <c r="AD218" s="178"/>
    </row>
    <row r="219" spans="14:30">
      <c r="N219" s="71">
        <v>198</v>
      </c>
      <c r="O219" s="239"/>
      <c r="P219" s="180"/>
      <c r="Q219" s="240">
        <f t="shared" si="29"/>
        <v>940.00249999999994</v>
      </c>
      <c r="R219" s="180">
        <f t="shared" si="30"/>
        <v>19.270051249999998</v>
      </c>
      <c r="S219" s="180">
        <f>$L$11*(1+$L$9)^N219*'Récapitulatif des résultats'!$I$11</f>
        <v>0</v>
      </c>
      <c r="T219" s="241"/>
      <c r="U219" s="180"/>
      <c r="V219" s="249">
        <f t="shared" si="31"/>
        <v>0</v>
      </c>
      <c r="W219" s="188">
        <f>SUM('Chenes+Alisier - f. très forte'!AQ203*'Chenes+Alisier - f. très forte'!$F$21,'Chenes+corm+merisier - f. forte'!AQ203*'Chenes+corm+merisier - f. forte'!$F$21,'Charme - fertil.forte'!AQ203*'Charme - fertil.forte'!$F$21,'Pin maritime - très forte'!AQ203*'Pin maritime - très forte'!$F$21,'P. sylv.+laricio+séquoia -forte'!AQ203*'P. sylv.+laricio+séquoia -forte'!$F$21,'Douglas - fertilité moyenne'!AQ203*'Douglas - fertilité moyenne'!$F$21)</f>
        <v>0</v>
      </c>
      <c r="X219" s="188">
        <f>SUM('Chenes+Alisier - f. très forte'!AR203*'Chenes+Alisier - f. très forte'!$F$21,'Chenes+corm+merisier - f. forte'!AR203*'Chenes+corm+merisier - f. forte'!$F$21,'Charme - fertil.forte'!AR203*'Charme - fertil.forte'!$F$21,'Pin maritime - très forte'!AR203*'Pin maritime - très forte'!$F$21,'P. sylv.+laricio+séquoia -forte'!AR203*'P. sylv.+laricio+séquoia -forte'!$F$21,'Douglas - fertilité moyenne'!AR203*'Douglas - fertilité moyenne'!$F$21)</f>
        <v>0</v>
      </c>
      <c r="Y219" s="188">
        <f>SUM('Chenes+Alisier - f. très forte'!AS203*'Chenes+Alisier - f. très forte'!$F$21,'Chenes+corm+merisier - f. forte'!AS203*'Chenes+corm+merisier - f. forte'!$F$21,'Charme - fertil.forte'!AS203*'Charme - fertil.forte'!$F$21,'Pin maritime - très forte'!AS203*'Pin maritime - très forte'!$F$21,'P. sylv.+laricio+séquoia -forte'!AS203*'P. sylv.+laricio+séquoia -forte'!$F$21,'Douglas - fertilité moyenne'!AS203*'Douglas - fertilité moyenne'!$F$21)</f>
        <v>0</v>
      </c>
      <c r="Z219" s="331">
        <f>SUM('Chenes+Alisier - f. très forte'!AT203*'Chenes+Alisier - f. très forte'!$F$21,'Chenes+corm+merisier - f. forte'!AT203*'Chenes+corm+merisier - f. forte'!$F$21,'Charme - fertil.forte'!AT203*'Charme - fertil.forte'!$F$21,'Pin maritime - très forte'!AT203*'Pin maritime - très forte'!$F$21,'P. sylv.+laricio+séquoia -forte'!AT203*'P. sylv.+laricio+séquoia -forte'!$F$21,'Douglas - fertilité moyenne'!AT203*'Douglas - fertilité moyenne'!$F$21)</f>
        <v>0</v>
      </c>
      <c r="AA219" s="178">
        <f t="shared" si="33"/>
        <v>0</v>
      </c>
      <c r="AB219" s="179">
        <f t="shared" si="32"/>
        <v>0</v>
      </c>
      <c r="AC219" s="178"/>
      <c r="AD219" s="178"/>
    </row>
    <row r="220" spans="14:30">
      <c r="N220" s="71">
        <v>199</v>
      </c>
      <c r="O220" s="239"/>
      <c r="P220" s="180"/>
      <c r="Q220" s="240">
        <f t="shared" si="29"/>
        <v>940.00249999999994</v>
      </c>
      <c r="R220" s="180">
        <f t="shared" si="30"/>
        <v>19.270051249999998</v>
      </c>
      <c r="S220" s="180">
        <f>$L$11*(1+$L$9)^N220*'Récapitulatif des résultats'!$I$11</f>
        <v>0</v>
      </c>
      <c r="T220" s="241"/>
      <c r="U220" s="180"/>
      <c r="V220" s="249">
        <f t="shared" si="31"/>
        <v>0</v>
      </c>
      <c r="W220" s="188">
        <f>SUM('Chenes+Alisier - f. très forte'!AQ204*'Chenes+Alisier - f. très forte'!$F$21,'Chenes+corm+merisier - f. forte'!AQ204*'Chenes+corm+merisier - f. forte'!$F$21,'Charme - fertil.forte'!AQ204*'Charme - fertil.forte'!$F$21,'Pin maritime - très forte'!AQ204*'Pin maritime - très forte'!$F$21,'P. sylv.+laricio+séquoia -forte'!AQ204*'P. sylv.+laricio+séquoia -forte'!$F$21,'Douglas - fertilité moyenne'!AQ204*'Douglas - fertilité moyenne'!$F$21)</f>
        <v>0</v>
      </c>
      <c r="X220" s="188">
        <f>SUM('Chenes+Alisier - f. très forte'!AR204*'Chenes+Alisier - f. très forte'!$F$21,'Chenes+corm+merisier - f. forte'!AR204*'Chenes+corm+merisier - f. forte'!$F$21,'Charme - fertil.forte'!AR204*'Charme - fertil.forte'!$F$21,'Pin maritime - très forte'!AR204*'Pin maritime - très forte'!$F$21,'P. sylv.+laricio+séquoia -forte'!AR204*'P. sylv.+laricio+séquoia -forte'!$F$21,'Douglas - fertilité moyenne'!AR204*'Douglas - fertilité moyenne'!$F$21)</f>
        <v>0</v>
      </c>
      <c r="Y220" s="188">
        <f>SUM('Chenes+Alisier - f. très forte'!AS204*'Chenes+Alisier - f. très forte'!$F$21,'Chenes+corm+merisier - f. forte'!AS204*'Chenes+corm+merisier - f. forte'!$F$21,'Charme - fertil.forte'!AS204*'Charme - fertil.forte'!$F$21,'Pin maritime - très forte'!AS204*'Pin maritime - très forte'!$F$21,'P. sylv.+laricio+séquoia -forte'!AS204*'P. sylv.+laricio+séquoia -forte'!$F$21,'Douglas - fertilité moyenne'!AS204*'Douglas - fertilité moyenne'!$F$21)</f>
        <v>0</v>
      </c>
      <c r="Z220" s="331">
        <f>SUM('Chenes+Alisier - f. très forte'!AT204*'Chenes+Alisier - f. très forte'!$F$21,'Chenes+corm+merisier - f. forte'!AT204*'Chenes+corm+merisier - f. forte'!$F$21,'Charme - fertil.forte'!AT204*'Charme - fertil.forte'!$F$21,'Pin maritime - très forte'!AT204*'Pin maritime - très forte'!$F$21,'P. sylv.+laricio+séquoia -forte'!AT204*'P. sylv.+laricio+séquoia -forte'!$F$21,'Douglas - fertilité moyenne'!AT204*'Douglas - fertilité moyenne'!$F$21)</f>
        <v>0</v>
      </c>
      <c r="AA220" s="178">
        <f t="shared" si="33"/>
        <v>0</v>
      </c>
      <c r="AB220" s="179">
        <f t="shared" si="32"/>
        <v>0</v>
      </c>
      <c r="AC220" s="178"/>
      <c r="AD220" s="178"/>
    </row>
    <row r="221" spans="14:30">
      <c r="N221" s="72">
        <v>200</v>
      </c>
      <c r="O221" s="182"/>
      <c r="P221" s="182"/>
      <c r="Q221" s="242">
        <f t="shared" si="29"/>
        <v>940.00249999999994</v>
      </c>
      <c r="R221" s="243">
        <f t="shared" si="30"/>
        <v>19.270051249999998</v>
      </c>
      <c r="S221" s="243">
        <f>$L$11*(1+$L$9)^N221*'Récapitulatif des résultats'!$I$11</f>
        <v>0</v>
      </c>
      <c r="T221" s="244"/>
      <c r="U221" s="182"/>
      <c r="V221" s="250">
        <f t="shared" si="31"/>
        <v>0</v>
      </c>
      <c r="W221" s="251">
        <f>SUM('Chenes+Alisier - f. très forte'!AQ205*'Chenes+Alisier - f. très forte'!$F$21,'Chenes+corm+merisier - f. forte'!AQ205*'Chenes+corm+merisier - f. forte'!$F$21,'Charme - fertil.forte'!AQ205*'Charme - fertil.forte'!$F$21,'Pin maritime - très forte'!AQ205*'Pin maritime - très forte'!$F$21,'P. sylv.+laricio+séquoia -forte'!AQ205*'P. sylv.+laricio+séquoia -forte'!$F$21,'Douglas - fertilité moyenne'!AQ205*'Douglas - fertilité moyenne'!$F$21)</f>
        <v>0</v>
      </c>
      <c r="X221" s="251">
        <f>SUM('Chenes+Alisier - f. très forte'!AR205*'Chenes+Alisier - f. très forte'!$F$21,'Chenes+corm+merisier - f. forte'!AR205*'Chenes+corm+merisier - f. forte'!$F$21,'Charme - fertil.forte'!AR205*'Charme - fertil.forte'!$F$21,'Pin maritime - très forte'!AR205*'Pin maritime - très forte'!$F$21,'P. sylv.+laricio+séquoia -forte'!AR205*'P. sylv.+laricio+séquoia -forte'!$F$21,'Douglas - fertilité moyenne'!AR205*'Douglas - fertilité moyenne'!$F$21)</f>
        <v>0</v>
      </c>
      <c r="Y221" s="251">
        <f>SUM('Chenes+Alisier - f. très forte'!AS205*'Chenes+Alisier - f. très forte'!$F$21,'Chenes+corm+merisier - f. forte'!AS205*'Chenes+corm+merisier - f. forte'!$F$21,'Charme - fertil.forte'!AS205*'Charme - fertil.forte'!$F$21,'Pin maritime - très forte'!AS205*'Pin maritime - très forte'!$F$21,'P. sylv.+laricio+séquoia -forte'!AS205*'P. sylv.+laricio+séquoia -forte'!$F$21,'Douglas - fertilité moyenne'!AS205*'Douglas - fertilité moyenne'!$F$21)</f>
        <v>0</v>
      </c>
      <c r="Z221" s="332">
        <f>SUM('Chenes+Alisier - f. très forte'!AT205*'Chenes+Alisier - f. très forte'!$F$21,'Chenes+corm+merisier - f. forte'!AT205*'Chenes+corm+merisier - f. forte'!$F$21,'Charme - fertil.forte'!AT205*'Charme - fertil.forte'!$F$21,'Pin maritime - très forte'!AT205*'Pin maritime - très forte'!$F$21,'P. sylv.+laricio+séquoia -forte'!AT205*'P. sylv.+laricio+séquoia -forte'!$F$21,'Douglas - fertilité moyenne'!AT205*'Douglas - fertilité moyenne'!$F$21)</f>
        <v>0</v>
      </c>
      <c r="AA221" s="252">
        <f t="shared" si="33"/>
        <v>0</v>
      </c>
      <c r="AB221" s="253">
        <f t="shared" si="32"/>
        <v>0</v>
      </c>
      <c r="AC221" s="178"/>
      <c r="AD221" s="178"/>
    </row>
  </sheetData>
  <mergeCells count="28">
    <mergeCell ref="AC3:AE3"/>
    <mergeCell ref="T3:V3"/>
    <mergeCell ref="C10:C15"/>
    <mergeCell ref="C9:D9"/>
    <mergeCell ref="H53:K53"/>
    <mergeCell ref="H69:K69"/>
    <mergeCell ref="H85:K85"/>
    <mergeCell ref="H101:K101"/>
    <mergeCell ref="V19:AA19"/>
    <mergeCell ref="N19:N20"/>
    <mergeCell ref="O19:T19"/>
    <mergeCell ref="B85:G85"/>
    <mergeCell ref="B101:G101"/>
    <mergeCell ref="B21:G21"/>
    <mergeCell ref="B37:G37"/>
    <mergeCell ref="B53:G53"/>
    <mergeCell ref="B69:G69"/>
    <mergeCell ref="A40:A48"/>
    <mergeCell ref="N3:P3"/>
    <mergeCell ref="Q3:S3"/>
    <mergeCell ref="H21:K21"/>
    <mergeCell ref="H37:K37"/>
    <mergeCell ref="N18:AB18"/>
    <mergeCell ref="B20:L20"/>
    <mergeCell ref="I3:I14"/>
    <mergeCell ref="C3:D3"/>
    <mergeCell ref="W3:Y3"/>
    <mergeCell ref="Z3:AB3"/>
  </mergeCells>
  <pageMargins left="0.7" right="0.7" top="0.75" bottom="0.75" header="0.3" footer="0.3"/>
  <pageSetup paperSize="9" scale="21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</vt:i4>
      </vt:variant>
    </vt:vector>
  </HeadingPairs>
  <TitlesOfParts>
    <vt:vector size="10" baseType="lpstr">
      <vt:lpstr>Tables de production employées</vt:lpstr>
      <vt:lpstr>Récapitulatif des résultats</vt:lpstr>
      <vt:lpstr>Chenes+Alisier - f. très forte</vt:lpstr>
      <vt:lpstr>Chenes+corm+merisier - f. forte</vt:lpstr>
      <vt:lpstr>Charme - fertil.forte</vt:lpstr>
      <vt:lpstr>Pin maritime - très forte</vt:lpstr>
      <vt:lpstr>P. sylv.+laricio+séquoia -forte</vt:lpstr>
      <vt:lpstr>Douglas - fertilité moyenne</vt:lpstr>
      <vt:lpstr>VAN</vt:lpstr>
      <vt:lpstr>'Tables de production employées'!Zone_d_impression</vt:lpstr>
    </vt:vector>
  </TitlesOfParts>
  <Company>ICADE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MARTAL Thomas</dc:creator>
  <cp:lastModifiedBy>Microsoft Office User</cp:lastModifiedBy>
  <cp:lastPrinted>2021-07-21T13:23:27Z</cp:lastPrinted>
  <dcterms:created xsi:type="dcterms:W3CDTF">2020-02-20T14:47:46Z</dcterms:created>
  <dcterms:modified xsi:type="dcterms:W3CDTF">2021-07-21T13:29:10Z</dcterms:modified>
</cp:coreProperties>
</file>