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rte\Dropbox (Forinvest)\Fransylva Services\LBC\Dossiers LBC\DIEUDONNE\"/>
    </mc:Choice>
  </mc:AlternateContent>
  <xr:revisionPtr revIDLastSave="0" documentId="13_ncr:1_{86D18A14-5CAF-452C-86A7-F8DC13175179}" xr6:coauthVersionLast="47" xr6:coauthVersionMax="47" xr10:uidLastSave="{00000000-0000-0000-0000-000000000000}"/>
  <bookViews>
    <workbookView xWindow="30" yWindow="0" windowWidth="14910" windowHeight="1042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R113" i="6" s="1"/>
  <c r="R114" i="6" s="1"/>
  <c r="R115" i="6" s="1"/>
  <c r="R116" i="6" s="1"/>
  <c r="R117" i="6" s="1"/>
  <c r="R118" i="6" s="1"/>
  <c r="R119" i="6" s="1"/>
  <c r="R120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Z8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5" i="2" l="1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Q5" i="2" l="1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GQ6" i="2" l="1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GQ7" i="2" l="1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GQ8" i="2" l="1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GQ9" i="2" l="1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FU10" i="2" l="1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GQ11" i="2" l="1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GQ12" i="2" l="1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GQ13" i="2" l="1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GQ14" i="2" l="1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GQ15" i="2" l="1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GQ16" i="2" l="1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GQ17" i="2" l="1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GQ18" i="2" l="1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GQ19" i="2" l="1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GQ20" i="2" l="1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GQ21" i="2" l="1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GQ22" i="2" l="1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GQ23" i="2" l="1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GQ24" i="2" l="1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GQ25" i="2" l="1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GQ26" i="2" l="1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GQ27" i="2" l="1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GQ28" i="2" l="1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GQ29" i="2" l="1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GQ30" i="2" l="1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GQ31" i="2" l="1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GQ32" i="2" l="1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GQ33" i="2" l="1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GQ34" i="2" l="1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GQ35" i="2" l="1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GQ36" i="2" l="1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GQ37" i="2" l="1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GQ38" i="2" l="1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GQ39" i="2" l="1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GQ40" i="2" l="1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GQ41" i="2" l="1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GQ42" i="2" l="1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GQ43" i="2" l="1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GQ44" i="2" l="1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GQ45" i="2" l="1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GQ46" i="2" l="1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GQ47" i="2" l="1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GQ48" i="2" l="1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GQ49" i="2" l="1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GQ50" i="2" l="1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GQ51" i="2" l="1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GQ52" i="2" l="1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GQ53" i="2" l="1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GQ54" i="2" l="1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GQ55" i="2" l="1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GQ56" i="2" l="1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GQ57" i="2" l="1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GQ58" i="2" l="1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GQ59" i="2" l="1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GQ60" i="2" l="1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GQ61" i="2" l="1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GQ62" i="2" l="1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GQ63" i="2" l="1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GQ64" i="2" l="1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GQ65" i="2" l="1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GQ66" i="2" l="1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GQ67" i="2" l="1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GQ68" i="2" l="1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GQ69" i="2" l="1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GQ70" i="2" l="1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GQ71" i="2" l="1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GQ72" i="2" l="1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GQ73" i="2" l="1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GQ74" i="2" l="1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GQ75" i="2" l="1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GQ76" i="2" l="1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GQ77" i="2" l="1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GQ78" i="2" l="1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GQ79" i="2" l="1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GQ80" i="2" l="1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GQ81" i="2" l="1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GQ82" i="2" l="1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GQ83" i="2" l="1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GQ84" i="2" l="1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GQ85" i="2" l="1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GQ86" i="2" l="1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GQ87" i="2" l="1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GQ88" i="2" l="1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GQ89" i="2" l="1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GQ90" i="2" l="1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GQ91" i="2" l="1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GQ92" i="2" l="1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GQ93" i="2" l="1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GQ94" i="2" l="1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GQ95" i="2" l="1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GQ96" i="2" l="1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GQ97" i="2" l="1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GQ98" i="2" l="1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GQ99" i="2" l="1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GQ100" i="2" l="1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GQ101" i="2" l="1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GQ102" i="2" l="1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GQ103" i="2" l="1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GQ104" i="2" l="1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GQ105" i="2" l="1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GQ106" i="2" l="1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GQ107" i="2" l="1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GQ108" i="2" l="1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GQ109" i="2" l="1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GQ110" i="2" l="1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GQ111" i="2" l="1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GQ112" i="2" l="1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GQ113" i="2" l="1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GQ114" i="2" l="1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GQ115" i="2" l="1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GQ116" i="2" l="1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GQ117" i="2" l="1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GQ118" i="2" l="1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GQ119" i="2" l="1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GQ120" i="2" l="1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GQ121" i="2" l="1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GQ122" i="2" l="1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GQ123" i="2" l="1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GQ124" i="2" l="1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GQ125" i="2" l="1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GQ126" i="2" l="1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GQ127" i="2" l="1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GQ128" i="2" l="1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GQ129" i="2" l="1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GQ130" i="2" l="1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GQ131" i="2" l="1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GQ132" i="2" l="1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GQ133" i="2" l="1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GQ134" i="2" l="1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GQ135" i="2" l="1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GQ136" i="2" l="1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GQ137" i="2" l="1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GQ138" i="2" l="1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GQ139" i="2" l="1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GQ140" i="2" l="1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GQ141" i="2" l="1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GQ142" i="2" l="1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GQ143" i="2" l="1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GQ144" i="2" l="1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GQ145" i="2" l="1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GQ146" i="2" l="1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GQ147" i="2" l="1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GQ148" i="2" l="1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GQ149" i="2" l="1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GQ150" i="2" l="1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GQ151" i="2" l="1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4" i="6" l="1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GQ153" i="2" l="1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DG152" i="2"/>
  <c r="GL152" i="2"/>
  <c r="GO151" i="2"/>
  <c r="GN152" i="2"/>
  <c r="FS152" i="2"/>
  <c r="HI152" i="2"/>
  <c r="CK152" i="2"/>
  <c r="CN151" i="2"/>
  <c r="HG152" i="2"/>
  <c r="HJ151" i="2"/>
  <c r="EV152" i="2"/>
  <c r="EY151" i="2"/>
  <c r="EA152" i="2"/>
  <c r="ED151" i="2"/>
  <c r="AA152" i="2"/>
  <c r="AB152" i="2"/>
  <c r="AP153" i="2"/>
  <c r="AF153" i="2"/>
  <c r="AQ153" i="2"/>
  <c r="AG153" i="2"/>
  <c r="V153" i="2"/>
  <c r="U153" i="2"/>
  <c r="Y153" i="2"/>
  <c r="AX149" i="2"/>
  <c r="AU150" i="2"/>
  <c r="AW151" i="2"/>
  <c r="AV150" i="2"/>
  <c r="AV151" i="2" s="1"/>
  <c r="Z152" i="2"/>
  <c r="AC151" i="2"/>
  <c r="A155" i="2" l="1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W153" i="2"/>
  <c r="EW154" i="2" s="1"/>
  <c r="HH153" i="2"/>
  <c r="HI153" i="2"/>
  <c r="HI154" i="2" s="1"/>
  <c r="GN153" i="2"/>
  <c r="GM153" i="2"/>
  <c r="GM154" i="2" s="1"/>
  <c r="FR153" i="2"/>
  <c r="FR154" i="2" s="1"/>
  <c r="EC153" i="2"/>
  <c r="DH153" i="2"/>
  <c r="FS153" i="2"/>
  <c r="FS154" i="2" s="1"/>
  <c r="DG153" i="2"/>
  <c r="DG154" i="2" s="1"/>
  <c r="CM153" i="2"/>
  <c r="CM154" i="2" s="1"/>
  <c r="EA153" i="2"/>
  <c r="ED152" i="2"/>
  <c r="EB153" i="2"/>
  <c r="CL153" i="2"/>
  <c r="FT152" i="2"/>
  <c r="FQ153" i="2"/>
  <c r="FQ154" i="2" s="1"/>
  <c r="EX153" i="2"/>
  <c r="EV153" i="2"/>
  <c r="EV154" i="2" s="1"/>
  <c r="EY152" i="2"/>
  <c r="CN152" i="2"/>
  <c r="CK153" i="2"/>
  <c r="GO152" i="2"/>
  <c r="GL153" i="2"/>
  <c r="GL154" i="2" s="1"/>
  <c r="HG153" i="2"/>
  <c r="HJ152" i="2"/>
  <c r="DF153" i="2"/>
  <c r="DF154" i="2" s="1"/>
  <c r="DI152" i="2"/>
  <c r="AA153" i="2"/>
  <c r="AB153" i="2"/>
  <c r="AX150" i="2"/>
  <c r="AU151" i="2"/>
  <c r="Z153" i="2"/>
  <c r="AC152" i="2"/>
  <c r="Z154" i="2" l="1"/>
  <c r="AB154" i="2"/>
  <c r="DH154" i="2"/>
  <c r="CL154" i="2"/>
  <c r="EX154" i="2"/>
  <c r="HG154" i="2"/>
  <c r="HH154" i="2"/>
  <c r="HJ154" i="2" s="1"/>
  <c r="AA154" i="2"/>
  <c r="EC154" i="2"/>
  <c r="EB154" i="2"/>
  <c r="ED154" i="2" s="1"/>
  <c r="CK154" i="2"/>
  <c r="CN154" i="2" s="1"/>
  <c r="EA154" i="2"/>
  <c r="GN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GL155" i="2" s="1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DH155" i="2" s="1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CM155" i="2" s="1"/>
  <c r="AS155" i="2"/>
  <c r="DA155" i="2"/>
  <c r="BW155" i="2"/>
  <c r="BN155" i="2"/>
  <c r="BA155" i="2"/>
  <c r="AP155" i="2"/>
  <c r="AF155" i="2"/>
  <c r="W155" i="2"/>
  <c r="A156" i="2"/>
  <c r="EB155" i="2"/>
  <c r="H193" i="2"/>
  <c r="AC154" i="2"/>
  <c r="EY154" i="2"/>
  <c r="FT154" i="2"/>
  <c r="D194" i="2"/>
  <c r="G194" i="2" s="1"/>
  <c r="DI154" i="2"/>
  <c r="DI153" i="2"/>
  <c r="FT153" i="2"/>
  <c r="CN153" i="2"/>
  <c r="HJ153" i="2"/>
  <c r="GO153" i="2"/>
  <c r="EY153" i="2"/>
  <c r="ED153" i="2"/>
  <c r="AW152" i="2"/>
  <c r="AW153" i="2" s="1"/>
  <c r="AW154" i="2" s="1"/>
  <c r="AW155" i="2" s="1"/>
  <c r="AV152" i="2"/>
  <c r="AC153" i="2"/>
  <c r="AX151" i="2"/>
  <c r="AU152" i="2"/>
  <c r="DF155" i="2" l="1"/>
  <c r="FQ155" i="2"/>
  <c r="CL155" i="2"/>
  <c r="EX155" i="2"/>
  <c r="EC155" i="2"/>
  <c r="EV155" i="2"/>
  <c r="EY155" i="2" s="1"/>
  <c r="GN155" i="2"/>
  <c r="GO154" i="2"/>
  <c r="Z155" i="2"/>
  <c r="CK155" i="2"/>
  <c r="CN155" i="2" s="1"/>
  <c r="GM155" i="2"/>
  <c r="HI155" i="2"/>
  <c r="HG155" i="2"/>
  <c r="FR155" i="2"/>
  <c r="FS155" i="2"/>
  <c r="HH155" i="2"/>
  <c r="DG155" i="2"/>
  <c r="DI155" i="2" s="1"/>
  <c r="EW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V153" i="2"/>
  <c r="AV154" i="2" s="1"/>
  <c r="AV155" i="2" s="1"/>
  <c r="AV156" i="2" s="1"/>
  <c r="AX152" i="2"/>
  <c r="AU153" i="2"/>
  <c r="AU154" i="2" s="1"/>
  <c r="GO155" i="2" l="1"/>
  <c r="EV156" i="2"/>
  <c r="CK156" i="2"/>
  <c r="HJ155" i="2"/>
  <c r="AB156" i="2"/>
  <c r="EA156" i="2"/>
  <c r="DF156" i="2"/>
  <c r="DG156" i="2"/>
  <c r="HG156" i="2"/>
  <c r="GL156" i="2"/>
  <c r="FS156" i="2"/>
  <c r="FQ156" i="2"/>
  <c r="FT155" i="2"/>
  <c r="CL156" i="2"/>
  <c r="GM156" i="2"/>
  <c r="Z156" i="2"/>
  <c r="AC155" i="2"/>
  <c r="AW156" i="2"/>
  <c r="GN156" i="2"/>
  <c r="CM156" i="2"/>
  <c r="EW156" i="2"/>
  <c r="EX156" i="2"/>
  <c r="FR156" i="2"/>
  <c r="FT156" i="2" s="1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DH156" i="2"/>
  <c r="AA156" i="2"/>
  <c r="EB156" i="2"/>
  <c r="EC156" i="2"/>
  <c r="HH156" i="2"/>
  <c r="HI156" i="2"/>
  <c r="H195" i="2"/>
  <c r="AX154" i="2"/>
  <c r="AU155" i="2"/>
  <c r="D196" i="2"/>
  <c r="G196" i="2" s="1"/>
  <c r="AX153" i="2"/>
  <c r="HH157" i="2" l="1"/>
  <c r="DF157" i="2"/>
  <c r="CN156" i="2"/>
  <c r="DH157" i="2"/>
  <c r="EC157" i="2"/>
  <c r="CK157" i="2"/>
  <c r="EV157" i="2"/>
  <c r="EB157" i="2"/>
  <c r="EA157" i="2"/>
  <c r="DI156" i="2"/>
  <c r="GO156" i="2"/>
  <c r="EY156" i="2"/>
  <c r="CL157" i="2"/>
  <c r="HG157" i="2"/>
  <c r="GL157" i="2"/>
  <c r="FS157" i="2"/>
  <c r="FQ157" i="2"/>
  <c r="HJ156" i="2"/>
  <c r="AB157" i="2"/>
  <c r="GM157" i="2"/>
  <c r="ED156" i="2"/>
  <c r="AA157" i="2"/>
  <c r="DG157" i="2"/>
  <c r="DI157" i="2" s="1"/>
  <c r="HI157" i="2"/>
  <c r="HJ157" i="2" s="1"/>
  <c r="Z157" i="2"/>
  <c r="AC156" i="2"/>
  <c r="AV157" i="2"/>
  <c r="FR157" i="2"/>
  <c r="GN157" i="2"/>
  <c r="EX157" i="2"/>
  <c r="CM157" i="2"/>
  <c r="AW157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HH158" i="2" s="1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EW157" i="2"/>
  <c r="H196" i="2"/>
  <c r="AX155" i="2"/>
  <c r="AU156" i="2"/>
  <c r="D197" i="2"/>
  <c r="G197" i="2" s="1"/>
  <c r="EW158" i="2" l="1"/>
  <c r="ED157" i="2"/>
  <c r="CN157" i="2"/>
  <c r="EB158" i="2"/>
  <c r="EV158" i="2"/>
  <c r="DF158" i="2"/>
  <c r="AC157" i="2"/>
  <c r="EA158" i="2"/>
  <c r="ED158" i="2" s="1"/>
  <c r="HG158" i="2"/>
  <c r="GO157" i="2"/>
  <c r="GL158" i="2"/>
  <c r="FQ158" i="2"/>
  <c r="FT157" i="2"/>
  <c r="FS158" i="2"/>
  <c r="HI158" i="2"/>
  <c r="AB158" i="2"/>
  <c r="CL158" i="2"/>
  <c r="GM158" i="2"/>
  <c r="CK158" i="2"/>
  <c r="DH158" i="2"/>
  <c r="AA158" i="2"/>
  <c r="Z158" i="2"/>
  <c r="EY157" i="2"/>
  <c r="AV158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CM158" i="2"/>
  <c r="GN158" i="2"/>
  <c r="EX158" i="2"/>
  <c r="EX159" i="2" s="1"/>
  <c r="FR158" i="2"/>
  <c r="DG158" i="2"/>
  <c r="DG159" i="2" s="1"/>
  <c r="AW158" i="2"/>
  <c r="H197" i="2"/>
  <c r="AX156" i="2"/>
  <c r="AU157" i="2"/>
  <c r="D198" i="2"/>
  <c r="G198" i="2" s="1"/>
  <c r="EV159" i="2"/>
  <c r="DF159" i="2"/>
  <c r="FR159" i="2" l="1"/>
  <c r="EB159" i="2"/>
  <c r="EA159" i="2"/>
  <c r="DI158" i="2"/>
  <c r="GN159" i="2"/>
  <c r="CK159" i="2"/>
  <c r="AW159" i="2"/>
  <c r="HJ158" i="2"/>
  <c r="EW159" i="2"/>
  <c r="GO158" i="2"/>
  <c r="HG159" i="2"/>
  <c r="GL159" i="2"/>
  <c r="FQ159" i="2"/>
  <c r="FT158" i="2"/>
  <c r="FS159" i="2"/>
  <c r="HI159" i="2"/>
  <c r="HH159" i="2"/>
  <c r="CM159" i="2"/>
  <c r="GM159" i="2"/>
  <c r="EY158" i="2"/>
  <c r="AB159" i="2"/>
  <c r="DH159" i="2"/>
  <c r="EC159" i="2"/>
  <c r="ED159" i="2" s="1"/>
  <c r="Z159" i="2"/>
  <c r="CL159" i="2"/>
  <c r="AA159" i="2"/>
  <c r="AC158" i="2"/>
  <c r="CN158" i="2"/>
  <c r="AV159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EV160" i="2" s="1"/>
  <c r="DZ160" i="2"/>
  <c r="DB160" i="2"/>
  <c r="DF160" i="2" s="1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AU158" i="2"/>
  <c r="EY159" i="2"/>
  <c r="DI159" i="2"/>
  <c r="CN159" i="2" l="1"/>
  <c r="FT159" i="2"/>
  <c r="GO159" i="2"/>
  <c r="EC160" i="2"/>
  <c r="CK160" i="2"/>
  <c r="Z160" i="2"/>
  <c r="EW160" i="2"/>
  <c r="AC159" i="2"/>
  <c r="HJ159" i="2"/>
  <c r="GN160" i="2"/>
  <c r="FS160" i="2"/>
  <c r="HH160" i="2"/>
  <c r="EA160" i="2"/>
  <c r="HG160" i="2"/>
  <c r="FQ160" i="2"/>
  <c r="FR160" i="2"/>
  <c r="DH160" i="2"/>
  <c r="CM160" i="2"/>
  <c r="GM160" i="2"/>
  <c r="HI160" i="2"/>
  <c r="GL160" i="2"/>
  <c r="AA160" i="2"/>
  <c r="AV160" i="2"/>
  <c r="EB160" i="2"/>
  <c r="ED160" i="2" s="1"/>
  <c r="AW160" i="2"/>
  <c r="CL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V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DG160" i="2"/>
  <c r="DG161" i="2" s="1"/>
  <c r="EX160" i="2"/>
  <c r="H199" i="2"/>
  <c r="AX158" i="2"/>
  <c r="AU159" i="2"/>
  <c r="D200" i="2"/>
  <c r="G200" i="2" s="1"/>
  <c r="CN160" i="2" l="1"/>
  <c r="DF161" i="2"/>
  <c r="CK161" i="2"/>
  <c r="EX161" i="2"/>
  <c r="EA161" i="2"/>
  <c r="EY160" i="2"/>
  <c r="GL161" i="2"/>
  <c r="FR161" i="2"/>
  <c r="HJ160" i="2"/>
  <c r="FT160" i="2"/>
  <c r="FQ161" i="2"/>
  <c r="GM161" i="2"/>
  <c r="GO160" i="2"/>
  <c r="HG161" i="2"/>
  <c r="CM161" i="2"/>
  <c r="EC161" i="2"/>
  <c r="DH161" i="2"/>
  <c r="HI161" i="2"/>
  <c r="Z161" i="2"/>
  <c r="EW161" i="2"/>
  <c r="EY161" i="2" s="1"/>
  <c r="FS161" i="2"/>
  <c r="AC160" i="2"/>
  <c r="DI160" i="2"/>
  <c r="AA161" i="2"/>
  <c r="AV161" i="2"/>
  <c r="GN161" i="2"/>
  <c r="CL161" i="2"/>
  <c r="AW161" i="2"/>
  <c r="EB161" i="2"/>
  <c r="HH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DF162" i="2" s="1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U160" i="2"/>
  <c r="AX159" i="2"/>
  <c r="EC162" i="2" l="1"/>
  <c r="ED161" i="2"/>
  <c r="EV162" i="2"/>
  <c r="DI161" i="2"/>
  <c r="CM162" i="2"/>
  <c r="CN161" i="2"/>
  <c r="Z162" i="2"/>
  <c r="GO161" i="2"/>
  <c r="EA162" i="2"/>
  <c r="AC161" i="2"/>
  <c r="EW162" i="2"/>
  <c r="HJ161" i="2"/>
  <c r="FT161" i="2"/>
  <c r="FQ162" i="2"/>
  <c r="GM162" i="2"/>
  <c r="GL162" i="2"/>
  <c r="HG162" i="2"/>
  <c r="HI162" i="2"/>
  <c r="FS162" i="2"/>
  <c r="CK162" i="2"/>
  <c r="DG162" i="2"/>
  <c r="AA162" i="2"/>
  <c r="AV162" i="2"/>
  <c r="GN162" i="2"/>
  <c r="EX162" i="2"/>
  <c r="AB162" i="2"/>
  <c r="FR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EV163" i="2" s="1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H162" i="2"/>
  <c r="EB162" i="2"/>
  <c r="EB163" i="2" s="1"/>
  <c r="CL162" i="2"/>
  <c r="CL163" i="2" s="1"/>
  <c r="AW162" i="2"/>
  <c r="DH162" i="2"/>
  <c r="H201" i="2"/>
  <c r="D202" i="2"/>
  <c r="G202" i="2" s="1"/>
  <c r="AX160" i="2"/>
  <c r="AU161" i="2"/>
  <c r="HH163" i="2" l="1"/>
  <c r="ED162" i="2"/>
  <c r="AW163" i="2"/>
  <c r="EA163" i="2"/>
  <c r="EY162" i="2"/>
  <c r="CM163" i="2"/>
  <c r="CK163" i="2"/>
  <c r="DG163" i="2"/>
  <c r="DF163" i="2"/>
  <c r="GO162" i="2"/>
  <c r="HJ162" i="2"/>
  <c r="FQ163" i="2"/>
  <c r="FT162" i="2"/>
  <c r="GM163" i="2"/>
  <c r="HG163" i="2"/>
  <c r="GL163" i="2"/>
  <c r="DH163" i="2"/>
  <c r="EC163" i="2"/>
  <c r="FS163" i="2"/>
  <c r="HI163" i="2"/>
  <c r="EW163" i="2"/>
  <c r="Z163" i="2"/>
  <c r="AC162" i="2"/>
  <c r="DI162" i="2"/>
  <c r="CN162" i="2"/>
  <c r="AA163" i="2"/>
  <c r="AV163" i="2"/>
  <c r="EX163" i="2"/>
  <c r="GN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V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FR163" i="2"/>
  <c r="H202" i="2"/>
  <c r="AX161" i="2"/>
  <c r="AU162" i="2"/>
  <c r="D203" i="2"/>
  <c r="G203" i="2" s="1"/>
  <c r="ED163" i="2"/>
  <c r="EY163" i="2" l="1"/>
  <c r="DI163" i="2"/>
  <c r="DH164" i="2"/>
  <c r="CN163" i="2"/>
  <c r="CK164" i="2"/>
  <c r="EC164" i="2"/>
  <c r="HJ163" i="2"/>
  <c r="EW164" i="2"/>
  <c r="DF164" i="2"/>
  <c r="GL164" i="2"/>
  <c r="FQ164" i="2"/>
  <c r="GO163" i="2"/>
  <c r="HG164" i="2"/>
  <c r="HH164" i="2"/>
  <c r="FR164" i="2"/>
  <c r="AB164" i="2"/>
  <c r="FT163" i="2"/>
  <c r="CM164" i="2"/>
  <c r="GM164" i="2"/>
  <c r="DG164" i="2"/>
  <c r="FS164" i="2"/>
  <c r="EA164" i="2"/>
  <c r="Z164" i="2"/>
  <c r="AC163" i="2"/>
  <c r="AA164" i="2"/>
  <c r="AW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GN164" i="2"/>
  <c r="EX164" i="2"/>
  <c r="EX165" i="2" s="1"/>
  <c r="HI164" i="2"/>
  <c r="AV164" i="2"/>
  <c r="CL164" i="2"/>
  <c r="CL165" i="2" s="1"/>
  <c r="EB164" i="2"/>
  <c r="EB165" i="2" s="1"/>
  <c r="H203" i="2"/>
  <c r="AX162" i="2"/>
  <c r="AU163" i="2"/>
  <c r="DI164" i="2" l="1"/>
  <c r="GN165" i="2"/>
  <c r="EV165" i="2"/>
  <c r="CK165" i="2"/>
  <c r="DG165" i="2"/>
  <c r="EA165" i="2"/>
  <c r="GO164" i="2"/>
  <c r="AB165" i="2"/>
  <c r="FR165" i="2"/>
  <c r="EW165" i="2"/>
  <c r="EY165" i="2" s="1"/>
  <c r="HG165" i="2"/>
  <c r="FQ165" i="2"/>
  <c r="FT164" i="2"/>
  <c r="GM165" i="2"/>
  <c r="GL165" i="2"/>
  <c r="HJ164" i="2"/>
  <c r="DF165" i="2"/>
  <c r="DH165" i="2"/>
  <c r="ED164" i="2"/>
  <c r="EC165" i="2"/>
  <c r="ED165" i="2" s="1"/>
  <c r="HH165" i="2"/>
  <c r="EY164" i="2"/>
  <c r="CN164" i="2"/>
  <c r="CM165" i="2"/>
  <c r="HI165" i="2"/>
  <c r="FS165" i="2"/>
  <c r="AC164" i="2"/>
  <c r="Z165" i="2"/>
  <c r="AA165" i="2"/>
  <c r="AV165" i="2"/>
  <c r="AW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AU164" i="2"/>
  <c r="CN165" i="2" l="1"/>
  <c r="FR166" i="2"/>
  <c r="DF166" i="2"/>
  <c r="EC166" i="2"/>
  <c r="HG166" i="2"/>
  <c r="DH166" i="2"/>
  <c r="DI165" i="2"/>
  <c r="AB166" i="2"/>
  <c r="HI166" i="2"/>
  <c r="FT165" i="2"/>
  <c r="EA166" i="2"/>
  <c r="EW166" i="2"/>
  <c r="GL166" i="2"/>
  <c r="CL166" i="2"/>
  <c r="HJ165" i="2"/>
  <c r="FQ166" i="2"/>
  <c r="GO165" i="2"/>
  <c r="GM166" i="2"/>
  <c r="HH166" i="2"/>
  <c r="CK166" i="2"/>
  <c r="EX166" i="2"/>
  <c r="GN166" i="2"/>
  <c r="FS166" i="2"/>
  <c r="EV166" i="2"/>
  <c r="DG166" i="2"/>
  <c r="CM166" i="2"/>
  <c r="AC165" i="2"/>
  <c r="Z166" i="2"/>
  <c r="AA166" i="2"/>
  <c r="AV166" i="2"/>
  <c r="AW166" i="2"/>
  <c r="EB166" i="2"/>
  <c r="ED166" i="2" s="1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U165" i="2"/>
  <c r="AX164" i="2"/>
  <c r="DI166" i="2" l="1"/>
  <c r="DH167" i="2"/>
  <c r="EY166" i="2"/>
  <c r="DF167" i="2"/>
  <c r="HJ166" i="2"/>
  <c r="EX167" i="2"/>
  <c r="CN166" i="2"/>
  <c r="EC167" i="2"/>
  <c r="CL167" i="2"/>
  <c r="FT166" i="2"/>
  <c r="HI167" i="2"/>
  <c r="GO166" i="2"/>
  <c r="GL167" i="2"/>
  <c r="FQ167" i="2"/>
  <c r="FR167" i="2"/>
  <c r="GN167" i="2"/>
  <c r="HG167" i="2"/>
  <c r="EW167" i="2"/>
  <c r="EV167" i="2"/>
  <c r="CK167" i="2"/>
  <c r="FS167" i="2"/>
  <c r="HH167" i="2"/>
  <c r="EA167" i="2"/>
  <c r="AB167" i="2"/>
  <c r="DG167" i="2"/>
  <c r="DI167" i="2" s="1"/>
  <c r="GM167" i="2"/>
  <c r="CM167" i="2"/>
  <c r="AC166" i="2"/>
  <c r="AA167" i="2"/>
  <c r="Z167" i="2"/>
  <c r="AV167" i="2"/>
  <c r="AW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EB167" i="2"/>
  <c r="AU166" i="2"/>
  <c r="AX165" i="2"/>
  <c r="EC168" i="2" l="1"/>
  <c r="EY167" i="2"/>
  <c r="EX168" i="2"/>
  <c r="DF168" i="2"/>
  <c r="EV168" i="2"/>
  <c r="CN167" i="2"/>
  <c r="GO167" i="2"/>
  <c r="EA168" i="2"/>
  <c r="DH168" i="2"/>
  <c r="CK168" i="2"/>
  <c r="GL168" i="2"/>
  <c r="EB168" i="2"/>
  <c r="HJ167" i="2"/>
  <c r="HI168" i="2"/>
  <c r="FT167" i="2"/>
  <c r="FS168" i="2"/>
  <c r="FQ168" i="2"/>
  <c r="GM168" i="2"/>
  <c r="AC167" i="2"/>
  <c r="AB168" i="2"/>
  <c r="HG168" i="2"/>
  <c r="CM168" i="2"/>
  <c r="EW168" i="2"/>
  <c r="EY168" i="2" s="1"/>
  <c r="DG168" i="2"/>
  <c r="Z168" i="2"/>
  <c r="ED167" i="2"/>
  <c r="AV168" i="2"/>
  <c r="FR168" i="2"/>
  <c r="GN168" i="2"/>
  <c r="AA168" i="2"/>
  <c r="AW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CL168" i="2"/>
  <c r="HH168" i="2"/>
  <c r="AU167" i="2"/>
  <c r="AX166" i="2"/>
  <c r="DI168" i="2" l="1"/>
  <c r="HH169" i="2"/>
  <c r="CM169" i="2"/>
  <c r="ED168" i="2"/>
  <c r="EW169" i="2"/>
  <c r="DG169" i="2"/>
  <c r="EB169" i="2"/>
  <c r="GO168" i="2"/>
  <c r="HJ168" i="2"/>
  <c r="GL169" i="2"/>
  <c r="FT168" i="2"/>
  <c r="FQ169" i="2"/>
  <c r="FS169" i="2"/>
  <c r="HG169" i="2"/>
  <c r="EV169" i="2"/>
  <c r="GM169" i="2"/>
  <c r="CL169" i="2"/>
  <c r="DF169" i="2"/>
  <c r="CK169" i="2"/>
  <c r="HI169" i="2"/>
  <c r="CN168" i="2"/>
  <c r="EA169" i="2"/>
  <c r="Z169" i="2"/>
  <c r="AC168" i="2"/>
  <c r="AB169" i="2"/>
  <c r="AV169" i="2"/>
  <c r="EX169" i="2"/>
  <c r="EC169" i="2"/>
  <c r="AW169" i="2"/>
  <c r="DH169" i="2"/>
  <c r="GN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FR169" i="2"/>
  <c r="AU168" i="2"/>
  <c r="AX167" i="2"/>
  <c r="EY169" i="2"/>
  <c r="DI169" i="2" l="1"/>
  <c r="FR170" i="2"/>
  <c r="EV170" i="2"/>
  <c r="CN169" i="2"/>
  <c r="EW170" i="2"/>
  <c r="EB170" i="2"/>
  <c r="DF170" i="2"/>
  <c r="ED169" i="2"/>
  <c r="CK170" i="2"/>
  <c r="HG170" i="2"/>
  <c r="GL170" i="2"/>
  <c r="GO169" i="2"/>
  <c r="FQ170" i="2"/>
  <c r="GM170" i="2"/>
  <c r="HJ169" i="2"/>
  <c r="DG170" i="2"/>
  <c r="FS170" i="2"/>
  <c r="EA170" i="2"/>
  <c r="CL170" i="2"/>
  <c r="HI170" i="2"/>
  <c r="AB170" i="2"/>
  <c r="AC169" i="2"/>
  <c r="Z170" i="2"/>
  <c r="AV170" i="2"/>
  <c r="AA170" i="2"/>
  <c r="FT169" i="2"/>
  <c r="GN170" i="2"/>
  <c r="DH170" i="2"/>
  <c r="AW170" i="2"/>
  <c r="EX170" i="2"/>
  <c r="HH170" i="2"/>
  <c r="CM170" i="2"/>
  <c r="EC170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EV171" i="2" s="1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U169" i="2"/>
  <c r="AX168" i="2"/>
  <c r="DI170" i="2"/>
  <c r="EY170" i="2" l="1"/>
  <c r="CN170" i="2"/>
  <c r="HJ170" i="2"/>
  <c r="EA171" i="2"/>
  <c r="CL171" i="2"/>
  <c r="ED170" i="2"/>
  <c r="GO170" i="2"/>
  <c r="FT170" i="2"/>
  <c r="FQ171" i="2"/>
  <c r="GM171" i="2"/>
  <c r="GL171" i="2"/>
  <c r="DF171" i="2"/>
  <c r="HI171" i="2"/>
  <c r="EB171" i="2"/>
  <c r="CK171" i="2"/>
  <c r="EW171" i="2"/>
  <c r="FS171" i="2"/>
  <c r="AC170" i="2"/>
  <c r="Z171" i="2"/>
  <c r="AB171" i="2"/>
  <c r="AV171" i="2"/>
  <c r="HG171" i="2"/>
  <c r="EC171" i="2"/>
  <c r="ED171" i="2" s="1"/>
  <c r="AA171" i="2"/>
  <c r="DG171" i="2"/>
  <c r="GN171" i="2"/>
  <c r="AW171" i="2"/>
  <c r="FR171" i="2"/>
  <c r="EX171" i="2"/>
  <c r="CM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DF172" i="2" s="1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HH171" i="2"/>
  <c r="DH171" i="2"/>
  <c r="AU170" i="2"/>
  <c r="AX169" i="2"/>
  <c r="HH172" i="2" l="1"/>
  <c r="CN171" i="2"/>
  <c r="EY171" i="2"/>
  <c r="DH172" i="2"/>
  <c r="EA172" i="2"/>
  <c r="CK172" i="2"/>
  <c r="GL172" i="2"/>
  <c r="FQ172" i="2"/>
  <c r="HJ171" i="2"/>
  <c r="FT171" i="2"/>
  <c r="GO171" i="2"/>
  <c r="HG172" i="2"/>
  <c r="HI172" i="2"/>
  <c r="FS172" i="2"/>
  <c r="EB172" i="2"/>
  <c r="EW172" i="2"/>
  <c r="GM172" i="2"/>
  <c r="CL172" i="2"/>
  <c r="AC171" i="2"/>
  <c r="Z172" i="2"/>
  <c r="AB172" i="2"/>
  <c r="DI171" i="2"/>
  <c r="AV172" i="2"/>
  <c r="EC172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CM172" i="2"/>
  <c r="GN172" i="2"/>
  <c r="AW172" i="2"/>
  <c r="EX172" i="2"/>
  <c r="AA172" i="2"/>
  <c r="FR172" i="2"/>
  <c r="FR173" i="2" s="1"/>
  <c r="DG172" i="2"/>
  <c r="DI172" i="2" s="1"/>
  <c r="AU171" i="2"/>
  <c r="AX170" i="2"/>
  <c r="EA173" i="2"/>
  <c r="GN173" i="2" l="1"/>
  <c r="ED172" i="2"/>
  <c r="HJ172" i="2"/>
  <c r="DF173" i="2"/>
  <c r="EX173" i="2"/>
  <c r="EV173" i="2"/>
  <c r="CK173" i="2"/>
  <c r="AA173" i="2"/>
  <c r="GO172" i="2"/>
  <c r="EW173" i="2"/>
  <c r="DG173" i="2"/>
  <c r="EB173" i="2"/>
  <c r="HH173" i="2"/>
  <c r="FQ173" i="2"/>
  <c r="FT172" i="2"/>
  <c r="GM173" i="2"/>
  <c r="GL173" i="2"/>
  <c r="HG173" i="2"/>
  <c r="CM173" i="2"/>
  <c r="DH173" i="2"/>
  <c r="DI173" i="2" s="1"/>
  <c r="AW173" i="2"/>
  <c r="FS173" i="2"/>
  <c r="FT173" i="2" s="1"/>
  <c r="EY172" i="2"/>
  <c r="CL173" i="2"/>
  <c r="HI173" i="2"/>
  <c r="Z173" i="2"/>
  <c r="AC172" i="2"/>
  <c r="AB173" i="2"/>
  <c r="CN172" i="2"/>
  <c r="AV173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C173" i="2"/>
  <c r="EY173" i="2"/>
  <c r="AX171" i="2"/>
  <c r="AU172" i="2"/>
  <c r="EA174" i="2" l="1"/>
  <c r="CN173" i="2"/>
  <c r="CM174" i="2"/>
  <c r="CK174" i="2"/>
  <c r="EC174" i="2"/>
  <c r="HI174" i="2"/>
  <c r="DF174" i="2"/>
  <c r="GN174" i="2"/>
  <c r="HG174" i="2"/>
  <c r="GL174" i="2"/>
  <c r="EB174" i="2"/>
  <c r="AC173" i="2"/>
  <c r="HH174" i="2"/>
  <c r="FQ174" i="2"/>
  <c r="GO173" i="2"/>
  <c r="HJ173" i="2"/>
  <c r="EV174" i="2"/>
  <c r="GM174" i="2"/>
  <c r="DG174" i="2"/>
  <c r="CL174" i="2"/>
  <c r="EW174" i="2"/>
  <c r="FS174" i="2"/>
  <c r="Z174" i="2"/>
  <c r="AB174" i="2"/>
  <c r="AV174" i="2"/>
  <c r="DH174" i="2"/>
  <c r="AW174" i="2"/>
  <c r="FR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X174" i="2"/>
  <c r="ED173" i="2"/>
  <c r="AA174" i="2"/>
  <c r="AA175" i="2" s="1"/>
  <c r="ED174" i="2"/>
  <c r="AU173" i="2"/>
  <c r="AX172" i="2"/>
  <c r="DI174" i="2" l="1"/>
  <c r="GO174" i="2"/>
  <c r="EA175" i="2"/>
  <c r="CN174" i="2"/>
  <c r="EY174" i="2"/>
  <c r="HJ174" i="2"/>
  <c r="CM175" i="2"/>
  <c r="GL175" i="2"/>
  <c r="EV175" i="2"/>
  <c r="HI175" i="2"/>
  <c r="DF175" i="2"/>
  <c r="EW175" i="2"/>
  <c r="HG175" i="2"/>
  <c r="GN175" i="2"/>
  <c r="FQ175" i="2"/>
  <c r="FT174" i="2"/>
  <c r="FS175" i="2"/>
  <c r="HH175" i="2"/>
  <c r="HJ175" i="2" s="1"/>
  <c r="EC175" i="2"/>
  <c r="GM175" i="2"/>
  <c r="DG175" i="2"/>
  <c r="CK175" i="2"/>
  <c r="Z175" i="2"/>
  <c r="AB175" i="2"/>
  <c r="AC174" i="2"/>
  <c r="AV175" i="2"/>
  <c r="DH175" i="2"/>
  <c r="EX175" i="2"/>
  <c r="AW175" i="2"/>
  <c r="EB175" i="2"/>
  <c r="CL175" i="2"/>
  <c r="FR175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U174" i="2"/>
  <c r="AX173" i="2"/>
  <c r="EA176" i="2" l="1"/>
  <c r="GO175" i="2"/>
  <c r="EY175" i="2"/>
  <c r="CN175" i="2"/>
  <c r="DI175" i="2"/>
  <c r="GL176" i="2"/>
  <c r="CM176" i="2"/>
  <c r="DF176" i="2"/>
  <c r="FQ176" i="2"/>
  <c r="CK176" i="2"/>
  <c r="ED175" i="2"/>
  <c r="EV176" i="2"/>
  <c r="EC176" i="2"/>
  <c r="HG176" i="2"/>
  <c r="FT175" i="2"/>
  <c r="FS176" i="2"/>
  <c r="GM176" i="2"/>
  <c r="HI176" i="2"/>
  <c r="DG176" i="2"/>
  <c r="EW176" i="2"/>
  <c r="Z176" i="2"/>
  <c r="AC175" i="2"/>
  <c r="AA176" i="2"/>
  <c r="AV176" i="2"/>
  <c r="HH176" i="2"/>
  <c r="AB176" i="2"/>
  <c r="EX176" i="2"/>
  <c r="GN176" i="2"/>
  <c r="DH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FR176" i="2"/>
  <c r="FR177" i="2" s="1"/>
  <c r="CL176" i="2"/>
  <c r="CL177" i="2" s="1"/>
  <c r="EB176" i="2"/>
  <c r="AW176" i="2"/>
  <c r="AX174" i="2"/>
  <c r="AU175" i="2"/>
  <c r="EV177" i="2" l="1"/>
  <c r="DF177" i="2"/>
  <c r="CK177" i="2"/>
  <c r="EY176" i="2"/>
  <c r="AW177" i="2"/>
  <c r="EA177" i="2"/>
  <c r="DI176" i="2"/>
  <c r="HJ176" i="2"/>
  <c r="HG177" i="2"/>
  <c r="GO176" i="2"/>
  <c r="GM177" i="2"/>
  <c r="GL177" i="2"/>
  <c r="CM177" i="2"/>
  <c r="CN177" i="2" s="1"/>
  <c r="EB177" i="2"/>
  <c r="ED177" i="2" s="1"/>
  <c r="FS177" i="2"/>
  <c r="FT177" i="2" s="1"/>
  <c r="ED176" i="2"/>
  <c r="DG177" i="2"/>
  <c r="HI177" i="2"/>
  <c r="EW177" i="2"/>
  <c r="Z177" i="2"/>
  <c r="AC176" i="2"/>
  <c r="FT176" i="2"/>
  <c r="CN176" i="2"/>
  <c r="AA177" i="2"/>
  <c r="AV177" i="2"/>
  <c r="EX177" i="2"/>
  <c r="HH177" i="2"/>
  <c r="GN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EV178" i="2" s="1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DH177" i="2"/>
  <c r="AB177" i="2"/>
  <c r="AU176" i="2"/>
  <c r="AX175" i="2"/>
  <c r="EA178" i="2" l="1"/>
  <c r="DG178" i="2"/>
  <c r="HJ177" i="2"/>
  <c r="DH178" i="2"/>
  <c r="AB178" i="2"/>
  <c r="EY177" i="2"/>
  <c r="EB178" i="2"/>
  <c r="CM178" i="2"/>
  <c r="HG178" i="2"/>
  <c r="GM178" i="2"/>
  <c r="GO177" i="2"/>
  <c r="FQ178" i="2"/>
  <c r="FR178" i="2"/>
  <c r="FS178" i="2"/>
  <c r="EW178" i="2"/>
  <c r="CK178" i="2"/>
  <c r="GL178" i="2"/>
  <c r="HI178" i="2"/>
  <c r="Z178" i="2"/>
  <c r="DF178" i="2"/>
  <c r="DI177" i="2"/>
  <c r="AC177" i="2"/>
  <c r="AA178" i="2"/>
  <c r="AV178" i="2"/>
  <c r="AW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EX178" i="2"/>
  <c r="EC178" i="2"/>
  <c r="HH178" i="2"/>
  <c r="CL178" i="2"/>
  <c r="GN178" i="2"/>
  <c r="GN179" i="2" s="1"/>
  <c r="AX176" i="2"/>
  <c r="AU177" i="2"/>
  <c r="DG179" i="2" l="1"/>
  <c r="EX179" i="2"/>
  <c r="ED178" i="2"/>
  <c r="EC179" i="2"/>
  <c r="EW179" i="2"/>
  <c r="EV179" i="2"/>
  <c r="EY179" i="2" s="1"/>
  <c r="HH179" i="2"/>
  <c r="HG179" i="2"/>
  <c r="CL179" i="2"/>
  <c r="CK179" i="2"/>
  <c r="DF179" i="2"/>
  <c r="AC178" i="2"/>
  <c r="DI178" i="2"/>
  <c r="DH179" i="2"/>
  <c r="GO178" i="2"/>
  <c r="FQ179" i="2"/>
  <c r="FT178" i="2"/>
  <c r="GL179" i="2"/>
  <c r="GM179" i="2"/>
  <c r="HJ178" i="2"/>
  <c r="EB179" i="2"/>
  <c r="ED179" i="2" s="1"/>
  <c r="CN178" i="2"/>
  <c r="CM179" i="2"/>
  <c r="FS179" i="2"/>
  <c r="HI179" i="2"/>
  <c r="AB179" i="2"/>
  <c r="Z179" i="2"/>
  <c r="AA179" i="2"/>
  <c r="EY178" i="2"/>
  <c r="AW179" i="2"/>
  <c r="AV179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EA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FR179" i="2"/>
  <c r="AU178" i="2"/>
  <c r="AX177" i="2"/>
  <c r="HJ179" i="2" l="1"/>
  <c r="GN180" i="2"/>
  <c r="CN179" i="2"/>
  <c r="CM180" i="2"/>
  <c r="DI179" i="2"/>
  <c r="CK180" i="2"/>
  <c r="DF180" i="2"/>
  <c r="DH180" i="2"/>
  <c r="EC180" i="2"/>
  <c r="AC179" i="2"/>
  <c r="EW180" i="2"/>
  <c r="HG180" i="2"/>
  <c r="GO179" i="2"/>
  <c r="FS180" i="2"/>
  <c r="FT179" i="2"/>
  <c r="FQ180" i="2"/>
  <c r="GL180" i="2"/>
  <c r="HI180" i="2"/>
  <c r="EB180" i="2"/>
  <c r="Z180" i="2"/>
  <c r="GM180" i="2"/>
  <c r="EV180" i="2"/>
  <c r="EX180" i="2"/>
  <c r="DG180" i="2"/>
  <c r="DI180" i="2" s="1"/>
  <c r="AB180" i="2"/>
  <c r="AA180" i="2"/>
  <c r="AV180" i="2"/>
  <c r="CL180" i="2"/>
  <c r="AW180" i="2"/>
  <c r="HH180" i="2"/>
  <c r="FR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U179" i="2"/>
  <c r="AX178" i="2"/>
  <c r="DF181" i="2" l="1"/>
  <c r="CN180" i="2"/>
  <c r="ED180" i="2"/>
  <c r="CK181" i="2"/>
  <c r="EY180" i="2"/>
  <c r="GO180" i="2"/>
  <c r="EX181" i="2"/>
  <c r="EV181" i="2"/>
  <c r="Z181" i="2"/>
  <c r="AC180" i="2"/>
  <c r="HG181" i="2"/>
  <c r="HJ180" i="2"/>
  <c r="FT180" i="2"/>
  <c r="FS181" i="2"/>
  <c r="FQ181" i="2"/>
  <c r="GM181" i="2"/>
  <c r="GL181" i="2"/>
  <c r="DG181" i="2"/>
  <c r="EC181" i="2"/>
  <c r="HI181" i="2"/>
  <c r="CM181" i="2"/>
  <c r="AA181" i="2"/>
  <c r="AV181" i="2"/>
  <c r="EA181" i="2"/>
  <c r="EB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DH181" i="2"/>
  <c r="CL181" i="2"/>
  <c r="AB181" i="2"/>
  <c r="EW181" i="2"/>
  <c r="EW182" i="2" s="1"/>
  <c r="HH181" i="2"/>
  <c r="FR181" i="2"/>
  <c r="FR182" i="2" s="1"/>
  <c r="GN181" i="2"/>
  <c r="GN182" i="2" s="1"/>
  <c r="AW181" i="2"/>
  <c r="AX179" i="2"/>
  <c r="AU180" i="2"/>
  <c r="DF182" i="2"/>
  <c r="EX182" i="2" l="1"/>
  <c r="HH182" i="2"/>
  <c r="CL182" i="2"/>
  <c r="DG182" i="2"/>
  <c r="CN181" i="2"/>
  <c r="AB182" i="2"/>
  <c r="EV182" i="2"/>
  <c r="EY182" i="2" s="1"/>
  <c r="DH182" i="2"/>
  <c r="DI182" i="2" s="1"/>
  <c r="EA182" i="2"/>
  <c r="AW182" i="2"/>
  <c r="EC182" i="2"/>
  <c r="ED181" i="2"/>
  <c r="CK182" i="2"/>
  <c r="FQ182" i="2"/>
  <c r="HG182" i="2"/>
  <c r="GO181" i="2"/>
  <c r="FS182" i="2"/>
  <c r="FT182" i="2" s="1"/>
  <c r="FT181" i="2"/>
  <c r="GL182" i="2"/>
  <c r="GM182" i="2"/>
  <c r="HJ181" i="2"/>
  <c r="EB182" i="2"/>
  <c r="CM182" i="2"/>
  <c r="HI182" i="2"/>
  <c r="Z182" i="2"/>
  <c r="AC181" i="2"/>
  <c r="DI181" i="2"/>
  <c r="EY181" i="2"/>
  <c r="AA182" i="2"/>
  <c r="AV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DF183" i="2" s="1"/>
  <c r="BW183" i="2"/>
  <c r="BN183" i="2"/>
  <c r="W183" i="2"/>
  <c r="Y183" i="2"/>
  <c r="CJ183" i="2"/>
  <c r="DE183" i="2"/>
  <c r="CF183" i="2"/>
  <c r="X183" i="2"/>
  <c r="AG183" i="2"/>
  <c r="AX180" i="2"/>
  <c r="AU181" i="2"/>
  <c r="CK183" i="2" l="1"/>
  <c r="ED182" i="2"/>
  <c r="CN182" i="2"/>
  <c r="EA183" i="2"/>
  <c r="CL183" i="2"/>
  <c r="EV183" i="2"/>
  <c r="FQ183" i="2"/>
  <c r="EW183" i="2"/>
  <c r="Z183" i="2"/>
  <c r="AC182" i="2"/>
  <c r="HJ182" i="2"/>
  <c r="GO182" i="2"/>
  <c r="GL183" i="2"/>
  <c r="HI183" i="2"/>
  <c r="AB183" i="2"/>
  <c r="HG183" i="2"/>
  <c r="EX183" i="2"/>
  <c r="GM183" i="2"/>
  <c r="CM183" i="2"/>
  <c r="EC183" i="2"/>
  <c r="DH183" i="2"/>
  <c r="FS183" i="2"/>
  <c r="FR183" i="2"/>
  <c r="AW183" i="2"/>
  <c r="AA183" i="2"/>
  <c r="AV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DF184" i="2" s="1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EV184" i="2" s="1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DG183" i="2"/>
  <c r="EB183" i="2"/>
  <c r="HH183" i="2"/>
  <c r="GN183" i="2"/>
  <c r="GN184" i="2" s="1"/>
  <c r="AX181" i="2"/>
  <c r="AU182" i="2"/>
  <c r="EB184" i="2" l="1"/>
  <c r="EY183" i="2"/>
  <c r="CN183" i="2"/>
  <c r="CL184" i="2"/>
  <c r="DI183" i="2"/>
  <c r="EW184" i="2"/>
  <c r="HH184" i="2"/>
  <c r="EA184" i="2"/>
  <c r="ED184" i="2" s="1"/>
  <c r="AC183" i="2"/>
  <c r="HG184" i="2"/>
  <c r="EX184" i="2"/>
  <c r="GO183" i="2"/>
  <c r="FQ184" i="2"/>
  <c r="FT183" i="2"/>
  <c r="FS184" i="2"/>
  <c r="GM184" i="2"/>
  <c r="HJ183" i="2"/>
  <c r="HI184" i="2"/>
  <c r="GL184" i="2"/>
  <c r="DG184" i="2"/>
  <c r="EC184" i="2"/>
  <c r="CK184" i="2"/>
  <c r="FR184" i="2"/>
  <c r="Z184" i="2"/>
  <c r="DH184" i="2"/>
  <c r="AW184" i="2"/>
  <c r="AB184" i="2"/>
  <c r="ED183" i="2"/>
  <c r="AA184" i="2"/>
  <c r="AV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GN185" i="2" s="1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CM184" i="2"/>
  <c r="EY184" i="2"/>
  <c r="AU183" i="2"/>
  <c r="AX182" i="2"/>
  <c r="HJ184" i="2" l="1"/>
  <c r="DI184" i="2"/>
  <c r="DF185" i="2"/>
  <c r="EA185" i="2"/>
  <c r="CN184" i="2"/>
  <c r="DG185" i="2"/>
  <c r="Z185" i="2"/>
  <c r="HG185" i="2"/>
  <c r="EX185" i="2"/>
  <c r="DH185" i="2"/>
  <c r="FR185" i="2"/>
  <c r="GO184" i="2"/>
  <c r="FQ185" i="2"/>
  <c r="FT184" i="2"/>
  <c r="GM185" i="2"/>
  <c r="EV185" i="2"/>
  <c r="EW185" i="2"/>
  <c r="FS185" i="2"/>
  <c r="CL185" i="2"/>
  <c r="GL185" i="2"/>
  <c r="EB185" i="2"/>
  <c r="HH185" i="2"/>
  <c r="AC184" i="2"/>
  <c r="AA185" i="2"/>
  <c r="AW185" i="2"/>
  <c r="AV185" i="2"/>
  <c r="CK185" i="2"/>
  <c r="AB185" i="2"/>
  <c r="HI185" i="2"/>
  <c r="EC185" i="2"/>
  <c r="ED185" i="2" s="1"/>
  <c r="CM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GN186" i="2" s="1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U184" i="2"/>
  <c r="AX183" i="2"/>
  <c r="DF186" i="2" l="1"/>
  <c r="DI185" i="2"/>
  <c r="CK186" i="2"/>
  <c r="EV186" i="2"/>
  <c r="HJ185" i="2"/>
  <c r="FT185" i="2"/>
  <c r="EY185" i="2"/>
  <c r="EA186" i="2"/>
  <c r="DG186" i="2"/>
  <c r="HG186" i="2"/>
  <c r="GO185" i="2"/>
  <c r="FQ186" i="2"/>
  <c r="GL186" i="2"/>
  <c r="FS186" i="2"/>
  <c r="EW186" i="2"/>
  <c r="EY186" i="2" s="1"/>
  <c r="EB186" i="2"/>
  <c r="HH186" i="2"/>
  <c r="CN185" i="2"/>
  <c r="CL186" i="2"/>
  <c r="Z186" i="2"/>
  <c r="AC185" i="2"/>
  <c r="AA186" i="2"/>
  <c r="AW186" i="2"/>
  <c r="HI186" i="2"/>
  <c r="FR186" i="2"/>
  <c r="EX186" i="2"/>
  <c r="AV186" i="2"/>
  <c r="DH186" i="2"/>
  <c r="CM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EC186" i="2"/>
  <c r="EC187" i="2" s="1"/>
  <c r="AB186" i="2"/>
  <c r="AB187" i="2" s="1"/>
  <c r="GM186" i="2"/>
  <c r="GM187" i="2" s="1"/>
  <c r="AU185" i="2"/>
  <c r="AX184" i="2"/>
  <c r="DI186" i="2" l="1"/>
  <c r="DF187" i="2"/>
  <c r="CK187" i="2"/>
  <c r="CL187" i="2"/>
  <c r="CN186" i="2"/>
  <c r="EA187" i="2"/>
  <c r="EV187" i="2"/>
  <c r="FT186" i="2"/>
  <c r="GL187" i="2"/>
  <c r="DG187" i="2"/>
  <c r="HJ186" i="2"/>
  <c r="HG187" i="2"/>
  <c r="FQ187" i="2"/>
  <c r="GO186" i="2"/>
  <c r="HH187" i="2"/>
  <c r="GN187" i="2"/>
  <c r="EB187" i="2"/>
  <c r="EW187" i="2"/>
  <c r="FS187" i="2"/>
  <c r="Z187" i="2"/>
  <c r="AC186" i="2"/>
  <c r="ED186" i="2"/>
  <c r="AA187" i="2"/>
  <c r="AW187" i="2"/>
  <c r="CM187" i="2"/>
  <c r="DH187" i="2"/>
  <c r="AV187" i="2"/>
  <c r="HI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EA188" i="2" s="1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EX187" i="2"/>
  <c r="EX188" i="2" s="1"/>
  <c r="FR187" i="2"/>
  <c r="AU186" i="2"/>
  <c r="AX185" i="2"/>
  <c r="EV188" i="2"/>
  <c r="ED187" i="2" l="1"/>
  <c r="CL188" i="2"/>
  <c r="CN187" i="2"/>
  <c r="DI187" i="2"/>
  <c r="GO187" i="2"/>
  <c r="EW188" i="2"/>
  <c r="CK188" i="2"/>
  <c r="AC187" i="2"/>
  <c r="GL188" i="2"/>
  <c r="HJ187" i="2"/>
  <c r="FT187" i="2"/>
  <c r="EY187" i="2"/>
  <c r="GM188" i="2"/>
  <c r="DG188" i="2"/>
  <c r="FS188" i="2"/>
  <c r="AB188" i="2"/>
  <c r="EC188" i="2"/>
  <c r="HG188" i="2"/>
  <c r="Z188" i="2"/>
  <c r="AW188" i="2"/>
  <c r="AV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EA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HH188" i="2"/>
  <c r="DF188" i="2"/>
  <c r="FR188" i="2"/>
  <c r="DH188" i="2"/>
  <c r="EB188" i="2"/>
  <c r="AA188" i="2"/>
  <c r="FQ188" i="2"/>
  <c r="FQ189" i="2" s="1"/>
  <c r="GN188" i="2"/>
  <c r="GN189" i="2" s="1"/>
  <c r="HI188" i="2"/>
  <c r="HI189" i="2" s="1"/>
  <c r="CM188" i="2"/>
  <c r="CM189" i="2" s="1"/>
  <c r="EY188" i="2"/>
  <c r="AU187" i="2"/>
  <c r="AX186" i="2"/>
  <c r="EV189" i="2" l="1"/>
  <c r="EX189" i="2"/>
  <c r="EB189" i="2"/>
  <c r="CK189" i="2"/>
  <c r="AA189" i="2"/>
  <c r="HH189" i="2"/>
  <c r="DI188" i="2"/>
  <c r="DG189" i="2"/>
  <c r="CL189" i="2"/>
  <c r="HJ188" i="2"/>
  <c r="GO188" i="2"/>
  <c r="FS189" i="2"/>
  <c r="GM189" i="2"/>
  <c r="GL189" i="2"/>
  <c r="HG189" i="2"/>
  <c r="EC189" i="2"/>
  <c r="ED189" i="2" s="1"/>
  <c r="EW189" i="2"/>
  <c r="EY189" i="2" s="1"/>
  <c r="DF189" i="2"/>
  <c r="DH189" i="2"/>
  <c r="AB189" i="2"/>
  <c r="AC188" i="2"/>
  <c r="Z189" i="2"/>
  <c r="AC189" i="2" s="1"/>
  <c r="CN188" i="2"/>
  <c r="FT188" i="2"/>
  <c r="ED188" i="2"/>
  <c r="AW189" i="2"/>
  <c r="FR189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EA190" i="2" s="1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V189" i="2"/>
  <c r="AU188" i="2"/>
  <c r="AX187" i="2"/>
  <c r="CN189" i="2" l="1"/>
  <c r="HJ189" i="2"/>
  <c r="EB190" i="2"/>
  <c r="FQ190" i="2"/>
  <c r="GO189" i="2"/>
  <c r="DI189" i="2"/>
  <c r="GN190" i="2"/>
  <c r="CK190" i="2"/>
  <c r="FT189" i="2"/>
  <c r="HH190" i="2"/>
  <c r="AV190" i="2"/>
  <c r="EC190" i="2"/>
  <c r="DG190" i="2"/>
  <c r="EX190" i="2"/>
  <c r="DF190" i="2"/>
  <c r="EV190" i="2"/>
  <c r="FS190" i="2"/>
  <c r="CL190" i="2"/>
  <c r="GL190" i="2"/>
  <c r="DH190" i="2"/>
  <c r="HG190" i="2"/>
  <c r="AB190" i="2"/>
  <c r="Z190" i="2"/>
  <c r="AW190" i="2"/>
  <c r="AA190" i="2"/>
  <c r="HI190" i="2"/>
  <c r="CM190" i="2"/>
  <c r="EW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GM190" i="2"/>
  <c r="GM191" i="2" s="1"/>
  <c r="FR190" i="2"/>
  <c r="FR191" i="2" s="1"/>
  <c r="ED190" i="2"/>
  <c r="AX188" i="2"/>
  <c r="AU189" i="2"/>
  <c r="EB191" i="2" l="1"/>
  <c r="CK191" i="2"/>
  <c r="EY190" i="2"/>
  <c r="EV191" i="2"/>
  <c r="CN190" i="2"/>
  <c r="EA191" i="2"/>
  <c r="DI190" i="2"/>
  <c r="DF191" i="2"/>
  <c r="DI191" i="2" s="1"/>
  <c r="DG191" i="2"/>
  <c r="CL191" i="2"/>
  <c r="HJ190" i="2"/>
  <c r="GO190" i="2"/>
  <c r="FS191" i="2"/>
  <c r="FQ191" i="2"/>
  <c r="GN191" i="2"/>
  <c r="GL191" i="2"/>
  <c r="HG191" i="2"/>
  <c r="HH191" i="2"/>
  <c r="DH191" i="2"/>
  <c r="EX191" i="2"/>
  <c r="AB191" i="2"/>
  <c r="AC190" i="2"/>
  <c r="Z191" i="2"/>
  <c r="FT190" i="2"/>
  <c r="AV191" i="2"/>
  <c r="AW191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W191" i="2"/>
  <c r="EY191" i="2" s="1"/>
  <c r="CM191" i="2"/>
  <c r="CM192" i="2" s="1"/>
  <c r="EC191" i="2"/>
  <c r="EC192" i="2" s="1"/>
  <c r="HI191" i="2"/>
  <c r="HI192" i="2" s="1"/>
  <c r="AU190" i="2"/>
  <c r="AX189" i="2"/>
  <c r="GO191" i="2" l="1"/>
  <c r="EA192" i="2"/>
  <c r="CK192" i="2"/>
  <c r="DF192" i="2"/>
  <c r="EV192" i="2"/>
  <c r="DH192" i="2"/>
  <c r="DG192" i="2"/>
  <c r="HJ191" i="2"/>
  <c r="GM192" i="2"/>
  <c r="FQ192" i="2"/>
  <c r="FT191" i="2"/>
  <c r="HH192" i="2"/>
  <c r="GN192" i="2"/>
  <c r="HG192" i="2"/>
  <c r="EX192" i="2"/>
  <c r="FS192" i="2"/>
  <c r="EB192" i="2"/>
  <c r="ED192" i="2" s="1"/>
  <c r="GL192" i="2"/>
  <c r="CL192" i="2"/>
  <c r="CN192" i="2" s="1"/>
  <c r="AC191" i="2"/>
  <c r="AB192" i="2"/>
  <c r="Z192" i="2"/>
  <c r="CN191" i="2"/>
  <c r="ED191" i="2"/>
  <c r="AW192" i="2"/>
  <c r="AV192" i="2"/>
  <c r="EW192" i="2"/>
  <c r="EY192" i="2" s="1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DG193" i="2" s="1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FR192" i="2"/>
  <c r="AX190" i="2"/>
  <c r="AU191" i="2"/>
  <c r="DI192" i="2"/>
  <c r="EA193" i="2" l="1"/>
  <c r="FR193" i="2"/>
  <c r="EB193" i="2"/>
  <c r="HJ192" i="2"/>
  <c r="GO192" i="2"/>
  <c r="EX193" i="2"/>
  <c r="EC193" i="2"/>
  <c r="CL193" i="2"/>
  <c r="FQ193" i="2"/>
  <c r="GL193" i="2"/>
  <c r="HH193" i="2"/>
  <c r="HG193" i="2"/>
  <c r="DF193" i="2"/>
  <c r="FS193" i="2"/>
  <c r="CK193" i="2"/>
  <c r="CM193" i="2"/>
  <c r="GM193" i="2"/>
  <c r="EV193" i="2"/>
  <c r="HI193" i="2"/>
  <c r="GN193" i="2"/>
  <c r="AC192" i="2"/>
  <c r="Z193" i="2"/>
  <c r="AB193" i="2"/>
  <c r="FT192" i="2"/>
  <c r="AV193" i="2"/>
  <c r="AW193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DH193" i="2"/>
  <c r="DI193" i="2" s="1"/>
  <c r="EW193" i="2"/>
  <c r="AU192" i="2"/>
  <c r="AX191" i="2"/>
  <c r="ED193" i="2"/>
  <c r="EA194" i="2" l="1"/>
  <c r="EC194" i="2"/>
  <c r="CN193" i="2"/>
  <c r="EW194" i="2"/>
  <c r="EV194" i="2"/>
  <c r="FT193" i="2"/>
  <c r="DF194" i="2"/>
  <c r="CL194" i="2"/>
  <c r="CK194" i="2"/>
  <c r="HG194" i="2"/>
  <c r="GO193" i="2"/>
  <c r="FR194" i="2"/>
  <c r="GN194" i="2"/>
  <c r="HJ193" i="2"/>
  <c r="FQ194" i="2"/>
  <c r="GL194" i="2"/>
  <c r="FS194" i="2"/>
  <c r="EX194" i="2"/>
  <c r="EY194" i="2" s="1"/>
  <c r="HI194" i="2"/>
  <c r="EB194" i="2"/>
  <c r="ED194" i="2" s="1"/>
  <c r="DG194" i="2"/>
  <c r="AC193" i="2"/>
  <c r="Z194" i="2"/>
  <c r="AB194" i="2"/>
  <c r="EY193" i="2"/>
  <c r="AV194" i="2"/>
  <c r="CM194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DH194" i="2"/>
  <c r="AW194" i="2"/>
  <c r="AA194" i="2"/>
  <c r="AA195" i="2" s="1"/>
  <c r="GM194" i="2"/>
  <c r="GM195" i="2" s="1"/>
  <c r="HH194" i="2"/>
  <c r="AU193" i="2"/>
  <c r="AX192" i="2"/>
  <c r="HH195" i="2" l="1"/>
  <c r="CN194" i="2"/>
  <c r="EV195" i="2"/>
  <c r="CK195" i="2"/>
  <c r="HG195" i="2"/>
  <c r="DF195" i="2"/>
  <c r="DH195" i="2"/>
  <c r="EA195" i="2"/>
  <c r="EC195" i="2"/>
  <c r="GO194" i="2"/>
  <c r="FT194" i="2"/>
  <c r="FQ195" i="2"/>
  <c r="FS195" i="2"/>
  <c r="GN195" i="2"/>
  <c r="HJ194" i="2"/>
  <c r="HI195" i="2"/>
  <c r="HJ195" i="2" s="1"/>
  <c r="GL195" i="2"/>
  <c r="EW195" i="2"/>
  <c r="FR195" i="2"/>
  <c r="Z195" i="2"/>
  <c r="CL195" i="2"/>
  <c r="EB195" i="2"/>
  <c r="DG195" i="2"/>
  <c r="DI195" i="2" s="1"/>
  <c r="EX195" i="2"/>
  <c r="EY195" i="2" s="1"/>
  <c r="AW195" i="2"/>
  <c r="AC194" i="2"/>
  <c r="AB195" i="2"/>
  <c r="DI194" i="2"/>
  <c r="AV195" i="2"/>
  <c r="CM195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EC196" i="2" s="1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U194" i="2"/>
  <c r="EA196" i="2" l="1"/>
  <c r="CK196" i="2"/>
  <c r="CL196" i="2"/>
  <c r="CN195" i="2"/>
  <c r="HG196" i="2"/>
  <c r="DH196" i="2"/>
  <c r="ED195" i="2"/>
  <c r="EV196" i="2"/>
  <c r="Z196" i="2"/>
  <c r="GL196" i="2"/>
  <c r="DF196" i="2"/>
  <c r="EB196" i="2"/>
  <c r="AC195" i="2"/>
  <c r="HH196" i="2"/>
  <c r="FR196" i="2"/>
  <c r="FQ196" i="2"/>
  <c r="FT195" i="2"/>
  <c r="GO195" i="2"/>
  <c r="EX196" i="2"/>
  <c r="FS196" i="2"/>
  <c r="HI196" i="2"/>
  <c r="GM196" i="2"/>
  <c r="DG196" i="2"/>
  <c r="AB196" i="2"/>
  <c r="AV196" i="2"/>
  <c r="GN196" i="2"/>
  <c r="AW196" i="2"/>
  <c r="EW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A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EX197" i="2" s="1"/>
  <c r="DM197" i="2"/>
  <c r="CG197" i="2"/>
  <c r="BN197" i="2"/>
  <c r="ES197" i="2"/>
  <c r="DV197" i="2"/>
  <c r="ET197" i="2"/>
  <c r="DY197" i="2"/>
  <c r="DZ197" i="2"/>
  <c r="EC197" i="2" s="1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CM196" i="2"/>
  <c r="CM197" i="2" s="1"/>
  <c r="AX194" i="2"/>
  <c r="AU195" i="2"/>
  <c r="EY196" i="2"/>
  <c r="ED196" i="2"/>
  <c r="CK197" i="2" l="1"/>
  <c r="Z197" i="2"/>
  <c r="DI196" i="2"/>
  <c r="GO196" i="2"/>
  <c r="DF197" i="2"/>
  <c r="GL197" i="2"/>
  <c r="CN196" i="2"/>
  <c r="HJ196" i="2"/>
  <c r="FT196" i="2"/>
  <c r="HG197" i="2"/>
  <c r="FR197" i="2"/>
  <c r="GM197" i="2"/>
  <c r="HH197" i="2"/>
  <c r="EV197" i="2"/>
  <c r="EB197" i="2"/>
  <c r="ED197" i="2" s="1"/>
  <c r="FQ197" i="2"/>
  <c r="CL197" i="2"/>
  <c r="CN197" i="2" s="1"/>
  <c r="DG197" i="2"/>
  <c r="HI197" i="2"/>
  <c r="AB197" i="2"/>
  <c r="AC197" i="2" s="1"/>
  <c r="AC196" i="2"/>
  <c r="AV197" i="2"/>
  <c r="EW197" i="2"/>
  <c r="DH197" i="2"/>
  <c r="FS197" i="2"/>
  <c r="GN197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EX198" i="2" s="1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W197" i="2"/>
  <c r="AX195" i="2"/>
  <c r="AU196" i="2"/>
  <c r="HG198" i="2" l="1"/>
  <c r="Z198" i="2"/>
  <c r="DF198" i="2"/>
  <c r="EV198" i="2"/>
  <c r="CM198" i="2"/>
  <c r="EY197" i="2"/>
  <c r="HJ197" i="2"/>
  <c r="DI197" i="2"/>
  <c r="EA198" i="2"/>
  <c r="GO197" i="2"/>
  <c r="GL198" i="2"/>
  <c r="FT197" i="2"/>
  <c r="FQ198" i="2"/>
  <c r="GM198" i="2"/>
  <c r="HH198" i="2"/>
  <c r="AW198" i="2"/>
  <c r="FR198" i="2"/>
  <c r="DG198" i="2"/>
  <c r="EB198" i="2"/>
  <c r="AV198" i="2"/>
  <c r="GN198" i="2"/>
  <c r="DH198" i="2"/>
  <c r="EW198" i="2"/>
  <c r="EY198" i="2" s="1"/>
  <c r="AB198" i="2"/>
  <c r="EC198" i="2"/>
  <c r="ED198" i="2" s="1"/>
  <c r="AA198" i="2"/>
  <c r="FS198" i="2"/>
  <c r="CK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EV199" i="2" s="1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DF199" i="2" s="1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HI198" i="2"/>
  <c r="HI199" i="2" s="1"/>
  <c r="CL198" i="2"/>
  <c r="AX196" i="2"/>
  <c r="AU197" i="2"/>
  <c r="EA199" i="2" l="1"/>
  <c r="DI198" i="2"/>
  <c r="CL199" i="2"/>
  <c r="DG199" i="2"/>
  <c r="Z199" i="2"/>
  <c r="EB199" i="2"/>
  <c r="HJ198" i="2"/>
  <c r="GO198" i="2"/>
  <c r="GL199" i="2"/>
  <c r="FT198" i="2"/>
  <c r="FQ199" i="2"/>
  <c r="FR199" i="2"/>
  <c r="HH199" i="2"/>
  <c r="HJ199" i="2" s="1"/>
  <c r="CM199" i="2"/>
  <c r="GM199" i="2"/>
  <c r="CK199" i="2"/>
  <c r="EX199" i="2"/>
  <c r="AC198" i="2"/>
  <c r="CN198" i="2"/>
  <c r="AV199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EA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W199" i="2"/>
  <c r="DH199" i="2"/>
  <c r="DH200" i="2" s="1"/>
  <c r="GT4" i="2" a="1"/>
  <c r="GT4" i="2" s="1"/>
  <c r="GU4" i="2" s="1"/>
  <c r="BC4" i="2" a="1"/>
  <c r="BC4" i="2" s="1"/>
  <c r="BD4" i="2" s="1"/>
  <c r="FS199" i="2"/>
  <c r="EW199" i="2"/>
  <c r="EW200" i="2" s="1"/>
  <c r="GN199" i="2"/>
  <c r="GN200" i="2" s="1"/>
  <c r="AB199" i="2"/>
  <c r="AB200" i="2" s="1"/>
  <c r="BX4" i="2" a="1"/>
  <c r="BX4" i="2" s="1"/>
  <c r="BY4" i="2" s="1"/>
  <c r="AA199" i="2"/>
  <c r="EC199" i="2"/>
  <c r="EC200" i="2" s="1"/>
  <c r="EV200" i="2"/>
  <c r="AX197" i="2"/>
  <c r="AU198" i="2"/>
  <c r="DF200" i="2"/>
  <c r="FS200" i="2" l="1"/>
  <c r="CL200" i="2"/>
  <c r="HG200" i="2"/>
  <c r="CK200" i="2"/>
  <c r="HI200" i="2"/>
  <c r="CU4" i="2"/>
  <c r="CV4" i="2" s="1"/>
  <c r="CW4" i="2" s="1"/>
  <c r="CX4" i="2" s="1"/>
  <c r="BZ4" i="2"/>
  <c r="CA4" i="2" s="1"/>
  <c r="CB4" i="2" s="1"/>
  <c r="CC4" i="2" s="1"/>
  <c r="CM200" i="2"/>
  <c r="CN199" i="2"/>
  <c r="BE4" i="2"/>
  <c r="BF4" i="2" s="1"/>
  <c r="BG4" i="2" s="1"/>
  <c r="BH4" i="2" s="1"/>
  <c r="AW200" i="2"/>
  <c r="Z200" i="2"/>
  <c r="AA200" i="2"/>
  <c r="EB200" i="2"/>
  <c r="ED200" i="2" s="1"/>
  <c r="EX200" i="2"/>
  <c r="EY200" i="2" s="1"/>
  <c r="GO199" i="2"/>
  <c r="GL200" i="2"/>
  <c r="FQ200" i="2"/>
  <c r="FT199" i="2"/>
  <c r="GM200" i="2"/>
  <c r="HH200" i="2"/>
  <c r="HJ200" i="2" s="1"/>
  <c r="GV4" i="2"/>
  <c r="GW4" i="2" s="1"/>
  <c r="GX4" i="2" s="1"/>
  <c r="GY4" i="2" s="1"/>
  <c r="FR200" i="2"/>
  <c r="DG200" i="2"/>
  <c r="DI200" i="2" s="1"/>
  <c r="DI199" i="2"/>
  <c r="EY199" i="2"/>
  <c r="ED199" i="2"/>
  <c r="AC199" i="2"/>
  <c r="AV200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HI201" i="2" s="1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AU199" i="2"/>
  <c r="EV201" i="2" l="1"/>
  <c r="AC200" i="2"/>
  <c r="CK201" i="2"/>
  <c r="CN200" i="2"/>
  <c r="AI5" i="2"/>
  <c r="DG201" i="2"/>
  <c r="EA201" i="2"/>
  <c r="GN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HG201" i="2"/>
  <c r="GO200" i="2"/>
  <c r="FS201" i="2"/>
  <c r="FR201" i="2"/>
  <c r="GL201" i="2"/>
  <c r="GA4" i="2"/>
  <c r="GB4" i="2" s="1"/>
  <c r="GC4" i="2" s="1"/>
  <c r="GD4" i="2" s="1"/>
  <c r="HH201" i="2"/>
  <c r="FQ201" i="2"/>
  <c r="GM201" i="2"/>
  <c r="DF201" i="2"/>
  <c r="EB201" i="2"/>
  <c r="CM201" i="2"/>
  <c r="EX201" i="2"/>
  <c r="AW201" i="2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W201" i="2"/>
  <c r="AV201" i="2"/>
  <c r="CL201" i="2"/>
  <c r="CN201" i="2" s="1"/>
  <c r="EI5" i="2" a="1"/>
  <c r="EI5" i="2" s="1"/>
  <c r="EJ5" i="2" s="1"/>
  <c r="GT5" i="2" a="1"/>
  <c r="GT5" i="2" s="1"/>
  <c r="GU5" i="2" s="1"/>
  <c r="EC201" i="2"/>
  <c r="FY6" i="2" a="1"/>
  <c r="FY6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EV202" i="2" s="1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EB202" i="2" s="1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DG202" i="2" s="1"/>
  <c r="AS202" i="2"/>
  <c r="AG202" i="2"/>
  <c r="Y202" i="2"/>
  <c r="FD5" i="2" a="1"/>
  <c r="FD5" i="2" s="1"/>
  <c r="FE5" i="2" s="1"/>
  <c r="DH201" i="2"/>
  <c r="CS6" i="2" a="1"/>
  <c r="CS6" i="2" s="1"/>
  <c r="CS5" i="2" a="1"/>
  <c r="CS5" i="2" s="1"/>
  <c r="CT5" i="2" s="1"/>
  <c r="AU200" i="2"/>
  <c r="AX199" i="2"/>
  <c r="EY201" i="2"/>
  <c r="ED201" i="2" l="1"/>
  <c r="FZ6" i="2"/>
  <c r="DI201" i="2"/>
  <c r="HJ201" i="2"/>
  <c r="FF5" i="2"/>
  <c r="FG5" i="2" s="1"/>
  <c r="FH5" i="2" s="1"/>
  <c r="FI5" i="2" s="1"/>
  <c r="EK5" i="2"/>
  <c r="EL5" i="2" s="1"/>
  <c r="EM5" i="2" s="1"/>
  <c r="EN5" i="2" s="1"/>
  <c r="EX202" i="2"/>
  <c r="DP5" i="2"/>
  <c r="DQ5" i="2" s="1"/>
  <c r="DR5" i="2" s="1"/>
  <c r="DS5" i="2" s="1"/>
  <c r="CT6" i="2"/>
  <c r="CU5" i="2"/>
  <c r="CV5" i="2" s="1"/>
  <c r="CW5" i="2" s="1"/>
  <c r="CX5" i="2" s="1"/>
  <c r="CM202" i="2"/>
  <c r="BZ5" i="2"/>
  <c r="CA5" i="2" s="1"/>
  <c r="CB5" i="2" s="1"/>
  <c r="CC5" i="2" s="1"/>
  <c r="O5" i="2"/>
  <c r="P5" i="2" s="1"/>
  <c r="Q5" i="2" s="1"/>
  <c r="R5" i="2" s="1"/>
  <c r="HG202" i="2"/>
  <c r="GL202" i="2"/>
  <c r="GO201" i="2"/>
  <c r="FT201" i="2"/>
  <c r="FS202" i="2"/>
  <c r="GA5" i="2"/>
  <c r="GB5" i="2" s="1"/>
  <c r="GC5" i="2" s="1"/>
  <c r="GD5" i="2" s="1"/>
  <c r="GV5" i="2"/>
  <c r="GW5" i="2" s="1"/>
  <c r="GX5" i="2" s="1"/>
  <c r="GY5" i="2" s="1"/>
  <c r="GM202" i="2"/>
  <c r="DF202" i="2"/>
  <c r="FQ202" i="2"/>
  <c r="EA202" i="2"/>
  <c r="CK202" i="2"/>
  <c r="AC201" i="2"/>
  <c r="Z202" i="2"/>
  <c r="AB202" i="2"/>
  <c r="AW202" i="2"/>
  <c r="AJ5" i="2"/>
  <c r="AK5" i="2" s="1"/>
  <c r="AL5" i="2" s="1"/>
  <c r="AM5" i="2" s="1"/>
  <c r="FD6" i="2" a="1"/>
  <c r="FD6" i="2" s="1"/>
  <c r="FE6" i="2" s="1"/>
  <c r="FR202" i="2"/>
  <c r="EI6" i="2" a="1"/>
  <c r="EI6" i="2" s="1"/>
  <c r="EJ6" i="2" s="1"/>
  <c r="M6" i="2" a="1"/>
  <c r="M6" i="2" s="1"/>
  <c r="N6" i="2" s="1"/>
  <c r="DH202" i="2"/>
  <c r="GN202" i="2"/>
  <c r="GT6" i="2" a="1"/>
  <c r="GT6" i="2" s="1"/>
  <c r="GU6" i="2" s="1"/>
  <c r="BC6" i="2" a="1"/>
  <c r="BC6" i="2" s="1"/>
  <c r="BD6" i="2" s="1"/>
  <c r="AA202" i="2"/>
  <c r="AC202" i="2" s="1"/>
  <c r="AV202" i="2"/>
  <c r="BX6" i="2" a="1"/>
  <c r="BX6" i="2" s="1"/>
  <c r="BY6" i="2" s="1"/>
  <c r="HH202" i="2"/>
  <c r="CL202" i="2"/>
  <c r="EW202" i="2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29" i="2" s="1" a="1"/>
  <c r="BX29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116" i="2" s="1" a="1"/>
  <c r="CS116" i="2" s="1"/>
  <c r="CI203" i="2"/>
  <c r="AF203" i="2"/>
  <c r="V203" i="2"/>
  <c r="DB203" i="2"/>
  <c r="DG203" i="2" s="1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37" i="2" s="1" a="1"/>
  <c r="AH37" i="2" s="1"/>
  <c r="FY7" i="2" a="1"/>
  <c r="FY7" i="2" s="1"/>
  <c r="FZ7" i="2" s="1"/>
  <c r="FY61" i="2" a="1"/>
  <c r="FY61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51" i="2" a="1"/>
  <c r="GT51" i="2" s="1"/>
  <c r="GT122" i="2" a="1"/>
  <c r="GT122" i="2" s="1"/>
  <c r="GT121" i="2" a="1"/>
  <c r="GT121" i="2" s="1"/>
  <c r="GT133" i="2" a="1"/>
  <c r="GT133" i="2" s="1"/>
  <c r="GT11" i="2" a="1"/>
  <c r="GT11" i="2" s="1"/>
  <c r="EI29" i="2" a="1"/>
  <c r="EI29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EC202" i="2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EI36" i="2" a="1"/>
  <c r="EI36" i="2" s="1"/>
  <c r="EI16" i="2" a="1"/>
  <c r="EI16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EY202" i="2"/>
  <c r="AX200" i="2"/>
  <c r="AU201" i="2"/>
  <c r="GT15" i="2" l="1" a="1"/>
  <c r="GT15" i="2" s="1"/>
  <c r="GT74" i="2" a="1"/>
  <c r="GT74" i="2" s="1"/>
  <c r="GT102" i="2" a="1"/>
  <c r="GT102" i="2" s="1"/>
  <c r="GT68" i="2" a="1"/>
  <c r="GT68" i="2" s="1"/>
  <c r="GT147" i="2" a="1"/>
  <c r="GT147" i="2" s="1"/>
  <c r="GT181" i="2" a="1"/>
  <c r="GT181" i="2" s="1"/>
  <c r="GT152" i="2" a="1"/>
  <c r="GT152" i="2" s="1"/>
  <c r="GT184" i="2" a="1"/>
  <c r="GT184" i="2" s="1"/>
  <c r="GT33" i="2" a="1"/>
  <c r="GT33" i="2" s="1"/>
  <c r="GT115" i="2" a="1"/>
  <c r="GT115" i="2" s="1"/>
  <c r="EV203" i="2"/>
  <c r="BX136" i="2" a="1"/>
  <c r="BX136" i="2" s="1"/>
  <c r="CS114" i="2" a="1"/>
  <c r="CS114" i="2" s="1"/>
  <c r="BX55" i="2" a="1"/>
  <c r="BX55" i="2" s="1"/>
  <c r="BX54" i="2" a="1"/>
  <c r="BX54" i="2" s="1"/>
  <c r="BX7" i="2" a="1"/>
  <c r="BX7" i="2" s="1"/>
  <c r="CS58" i="2" a="1"/>
  <c r="CS58" i="2" s="1"/>
  <c r="BX177" i="2" a="1"/>
  <c r="BX177" i="2" s="1"/>
  <c r="BC84" i="2" a="1"/>
  <c r="BC84" i="2" s="1"/>
  <c r="BC47" i="2" a="1"/>
  <c r="BC47" i="2" s="1"/>
  <c r="BC18" i="2" a="1"/>
  <c r="BC18" i="2" s="1"/>
  <c r="BC7" i="2" a="1"/>
  <c r="BC7" i="2" s="1"/>
  <c r="BD7" i="2" s="1"/>
  <c r="BC55" i="2" a="1"/>
  <c r="BC55" i="2" s="1"/>
  <c r="BC65" i="2" a="1"/>
  <c r="BC65" i="2" s="1"/>
  <c r="BC31" i="2" a="1"/>
  <c r="BC31" i="2" s="1"/>
  <c r="BC181" i="2" a="1"/>
  <c r="BC181" i="2" s="1"/>
  <c r="BC34" i="2" a="1"/>
  <c r="BC34" i="2" s="1"/>
  <c r="BC32" i="2" a="1"/>
  <c r="BC32" i="2" s="1"/>
  <c r="BC83" i="2" a="1"/>
  <c r="BC83" i="2" s="1"/>
  <c r="BC126" i="2" a="1"/>
  <c r="BC126" i="2" s="1"/>
  <c r="BC38" i="2" a="1"/>
  <c r="BC38" i="2" s="1"/>
  <c r="BC114" i="2" a="1"/>
  <c r="BC114" i="2" s="1"/>
  <c r="BC164" i="2" a="1"/>
  <c r="BC164" i="2" s="1"/>
  <c r="BC151" i="2" a="1"/>
  <c r="BC151" i="2" s="1"/>
  <c r="BC192" i="2" a="1"/>
  <c r="BC192" i="2" s="1"/>
  <c r="BC82" i="2" a="1"/>
  <c r="BC82" i="2" s="1"/>
  <c r="BC185" i="2" a="1"/>
  <c r="BC185" i="2" s="1"/>
  <c r="BC130" i="2" a="1"/>
  <c r="BC130" i="2" s="1"/>
  <c r="BC68" i="2" a="1"/>
  <c r="BC68" i="2" s="1"/>
  <c r="BC143" i="2" a="1"/>
  <c r="BC143" i="2" s="1"/>
  <c r="BC117" i="2" a="1"/>
  <c r="BC117" i="2" s="1"/>
  <c r="BC146" i="2" a="1"/>
  <c r="BC146" i="2" s="1"/>
  <c r="BC15" i="2" a="1"/>
  <c r="BC15" i="2" s="1"/>
  <c r="BC196" i="2" a="1"/>
  <c r="BC196" i="2" s="1"/>
  <c r="EI113" i="2" a="1"/>
  <c r="EI113" i="2" s="1"/>
  <c r="EI87" i="2" a="1"/>
  <c r="EI87" i="2" s="1"/>
  <c r="EI106" i="2" a="1"/>
  <c r="EI106" i="2" s="1"/>
  <c r="EI109" i="2" a="1"/>
  <c r="EI109" i="2" s="1"/>
  <c r="EI153" i="2" a="1"/>
  <c r="EI153" i="2" s="1"/>
  <c r="EA203" i="2"/>
  <c r="EI128" i="2" a="1"/>
  <c r="EI128" i="2" s="1"/>
  <c r="EI37" i="2" a="1"/>
  <c r="EI37" i="2" s="1"/>
  <c r="EI20" i="2" a="1"/>
  <c r="EI20" i="2" s="1"/>
  <c r="EI38" i="2" a="1"/>
  <c r="EI38" i="2" s="1"/>
  <c r="EI142" i="2" a="1"/>
  <c r="EI142" i="2" s="1"/>
  <c r="EI166" i="2" a="1"/>
  <c r="EI166" i="2" s="1"/>
  <c r="DF203" i="2"/>
  <c r="HJ202" i="2"/>
  <c r="EI35" i="2" a="1"/>
  <c r="EI35" i="2" s="1"/>
  <c r="EI34" i="2" a="1"/>
  <c r="EI34" i="2" s="1"/>
  <c r="EI195" i="2" a="1"/>
  <c r="EI195" i="2" s="1"/>
  <c r="EI178" i="2" a="1"/>
  <c r="EI178" i="2" s="1"/>
  <c r="EI198" i="2" a="1"/>
  <c r="EI198" i="2" s="1"/>
  <c r="EI139" i="2" a="1"/>
  <c r="EI139" i="2" s="1"/>
  <c r="EI165" i="2" a="1"/>
  <c r="EI165" i="2" s="1"/>
  <c r="EI145" i="2" a="1"/>
  <c r="EI145" i="2" s="1"/>
  <c r="EI67" i="2" a="1"/>
  <c r="EI67" i="2" s="1"/>
  <c r="EI71" i="2" a="1"/>
  <c r="EI71" i="2" s="1"/>
  <c r="EI162" i="2" a="1"/>
  <c r="EI162" i="2" s="1"/>
  <c r="EI170" i="2" a="1"/>
  <c r="EI170" i="2" s="1"/>
  <c r="EI57" i="2" a="1"/>
  <c r="EI57" i="2" s="1"/>
  <c r="EI150" i="2" a="1"/>
  <c r="EI150" i="2" s="1"/>
  <c r="FY125" i="2" a="1"/>
  <c r="FY125" i="2" s="1"/>
  <c r="BX157" i="2" a="1"/>
  <c r="BX157" i="2" s="1"/>
  <c r="BC71" i="2" a="1"/>
  <c r="BC71" i="2" s="1"/>
  <c r="BC58" i="2" a="1"/>
  <c r="BC58" i="2" s="1"/>
  <c r="AH89" i="2" a="1"/>
  <c r="AH89" i="2" s="1"/>
  <c r="AH83" i="2" a="1"/>
  <c r="AH83" i="2" s="1"/>
  <c r="AH157" i="2" a="1"/>
  <c r="AH157" i="2" s="1"/>
  <c r="AH155" i="2" a="1"/>
  <c r="AH155" i="2" s="1"/>
  <c r="AH199" i="2" a="1"/>
  <c r="AH199" i="2" s="1"/>
  <c r="HG203" i="2"/>
  <c r="BX17" i="2" a="1"/>
  <c r="BX17" i="2" s="1"/>
  <c r="CS134" i="2" a="1"/>
  <c r="CS134" i="2" s="1"/>
  <c r="CS24" i="2" a="1"/>
  <c r="CS24" i="2" s="1"/>
  <c r="BX63" i="2" a="1"/>
  <c r="BX63" i="2" s="1"/>
  <c r="AH201" i="2" a="1"/>
  <c r="AH201" i="2" s="1"/>
  <c r="BX73" i="2" a="1"/>
  <c r="BX73" i="2" s="1"/>
  <c r="CS66" i="2" a="1"/>
  <c r="CS66" i="2" s="1"/>
  <c r="CS133" i="2" a="1"/>
  <c r="CS133" i="2" s="1"/>
  <c r="AH17" i="2" a="1"/>
  <c r="AH17" i="2" s="1"/>
  <c r="CK203" i="2"/>
  <c r="BX65" i="2" a="1"/>
  <c r="BX65" i="2" s="1"/>
  <c r="BX80" i="2" a="1"/>
  <c r="BX80" i="2" s="1"/>
  <c r="BX66" i="2" a="1"/>
  <c r="BX66" i="2" s="1"/>
  <c r="BX36" i="2" a="1"/>
  <c r="BX36" i="2" s="1"/>
  <c r="BX72" i="2" a="1"/>
  <c r="BX72" i="2" s="1"/>
  <c r="EC203" i="2"/>
  <c r="BX146" i="2" a="1"/>
  <c r="BX146" i="2" s="1"/>
  <c r="BX79" i="2" a="1"/>
  <c r="BX79" i="2" s="1"/>
  <c r="CS120" i="2" a="1"/>
  <c r="CS120" i="2" s="1"/>
  <c r="AH163" i="2" a="1"/>
  <c r="AH163" i="2" s="1"/>
  <c r="AH186" i="2" a="1"/>
  <c r="AH186" i="2" s="1"/>
  <c r="BX96" i="2" a="1"/>
  <c r="BX96" i="2" s="1"/>
  <c r="BX158" i="2" a="1"/>
  <c r="BX158" i="2" s="1"/>
  <c r="BX9" i="2" a="1"/>
  <c r="BX9" i="2" s="1"/>
  <c r="BX59" i="2" a="1"/>
  <c r="BX59" i="2" s="1"/>
  <c r="BX100" i="2" a="1"/>
  <c r="BX100" i="2" s="1"/>
  <c r="AH62" i="2" a="1"/>
  <c r="AH62" i="2" s="1"/>
  <c r="AH19" i="2" a="1"/>
  <c r="AH19" i="2" s="1"/>
  <c r="AH79" i="2" a="1"/>
  <c r="AH79" i="2" s="1"/>
  <c r="BX142" i="2" a="1"/>
  <c r="BX142" i="2" s="1"/>
  <c r="BX125" i="2" a="1"/>
  <c r="BX125" i="2" s="1"/>
  <c r="BX163" i="2" a="1"/>
  <c r="BX163" i="2" s="1"/>
  <c r="CS195" i="2" a="1"/>
  <c r="CS195" i="2" s="1"/>
  <c r="CS27" i="2" a="1"/>
  <c r="CS27" i="2" s="1"/>
  <c r="AH143" i="2" a="1"/>
  <c r="AH143" i="2" s="1"/>
  <c r="BX171" i="2" a="1"/>
  <c r="BX171" i="2" s="1"/>
  <c r="CS56" i="2" a="1"/>
  <c r="CS56" i="2" s="1"/>
  <c r="AH166" i="2" a="1"/>
  <c r="AH166" i="2" s="1"/>
  <c r="AH90" i="2" a="1"/>
  <c r="AH90" i="2" s="1"/>
  <c r="AH14" i="2" a="1"/>
  <c r="AH14" i="2" s="1"/>
  <c r="BX182" i="2" a="1"/>
  <c r="BX182" i="2" s="1"/>
  <c r="BX110" i="2" a="1"/>
  <c r="BX110" i="2" s="1"/>
  <c r="BX197" i="2" a="1"/>
  <c r="BX197" i="2" s="1"/>
  <c r="AH38" i="2" a="1"/>
  <c r="AH38" i="2" s="1"/>
  <c r="AH140" i="2" a="1"/>
  <c r="AH140" i="2" s="1"/>
  <c r="EX203" i="2"/>
  <c r="BX150" i="2" a="1"/>
  <c r="BX150" i="2" s="1"/>
  <c r="AH144" i="2" a="1"/>
  <c r="AH144" i="2" s="1"/>
  <c r="BX8" i="2" a="1"/>
  <c r="BX8" i="2" s="1"/>
  <c r="AH151" i="2" a="1"/>
  <c r="AH151" i="2" s="1"/>
  <c r="BX174" i="2" a="1"/>
  <c r="BX174" i="2" s="1"/>
  <c r="BX113" i="2" a="1"/>
  <c r="BX113" i="2" s="1"/>
  <c r="CS137" i="2" a="1"/>
  <c r="CS137" i="2" s="1"/>
  <c r="CS129" i="2" a="1"/>
  <c r="CS129" i="2" s="1"/>
  <c r="AH92" i="2" a="1"/>
  <c r="AH92" i="2" s="1"/>
  <c r="AH162" i="2" a="1"/>
  <c r="AH162" i="2" s="1"/>
  <c r="BX51" i="2" a="1"/>
  <c r="BX51" i="2" s="1"/>
  <c r="BX50" i="2" a="1"/>
  <c r="BX50" i="2" s="1"/>
  <c r="CS38" i="2" a="1"/>
  <c r="CS38" i="2" s="1"/>
  <c r="AH146" i="2" a="1"/>
  <c r="AH146" i="2" s="1"/>
  <c r="CS77" i="2" a="1"/>
  <c r="CS77" i="2" s="1"/>
  <c r="BX201" i="2" a="1"/>
  <c r="BX201" i="2" s="1"/>
  <c r="BX119" i="2" a="1"/>
  <c r="BX119" i="2" s="1"/>
  <c r="BX176" i="2" a="1"/>
  <c r="BX176" i="2" s="1"/>
  <c r="CS52" i="2" a="1"/>
  <c r="CS52" i="2" s="1"/>
  <c r="AH198" i="2" a="1"/>
  <c r="AH198" i="2" s="1"/>
  <c r="AH185" i="2" a="1"/>
  <c r="AH185" i="2" s="1"/>
  <c r="BX107" i="2" a="1"/>
  <c r="BX107" i="2" s="1"/>
  <c r="CS105" i="2" a="1"/>
  <c r="CS105" i="2" s="1"/>
  <c r="AH197" i="2" a="1"/>
  <c r="AH197" i="2" s="1"/>
  <c r="BX152" i="2" a="1"/>
  <c r="BX152" i="2" s="1"/>
  <c r="BX12" i="2" a="1"/>
  <c r="BX12" i="2" s="1"/>
  <c r="BX67" i="2" a="1"/>
  <c r="BX67" i="2" s="1"/>
  <c r="AH136" i="2" a="1"/>
  <c r="AH136" i="2" s="1"/>
  <c r="CS72" i="2" a="1"/>
  <c r="CS72" i="2" s="1"/>
  <c r="BX159" i="2" a="1"/>
  <c r="BX159" i="2" s="1"/>
  <c r="BX155" i="2" a="1"/>
  <c r="BX155" i="2" s="1"/>
  <c r="CS185" i="2" a="1"/>
  <c r="CS185" i="2" s="1"/>
  <c r="BX58" i="2" a="1"/>
  <c r="BX58" i="2" s="1"/>
  <c r="CS161" i="2" a="1"/>
  <c r="CS161" i="2" s="1"/>
  <c r="AH56" i="2" a="1"/>
  <c r="AH56" i="2" s="1"/>
  <c r="BX76" i="2" a="1"/>
  <c r="BX76" i="2" s="1"/>
  <c r="BX41" i="2" a="1"/>
  <c r="BX41" i="2" s="1"/>
  <c r="BX117" i="2" a="1"/>
  <c r="BX117" i="2" s="1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B203" i="2"/>
  <c r="FY107" i="2" a="1"/>
  <c r="FY107" i="2" s="1"/>
  <c r="FY187" i="2" a="1"/>
  <c r="FY187" i="2" s="1"/>
  <c r="FY65" i="2" a="1"/>
  <c r="FY65" i="2" s="1"/>
  <c r="FY168" i="2" a="1"/>
  <c r="FY168" i="2" s="1"/>
  <c r="GL203" i="2"/>
  <c r="FT202" i="2"/>
  <c r="FQ203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CM203" i="2"/>
  <c r="AB203" i="2"/>
  <c r="HI203" i="2"/>
  <c r="GM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W203" i="2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HH203" i="2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GN203" i="2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AV203" i="2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R203" i="2"/>
  <c r="FT203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H203" i="2"/>
  <c r="DI203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W203" i="2"/>
  <c r="EY203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L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AU202" i="2"/>
  <c r="ED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U203" i="2"/>
  <c r="AX203" i="2" s="1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0" i="4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BY34" i="2"/>
  <c r="BZ33" i="2"/>
  <c r="CA33" i="2" s="1"/>
  <c r="CB33" i="2" s="1"/>
  <c r="CC3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CY172" i="2"/>
  <c r="CY21" i="2"/>
  <c r="CY130" i="2"/>
  <c r="CY74" i="2"/>
  <c r="CY93" i="2"/>
  <c r="CY26" i="2"/>
  <c r="CY80" i="2"/>
  <c r="CY47" i="2"/>
  <c r="CY85" i="2"/>
  <c r="CY201" i="2"/>
  <c r="CY175" i="2"/>
  <c r="CY176" i="2"/>
  <c r="CY70" i="2"/>
  <c r="CY62" i="2"/>
  <c r="CY4" i="2"/>
  <c r="CY164" i="2"/>
  <c r="CY7" i="2"/>
  <c r="CY168" i="2"/>
  <c r="CY51" i="2"/>
  <c r="CY66" i="2"/>
  <c r="CY69" i="2"/>
  <c r="CY10" i="2"/>
  <c r="CY39" i="2"/>
  <c r="CY68" i="2"/>
  <c r="CY73" i="2"/>
  <c r="CY60" i="2"/>
  <c r="CY107" i="2"/>
  <c r="CY6" i="2"/>
  <c r="CY117" i="2"/>
  <c r="CY13" i="2"/>
  <c r="CY109" i="2"/>
  <c r="CY24" i="2"/>
  <c r="CY152" i="2"/>
  <c r="CY44" i="2"/>
  <c r="CY137" i="2"/>
  <c r="CY91" i="2"/>
  <c r="CY174" i="2"/>
  <c r="CY18" i="2"/>
  <c r="CY81" i="2"/>
  <c r="CY187" i="2"/>
  <c r="CY75" i="2"/>
  <c r="CY194" i="2"/>
  <c r="CY9" i="2"/>
  <c r="CY193" i="2"/>
  <c r="CY22" i="2"/>
  <c r="CY101" i="2"/>
  <c r="CY147" i="2"/>
  <c r="CY203" i="2"/>
  <c r="CY40" i="2"/>
  <c r="CY195" i="2"/>
  <c r="CY83" i="2"/>
  <c r="CY77" i="2"/>
  <c r="CY45" i="2"/>
  <c r="CY36" i="2"/>
  <c r="CY127" i="2"/>
  <c r="CY88" i="2"/>
  <c r="CY119" i="2"/>
  <c r="CY25" i="2"/>
  <c r="CY183" i="2"/>
  <c r="CY196" i="2"/>
  <c r="CY184" i="2"/>
  <c r="CY54" i="2"/>
  <c r="CY160" i="2"/>
  <c r="CY78" i="2"/>
  <c r="CY67" i="2"/>
  <c r="CY171" i="2"/>
  <c r="CY169" i="2"/>
  <c r="CY163" i="2"/>
  <c r="CY14" i="2"/>
  <c r="CY65" i="2"/>
  <c r="CY82" i="2"/>
  <c r="CY84" i="2"/>
  <c r="CY113" i="2"/>
  <c r="CY8" i="2"/>
  <c r="CY118" i="2"/>
  <c r="CY5" i="2"/>
  <c r="CY42" i="2"/>
  <c r="CY157" i="2"/>
  <c r="CY178" i="2"/>
  <c r="CY140" i="2"/>
  <c r="CY202" i="2"/>
  <c r="CY182" i="2"/>
  <c r="CY29" i="2"/>
  <c r="CY129" i="2"/>
  <c r="CY71" i="2"/>
  <c r="CY188" i="2"/>
  <c r="CY49" i="2"/>
  <c r="CY27" i="2"/>
  <c r="CY106" i="2"/>
  <c r="CY53" i="2"/>
  <c r="CY35" i="2"/>
  <c r="CY34" i="2"/>
  <c r="CY23" i="2"/>
  <c r="CY185" i="2"/>
  <c r="CY167" i="2"/>
  <c r="CY165" i="2"/>
  <c r="CY30" i="2"/>
  <c r="CY156" i="2"/>
  <c r="CY112" i="2"/>
  <c r="CY64" i="2"/>
  <c r="CY161" i="2"/>
  <c r="CY132" i="2"/>
  <c r="CY20" i="2"/>
  <c r="CY170" i="2"/>
  <c r="CY55" i="2"/>
  <c r="CY57" i="2"/>
  <c r="CY148" i="2"/>
  <c r="CY136" i="2"/>
  <c r="CY124" i="2"/>
  <c r="CY145" i="2"/>
  <c r="CY151" i="2"/>
  <c r="CY58" i="2"/>
  <c r="CY121" i="2"/>
  <c r="CY159" i="2"/>
  <c r="CY126" i="2"/>
  <c r="CY115" i="2"/>
  <c r="CY33" i="2"/>
  <c r="CY97" i="2"/>
  <c r="CY192" i="2"/>
  <c r="CY153" i="2"/>
  <c r="CY134" i="2"/>
  <c r="CY197" i="2"/>
  <c r="CY38" i="2"/>
  <c r="CY138" i="2"/>
  <c r="CY86" i="2"/>
  <c r="CY162" i="2"/>
  <c r="CY122" i="2"/>
  <c r="CY15" i="2"/>
  <c r="CY41" i="2"/>
  <c r="CY158" i="2"/>
  <c r="CY48" i="2"/>
  <c r="CY180" i="2"/>
  <c r="CY11" i="2"/>
  <c r="CY16" i="2"/>
  <c r="CY63" i="2"/>
  <c r="CY87" i="2"/>
  <c r="CY155" i="2"/>
  <c r="CY149" i="2"/>
  <c r="CY79" i="2"/>
  <c r="CY125" i="2"/>
  <c r="CY111" i="2"/>
  <c r="CY173" i="2"/>
  <c r="CY56" i="2"/>
  <c r="CY141" i="2"/>
  <c r="CY181" i="2"/>
  <c r="CY144" i="2"/>
  <c r="CY99" i="2"/>
  <c r="CY96" i="2"/>
  <c r="CY95" i="2"/>
  <c r="CY94" i="2"/>
  <c r="CY72" i="2"/>
  <c r="CY116" i="2"/>
  <c r="CY19" i="2"/>
  <c r="CY59" i="2"/>
  <c r="CY100" i="2"/>
  <c r="CY108" i="2"/>
  <c r="CY139" i="2"/>
  <c r="CY32" i="2"/>
  <c r="CY166" i="2"/>
  <c r="CY103" i="2"/>
  <c r="CY190" i="2"/>
  <c r="CY186" i="2"/>
  <c r="CY135" i="2"/>
  <c r="CY150" i="2"/>
  <c r="CY179" i="2"/>
  <c r="CY52" i="2"/>
  <c r="CY37" i="2"/>
  <c r="CY102" i="2"/>
  <c r="CY131" i="2"/>
  <c r="CY46" i="2"/>
  <c r="CY114" i="2"/>
  <c r="CY50" i="2"/>
  <c r="CY123" i="2"/>
  <c r="CY142" i="2"/>
  <c r="CY200" i="2"/>
  <c r="CY31" i="2"/>
  <c r="CY105" i="2"/>
  <c r="CY12" i="2"/>
  <c r="CY143" i="2"/>
  <c r="CY98" i="2"/>
  <c r="CY177" i="2"/>
  <c r="CY198" i="2"/>
  <c r="CY133" i="2"/>
  <c r="CY110" i="2"/>
  <c r="CY92" i="2"/>
  <c r="CY154" i="2"/>
  <c r="CY28" i="2"/>
  <c r="CY191" i="2"/>
  <c r="CY146" i="2"/>
  <c r="CY104" i="2"/>
  <c r="CY76" i="2"/>
  <c r="CY90" i="2"/>
  <c r="CY189" i="2"/>
  <c r="CY61" i="2"/>
  <c r="CY120" i="2"/>
  <c r="CY17" i="2"/>
  <c r="CY199" i="2"/>
  <c r="CY43" i="2"/>
  <c r="CY89" i="2"/>
  <c r="CY128" i="2"/>
  <c r="CY3" i="2"/>
  <c r="C10" i="4" s="1"/>
  <c r="E10" i="4" s="1"/>
  <c r="F10" i="4" s="1"/>
  <c r="G10" i="4" s="1"/>
  <c r="L10" i="4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FK3" i="2" s="1"/>
  <c r="EJ104" i="2"/>
  <c r="EK103" i="2"/>
  <c r="EL103" i="2" s="1"/>
  <c r="EM103" i="2" s="1"/>
  <c r="EN103" i="2" s="1"/>
  <c r="EP3" i="2" s="1"/>
  <c r="DO104" i="2"/>
  <c r="DP103" i="2"/>
  <c r="DQ103" i="2" s="1"/>
  <c r="DR103" i="2" s="1"/>
  <c r="DS103" i="2" s="1"/>
  <c r="DU3" i="2" s="1"/>
  <c r="CT104" i="2"/>
  <c r="CU103" i="2"/>
  <c r="CV103" i="2" s="1"/>
  <c r="CW103" i="2" s="1"/>
  <c r="CX103" i="2" s="1"/>
  <c r="CZ3" i="2" s="1"/>
  <c r="BY104" i="2"/>
  <c r="BZ103" i="2"/>
  <c r="CA103" i="2" s="1"/>
  <c r="CB103" i="2" s="1"/>
  <c r="CC103" i="2" s="1"/>
  <c r="CE3" i="2" s="1"/>
  <c r="D9" i="4" s="1"/>
  <c r="N104" i="2"/>
  <c r="O103" i="2"/>
  <c r="P103" i="2" s="1"/>
  <c r="Q103" i="2" s="1"/>
  <c r="R103" i="2" s="1"/>
  <c r="GA103" i="2"/>
  <c r="GB103" i="2" s="1"/>
  <c r="GC103" i="2" s="1"/>
  <c r="GD103" i="2" s="1"/>
  <c r="GF3" i="2" s="1"/>
  <c r="GV103" i="2"/>
  <c r="GW103" i="2" s="1"/>
  <c r="GX103" i="2" s="1"/>
  <c r="GY103" i="2" s="1"/>
  <c r="HA3" i="2" s="1"/>
  <c r="AJ103" i="2"/>
  <c r="AK103" i="2" s="1"/>
  <c r="AL103" i="2" s="1"/>
  <c r="AM103" i="2" s="1"/>
  <c r="AO3" i="2" s="1"/>
  <c r="D7" i="4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BP20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P21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P22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P23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P24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P25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P26" i="2"/>
  <c r="BF26" i="2"/>
  <c r="BG26" i="2" s="1"/>
  <c r="BH26" i="2" s="1"/>
  <c r="CD61" i="2" l="1"/>
  <c r="CD158" i="2"/>
  <c r="CD169" i="2"/>
  <c r="CD151" i="2"/>
  <c r="CD163" i="2"/>
  <c r="CD32" i="2"/>
  <c r="CD74" i="2"/>
  <c r="CD177" i="2"/>
  <c r="CD176" i="2"/>
  <c r="CD18" i="2"/>
  <c r="CD120" i="2"/>
  <c r="CD150" i="2"/>
  <c r="CD187" i="2"/>
  <c r="CD97" i="2"/>
  <c r="CD119" i="2"/>
  <c r="CD168" i="2"/>
  <c r="CD101" i="2"/>
  <c r="CD106" i="2"/>
  <c r="CD22" i="2"/>
  <c r="CD198" i="2"/>
  <c r="CD133" i="2"/>
  <c r="CD121" i="2"/>
  <c r="CD14" i="2"/>
  <c r="CD43" i="2"/>
  <c r="CD60" i="2"/>
  <c r="CD99" i="2"/>
  <c r="CD29" i="2"/>
  <c r="CD135" i="2"/>
  <c r="CD102" i="2"/>
  <c r="CD147" i="2"/>
  <c r="CD79" i="2"/>
  <c r="CD66" i="2"/>
  <c r="CD166" i="2"/>
  <c r="CD71" i="2"/>
  <c r="CD200" i="2"/>
  <c r="CD69" i="2"/>
  <c r="CD114" i="2"/>
  <c r="CD63" i="2"/>
  <c r="CD28" i="2"/>
  <c r="CD202" i="2"/>
  <c r="CD78" i="2"/>
  <c r="CD91" i="2"/>
  <c r="CD184" i="2"/>
  <c r="CD41" i="2"/>
  <c r="CD116" i="2"/>
  <c r="CD144" i="2"/>
  <c r="CD3" i="2"/>
  <c r="C9" i="4" s="1"/>
  <c r="E9" i="4" s="1"/>
  <c r="F9" i="4" s="1"/>
  <c r="G9" i="4" s="1"/>
  <c r="L9" i="4" s="1"/>
  <c r="CD194" i="2"/>
  <c r="CD129" i="2"/>
  <c r="CD148" i="2"/>
  <c r="CD154" i="2"/>
  <c r="CD139" i="2"/>
  <c r="CD100" i="2"/>
  <c r="CD34" i="2"/>
  <c r="CD108" i="2"/>
  <c r="CD190" i="2"/>
  <c r="CD8" i="2"/>
  <c r="CD153" i="2"/>
  <c r="CD64" i="2"/>
  <c r="CD76" i="2"/>
  <c r="CD104" i="2"/>
  <c r="CD7" i="2"/>
  <c r="CD85" i="2"/>
  <c r="CD136" i="2"/>
  <c r="CD162" i="2"/>
  <c r="CD81" i="2"/>
  <c r="CD145" i="2"/>
  <c r="CD56" i="2"/>
  <c r="CD185" i="2"/>
  <c r="CD196" i="2"/>
  <c r="CD26" i="2"/>
  <c r="CD113" i="2"/>
  <c r="CD72" i="2"/>
  <c r="CD171" i="2"/>
  <c r="CD95" i="2"/>
  <c r="CD6" i="2"/>
  <c r="CD24" i="2"/>
  <c r="CD48" i="2"/>
  <c r="CD77" i="2"/>
  <c r="CD93" i="2"/>
  <c r="CD122" i="2"/>
  <c r="CD88" i="2"/>
  <c r="CD62" i="2"/>
  <c r="CD189" i="2"/>
  <c r="CD42" i="2"/>
  <c r="CD53" i="2"/>
  <c r="CD94" i="2"/>
  <c r="CD131" i="2"/>
  <c r="CD141" i="2"/>
  <c r="CD123" i="2"/>
  <c r="CD132" i="2"/>
  <c r="CD142" i="2"/>
  <c r="CD157" i="2"/>
  <c r="CD161" i="2"/>
  <c r="CD37" i="2"/>
  <c r="CD12" i="2"/>
  <c r="CD5" i="2"/>
  <c r="CD167" i="2"/>
  <c r="CD149" i="2"/>
  <c r="CD55" i="2"/>
  <c r="CD109" i="2"/>
  <c r="CD50" i="2"/>
  <c r="CD57" i="2"/>
  <c r="CD92" i="2"/>
  <c r="CD164" i="2"/>
  <c r="CD170" i="2"/>
  <c r="CD51" i="2"/>
  <c r="CD40" i="2"/>
  <c r="CD173" i="2"/>
  <c r="CD195" i="2"/>
  <c r="CD23" i="2"/>
  <c r="CD138" i="2"/>
  <c r="CD86" i="2"/>
  <c r="CD181" i="2"/>
  <c r="CD4" i="2"/>
  <c r="CD65" i="2"/>
  <c r="CD192" i="2"/>
  <c r="CD103" i="2"/>
  <c r="CD160" i="2"/>
  <c r="CD188" i="2"/>
  <c r="CD59" i="2"/>
  <c r="CD203" i="2"/>
  <c r="CD201" i="2"/>
  <c r="CD172" i="2"/>
  <c r="CD126" i="2"/>
  <c r="CD174" i="2"/>
  <c r="CD75" i="2"/>
  <c r="CD13" i="2"/>
  <c r="CD39" i="2"/>
  <c r="CD179" i="2"/>
  <c r="CD70" i="2"/>
  <c r="CD27" i="2"/>
  <c r="CD20" i="2"/>
  <c r="CD52" i="2"/>
  <c r="CD115" i="2"/>
  <c r="CD9" i="2"/>
  <c r="CD112" i="2"/>
  <c r="CD10" i="2"/>
  <c r="CD73" i="2"/>
  <c r="CD111" i="2"/>
  <c r="CD193" i="2"/>
  <c r="CD155" i="2"/>
  <c r="CD183" i="2"/>
  <c r="CD84" i="2"/>
  <c r="CD96" i="2"/>
  <c r="CD21" i="2"/>
  <c r="CD19" i="2"/>
  <c r="CD17" i="2"/>
  <c r="CD36" i="2"/>
  <c r="CD15" i="2"/>
  <c r="CD47" i="2"/>
  <c r="CD124" i="2"/>
  <c r="CD146" i="2"/>
  <c r="CD117" i="2"/>
  <c r="CD54" i="2"/>
  <c r="CD90" i="2"/>
  <c r="CD152" i="2"/>
  <c r="CD130" i="2"/>
  <c r="CD44" i="2"/>
  <c r="CD80" i="2"/>
  <c r="CD159" i="2"/>
  <c r="CD98" i="2"/>
  <c r="CD178" i="2"/>
  <c r="CD143" i="2"/>
  <c r="CD49" i="2"/>
  <c r="CD186" i="2"/>
  <c r="CD58" i="2"/>
  <c r="CD199" i="2"/>
  <c r="CD182" i="2"/>
  <c r="CD105" i="2"/>
  <c r="CD180" i="2"/>
  <c r="CD25" i="2"/>
  <c r="CD45" i="2"/>
  <c r="CD35" i="2"/>
  <c r="CD87" i="2"/>
  <c r="CD165" i="2"/>
  <c r="CD82" i="2"/>
  <c r="CD128" i="2"/>
  <c r="CD89" i="2"/>
  <c r="CD30" i="2"/>
  <c r="CD134" i="2"/>
  <c r="CD110" i="2"/>
  <c r="CD107" i="2"/>
  <c r="CD31" i="2"/>
  <c r="CD125" i="2"/>
  <c r="CD191" i="2"/>
  <c r="CD46" i="2"/>
  <c r="CD197" i="2"/>
  <c r="CD137" i="2"/>
  <c r="CD83" i="2"/>
  <c r="CD11" i="2"/>
  <c r="CD156" i="2"/>
  <c r="CD68" i="2"/>
  <c r="CD140" i="2"/>
  <c r="CD118" i="2"/>
  <c r="CD127" i="2"/>
  <c r="CD33" i="2"/>
  <c r="CD38" i="2"/>
  <c r="CD67" i="2"/>
  <c r="CD175" i="2"/>
  <c r="CD16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P27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P28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P29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BP30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P31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BP32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P33" i="2"/>
  <c r="BE34" i="2"/>
  <c r="BF33" i="2"/>
  <c r="BG33" i="2" s="1"/>
  <c r="BH3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BF34" i="2"/>
  <c r="BG34" i="2" s="1"/>
  <c r="BH34" i="2" s="1"/>
  <c r="BE35" i="2"/>
  <c r="BS33" i="2"/>
  <c r="H8" i="4" s="1"/>
  <c r="H16" i="4" s="1"/>
  <c r="BP34" i="2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P35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P36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P37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P38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P39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P40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P41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P42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P43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P44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P45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P46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P47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P48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P49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P50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P51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P52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P53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P54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P55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P56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P57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P58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P59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P60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P61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P62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P63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P64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P65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P66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P67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P68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P69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P70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P71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P72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P73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P74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P75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P76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P77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P78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P79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P80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P81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P82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P83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BP84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P85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BP86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P87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BP88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P89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BP90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P91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BP92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P93" i="2"/>
  <c r="BE94" i="2"/>
  <c r="BI87" i="2" l="1"/>
  <c r="BI38" i="2"/>
  <c r="BI174" i="2"/>
  <c r="BI125" i="2"/>
  <c r="BI25" i="2"/>
  <c r="BI172" i="2"/>
  <c r="BI142" i="2"/>
  <c r="BI198" i="2"/>
  <c r="BI54" i="2"/>
  <c r="BI26" i="2"/>
  <c r="BI183" i="2"/>
  <c r="BI19" i="2"/>
  <c r="BI158" i="2"/>
  <c r="BI193" i="2"/>
  <c r="BI47" i="2"/>
  <c r="BI201" i="2"/>
  <c r="BI139" i="2"/>
  <c r="BI50" i="2"/>
  <c r="BI196" i="2"/>
  <c r="BI163" i="2"/>
  <c r="BI75" i="2"/>
  <c r="BI168" i="2"/>
  <c r="BI110" i="2"/>
  <c r="BI115" i="2"/>
  <c r="BI59" i="2"/>
  <c r="BI35" i="2"/>
  <c r="BI136" i="2"/>
  <c r="BI11" i="2"/>
  <c r="BI167" i="2"/>
  <c r="BI131" i="2"/>
  <c r="BI32" i="2"/>
  <c r="BI13" i="2"/>
  <c r="BI159" i="2"/>
  <c r="BI190" i="2"/>
  <c r="BI179" i="2"/>
  <c r="BI114" i="2"/>
  <c r="BI182" i="2"/>
  <c r="BI22" i="2"/>
  <c r="BI71" i="2"/>
  <c r="BI157" i="2"/>
  <c r="BI86" i="2"/>
  <c r="BI141" i="2"/>
  <c r="BI67" i="2"/>
  <c r="BI62" i="2"/>
  <c r="BI148" i="2"/>
  <c r="BI46" i="2"/>
  <c r="BI109" i="2"/>
  <c r="BI92" i="2"/>
  <c r="BI181" i="2"/>
  <c r="BI85" i="2"/>
  <c r="BI4" i="2"/>
  <c r="BI120" i="2"/>
  <c r="BI135" i="2"/>
  <c r="BI124" i="2"/>
  <c r="BI128" i="2"/>
  <c r="BI188" i="2"/>
  <c r="BI129" i="2"/>
  <c r="BI8" i="2"/>
  <c r="BI79" i="2"/>
  <c r="BI44" i="2"/>
  <c r="BI102" i="2"/>
  <c r="BI24" i="2"/>
  <c r="BI30" i="2"/>
  <c r="BI40" i="2"/>
  <c r="BI73" i="2"/>
  <c r="BI152" i="2"/>
  <c r="BI203" i="2"/>
  <c r="BI113" i="2"/>
  <c r="BI58" i="2"/>
  <c r="BI10" i="2"/>
  <c r="BI36" i="2"/>
  <c r="BI202" i="2"/>
  <c r="BI143" i="2"/>
  <c r="BI14" i="2"/>
  <c r="BI39" i="2"/>
  <c r="BI169" i="2"/>
  <c r="BI119" i="2"/>
  <c r="BI162" i="2"/>
  <c r="BI134" i="2"/>
  <c r="BI194" i="2"/>
  <c r="BI48" i="2"/>
  <c r="BI137" i="2"/>
  <c r="BI126" i="2"/>
  <c r="BI197" i="2"/>
  <c r="BI189" i="2"/>
  <c r="BI69" i="2"/>
  <c r="BI28" i="2"/>
  <c r="BI49" i="2"/>
  <c r="BI78" i="2"/>
  <c r="BI151" i="2"/>
  <c r="BI155" i="2"/>
  <c r="BI29" i="2"/>
  <c r="BI23" i="2"/>
  <c r="BI149" i="2"/>
  <c r="BI175" i="2"/>
  <c r="BI105" i="2"/>
  <c r="BI170" i="2"/>
  <c r="BI154" i="2"/>
  <c r="BI33" i="2"/>
  <c r="BI138" i="2"/>
  <c r="BI70" i="2"/>
  <c r="BI187" i="2"/>
  <c r="BI101" i="2"/>
  <c r="BI61" i="2"/>
  <c r="BI42" i="2"/>
  <c r="BI191" i="2"/>
  <c r="BI57" i="2"/>
  <c r="BI3" i="2"/>
  <c r="C8" i="4" s="1"/>
  <c r="BI68" i="2"/>
  <c r="BI27" i="2"/>
  <c r="BI132" i="2"/>
  <c r="BI106" i="2"/>
  <c r="BI76" i="2"/>
  <c r="BI82" i="2"/>
  <c r="BI103" i="2"/>
  <c r="BI81" i="2"/>
  <c r="BI88" i="2"/>
  <c r="BI104" i="2"/>
  <c r="BI80" i="2"/>
  <c r="BI166" i="2"/>
  <c r="BI74" i="2"/>
  <c r="BI96" i="2"/>
  <c r="BI84" i="2"/>
  <c r="BI156" i="2"/>
  <c r="BI144" i="2"/>
  <c r="BI72" i="2"/>
  <c r="BI161" i="2"/>
  <c r="BI127" i="2"/>
  <c r="BI153" i="2"/>
  <c r="BI116" i="2"/>
  <c r="BI6" i="2"/>
  <c r="BI99" i="2"/>
  <c r="BI52" i="2"/>
  <c r="BI107" i="2"/>
  <c r="BI55" i="2"/>
  <c r="BI9" i="2"/>
  <c r="BI140" i="2"/>
  <c r="BI12" i="2"/>
  <c r="BI56" i="2"/>
  <c r="BI108" i="2"/>
  <c r="BI100" i="2"/>
  <c r="BI195" i="2"/>
  <c r="BI199" i="2"/>
  <c r="BI97" i="2"/>
  <c r="BI21" i="2"/>
  <c r="BI18" i="2"/>
  <c r="BI185" i="2"/>
  <c r="BI7" i="2"/>
  <c r="BI16" i="2"/>
  <c r="BI178" i="2"/>
  <c r="BI31" i="2"/>
  <c r="BI112" i="2"/>
  <c r="BI164" i="2"/>
  <c r="BI51" i="2"/>
  <c r="BI192" i="2"/>
  <c r="BI186" i="2"/>
  <c r="BI65" i="2"/>
  <c r="BI121" i="2"/>
  <c r="BI111" i="2"/>
  <c r="BI145" i="2"/>
  <c r="BI173" i="2"/>
  <c r="BI95" i="2"/>
  <c r="BI43" i="2"/>
  <c r="BI66" i="2"/>
  <c r="BI171" i="2"/>
  <c r="BI94" i="2"/>
  <c r="BI122" i="2"/>
  <c r="BI90" i="2"/>
  <c r="BI91" i="2"/>
  <c r="BI60" i="2"/>
  <c r="BI180" i="2"/>
  <c r="BI176" i="2"/>
  <c r="BI98" i="2"/>
  <c r="BI150" i="2"/>
  <c r="BI83" i="2"/>
  <c r="BI184" i="2"/>
  <c r="BI77" i="2"/>
  <c r="BI123" i="2"/>
  <c r="BI15" i="2"/>
  <c r="BI177" i="2"/>
  <c r="BI200" i="2"/>
  <c r="BI5" i="2"/>
  <c r="BI20" i="2"/>
  <c r="BI147" i="2"/>
  <c r="BI41" i="2"/>
  <c r="BI53" i="2"/>
  <c r="BI34" i="2"/>
  <c r="BI64" i="2"/>
  <c r="BI117" i="2"/>
  <c r="BI118" i="2"/>
  <c r="BI146" i="2"/>
  <c r="BI37" i="2"/>
  <c r="BI133" i="2"/>
  <c r="BI160" i="2"/>
  <c r="BI17" i="2"/>
  <c r="BI93" i="2"/>
  <c r="BI89" i="2"/>
  <c r="BI45" i="2"/>
  <c r="BI165" i="2"/>
  <c r="BI130" i="2"/>
  <c r="BI63" i="2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BP94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P95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BP96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P97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BP98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P99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BP100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P101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BP102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J3" i="2" s="1"/>
  <c r="D8" i="4" s="1"/>
  <c r="E8" i="4" s="1"/>
  <c r="F8" i="4" s="1"/>
  <c r="G8" i="4" s="1"/>
  <c r="L8" i="4" s="1"/>
  <c r="BS102" i="2"/>
  <c r="BP103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BP104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P105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BP106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P107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BP108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P109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BP110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P111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BP112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P113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BP114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C6" i="4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<sst xmlns="http://schemas.openxmlformats.org/spreadsheetml/2006/main" count="1001" uniqueCount="313">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</sst>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/>
    </xf>
    <xf numFmtId="0" fontId="31" fillId="14" borderId="1" xfId="0" applyFont="1" applyFill="1" applyBorder="1" applyAlignment="1" applyProtection="1">
      <alignment horizontal="center"/>
      <protection locked="0"/>
    </xf>
    <xf numFmtId="9" fontId="31" fillId="14" borderId="1" xfId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1.9385016357099449</c:v>
                </c:pt>
                <c:pt idx="2">
                  <c:v>2.4230547275318464</c:v>
                </c:pt>
                <c:pt idx="3">
                  <c:v>3.0292049618653007</c:v>
                </c:pt>
                <c:pt idx="4">
                  <c:v>3.7875798476871094</c:v>
                </c:pt>
                <c:pt idx="5">
                  <c:v>4.7365479565247801</c:v>
                </c:pt>
                <c:pt idx="6">
                  <c:v>5.9241817478476007</c:v>
                </c:pt>
                <c:pt idx="7">
                  <c:v>7.4107195617499366</c:v>
                </c:pt>
                <c:pt idx="8">
                  <c:v>9.2716540666864109</c:v>
                </c:pt>
                <c:pt idx="9">
                  <c:v>11.601606988635325</c:v>
                </c:pt>
                <c:pt idx="10">
                  <c:v>14.519190823182441</c:v>
                </c:pt>
                <c:pt idx="11">
                  <c:v>18.173109583791369</c:v>
                </c:pt>
                <c:pt idx="12">
                  <c:v>22.749815158543289</c:v>
                </c:pt>
                <c:pt idx="13">
                  <c:v>28.483116916689692</c:v>
                </c:pt>
                <c:pt idx="14">
                  <c:v>35.666244078861567</c:v>
                </c:pt>
                <c:pt idx="15">
                  <c:v>44.666988389107281</c:v>
                </c:pt>
                <c:pt idx="16">
                  <c:v>55.946715528801384</c:v>
                </c:pt>
                <c:pt idx="17">
                  <c:v>70.084235950130008</c:v>
                </c:pt>
                <c:pt idx="18">
                  <c:v>87.805780018061469</c:v>
                </c:pt>
                <c:pt idx="19">
                  <c:v>110.02264191409658</c:v>
                </c:pt>
                <c:pt idx="20">
                  <c:v>137.8784585019167</c:v>
                </c:pt>
                <c:pt idx="21">
                  <c:v>134.74789502830188</c:v>
                </c:pt>
                <c:pt idx="22">
                  <c:v>152.46583697153577</c:v>
                </c:pt>
                <c:pt idx="23">
                  <c:v>170.13474046014426</c:v>
                </c:pt>
                <c:pt idx="24">
                  <c:v>187.76041867816875</c:v>
                </c:pt>
                <c:pt idx="25">
                  <c:v>205.34750212087684</c:v>
                </c:pt>
                <c:pt idx="26">
                  <c:v>191.64309664544405</c:v>
                </c:pt>
                <c:pt idx="27">
                  <c:v>211.54622080726301</c:v>
                </c:pt>
                <c:pt idx="28">
                  <c:v>231.40617478614672</c:v>
                </c:pt>
                <c:pt idx="29">
                  <c:v>251.22718469835789</c:v>
                </c:pt>
                <c:pt idx="30">
                  <c:v>271.01275486164383</c:v>
                </c:pt>
                <c:pt idx="31">
                  <c:v>249.94121663387941</c:v>
                </c:pt>
                <c:pt idx="32">
                  <c:v>271.26949074078976</c:v>
                </c:pt>
                <c:pt idx="33">
                  <c:v>292.56004945354158</c:v>
                </c:pt>
                <c:pt idx="34">
                  <c:v>313.81602233837265</c:v>
                </c:pt>
                <c:pt idx="35">
                  <c:v>335.04008037896614</c:v>
                </c:pt>
                <c:pt idx="36">
                  <c:v>307.16107541724091</c:v>
                </c:pt>
                <c:pt idx="37">
                  <c:v>329.16177293594302</c:v>
                </c:pt>
                <c:pt idx="38">
                  <c:v>351.13002835574753</c:v>
                </c:pt>
                <c:pt idx="39">
                  <c:v>373.06815558688527</c:v>
                </c:pt>
                <c:pt idx="40">
                  <c:v>394.97817429257526</c:v>
                </c:pt>
                <c:pt idx="41">
                  <c:v>362.35781710661308</c:v>
                </c:pt>
                <c:pt idx="42">
                  <c:v>384.53608851777312</c:v>
                </c:pt>
                <c:pt idx="43">
                  <c:v>406.68657334134355</c:v>
                </c:pt>
                <c:pt idx="44">
                  <c:v>428.81099672215663</c:v>
                </c:pt>
                <c:pt idx="45">
                  <c:v>450.91089137244694</c:v>
                </c:pt>
                <c:pt idx="46">
                  <c:v>414.31854745193118</c:v>
                </c:pt>
                <c:pt idx="47">
                  <c:v>436.18028292908139</c:v>
                </c:pt>
                <c:pt idx="48">
                  <c:v>458.01851329398778</c:v>
                </c:pt>
                <c:pt idx="49">
                  <c:v>479.83451601045175</c:v>
                </c:pt>
                <c:pt idx="50">
                  <c:v>501.62944299248062</c:v>
                </c:pt>
                <c:pt idx="51">
                  <c:v>463.0939417060049</c:v>
                </c:pt>
                <c:pt idx="52">
                  <c:v>484.14445233964238</c:v>
                </c:pt>
                <c:pt idx="53">
                  <c:v>505.17553225812139</c:v>
                </c:pt>
                <c:pt idx="54">
                  <c:v>526.1881035377188</c:v>
                </c:pt>
                <c:pt idx="55">
                  <c:v>547.18300866493462</c:v>
                </c:pt>
                <c:pt idx="56">
                  <c:v>506.69512340906493</c:v>
                </c:pt>
                <c:pt idx="57">
                  <c:v>526.94725841435559</c:v>
                </c:pt>
                <c:pt idx="58">
                  <c:v>547.18300866493462</c:v>
                </c:pt>
                <c:pt idx="59">
                  <c:v>567.40306486888301</c:v>
                </c:pt>
                <c:pt idx="60">
                  <c:v>587.6080645332213</c:v>
                </c:pt>
                <c:pt idx="61">
                  <c:v>547.43585484879611</c:v>
                </c:pt>
                <c:pt idx="62">
                  <c:v>566.64508831173907</c:v>
                </c:pt>
                <c:pt idx="63">
                  <c:v>585.84071282237755</c:v>
                </c:pt>
                <c:pt idx="64">
                  <c:v>605.02323669636394</c:v>
                </c:pt>
                <c:pt idx="65">
                  <c:v>624.19313341568443</c:v>
                </c:pt>
                <c:pt idx="66">
                  <c:v>584.32575150478135</c:v>
                </c:pt>
                <c:pt idx="67">
                  <c:v>602.49995169749945</c:v>
                </c:pt>
                <c:pt idx="68">
                  <c:v>620.66276493365456</c:v>
                </c:pt>
                <c:pt idx="69">
                  <c:v>638.81457108732457</c:v>
                </c:pt>
                <c:pt idx="70">
                  <c:v>656.95572670233514</c:v>
                </c:pt>
                <c:pt idx="71">
                  <c:v>618.14081856839312</c:v>
                </c:pt>
                <c:pt idx="72">
                  <c:v>634.78176901019367</c:v>
                </c:pt>
                <c:pt idx="73">
                  <c:v>651.41370530942913</c:v>
                </c:pt>
                <c:pt idx="74">
                  <c:v>668.03688985850613</c:v>
                </c:pt>
                <c:pt idx="75">
                  <c:v>684.65157093676373</c:v>
                </c:pt>
                <c:pt idx="76">
                  <c:v>647.38253413637347</c:v>
                </c:pt>
                <c:pt idx="77">
                  <c:v>663.00047031146948</c:v>
                </c:pt>
                <c:pt idx="78">
                  <c:v>678.61083748340866</c:v>
                </c:pt>
                <c:pt idx="79">
                  <c:v>694.21383416630499</c:v>
                </c:pt>
                <c:pt idx="80">
                  <c:v>709.80964922991723</c:v>
                </c:pt>
                <c:pt idx="81">
                  <c:v>674.07956329907518</c:v>
                </c:pt>
                <c:pt idx="82">
                  <c:v>688.6781185599865</c:v>
                </c:pt>
                <c:pt idx="83">
                  <c:v>703.27033133172984</c:v>
                </c:pt>
                <c:pt idx="84">
                  <c:v>717.85635166524969</c:v>
                </c:pt>
                <c:pt idx="85">
                  <c:v>732.43632302099616</c:v>
                </c:pt>
                <c:pt idx="86">
                  <c:v>698.99395153875787</c:v>
                </c:pt>
                <c:pt idx="87">
                  <c:v>712.07297175764143</c:v>
                </c:pt>
                <c:pt idx="88">
                  <c:v>725.14708474484576</c:v>
                </c:pt>
                <c:pt idx="89">
                  <c:v>738.21639138858109</c:v>
                </c:pt>
                <c:pt idx="90">
                  <c:v>751.28098871588315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110.03492698401658</c:v>
                </c:pt>
                <c:pt idx="22">
                  <c:v>118.64668614234017</c:v>
                </c:pt>
                <c:pt idx="23">
                  <c:v>127.24319807637185</c:v>
                </c:pt>
                <c:pt idx="24">
                  <c:v>135.82563973256845</c:v>
                </c:pt>
                <c:pt idx="25">
                  <c:v>144.39502686294236</c:v>
                </c:pt>
                <c:pt idx="26">
                  <c:v>152.9522445755151</c:v>
                </c:pt>
                <c:pt idx="27">
                  <c:v>161.49807067148296</c:v>
                </c:pt>
                <c:pt idx="28">
                  <c:v>170.03319377205978</c:v>
                </c:pt>
                <c:pt idx="29">
                  <c:v>178.55822760704461</c:v>
                </c:pt>
                <c:pt idx="30">
                  <c:v>187.07372242622989</c:v>
                </c:pt>
                <c:pt idx="31">
                  <c:v>169.52543887497708</c:v>
                </c:pt>
                <c:pt idx="32">
                  <c:v>179.3696299096971</c:v>
                </c:pt>
                <c:pt idx="33">
                  <c:v>189.20116486237637</c:v>
                </c:pt>
                <c:pt idx="34">
                  <c:v>199.02079476214126</c:v>
                </c:pt>
                <c:pt idx="35">
                  <c:v>208.829190382782</c:v>
                </c:pt>
                <c:pt idx="36">
                  <c:v>218.62695426847867</c:v>
                </c:pt>
                <c:pt idx="37">
                  <c:v>228.41463048777476</c:v>
                </c:pt>
                <c:pt idx="38">
                  <c:v>238.19271262595316</c:v>
                </c:pt>
                <c:pt idx="39">
                  <c:v>247.96165039473718</c:v>
                </c:pt>
                <c:pt idx="40">
                  <c:v>257.72185514470982</c:v>
                </c:pt>
                <c:pt idx="41">
                  <c:v>231.23813405432142</c:v>
                </c:pt>
                <c:pt idx="42">
                  <c:v>242.02078511048435</c:v>
                </c:pt>
                <c:pt idx="43">
                  <c:v>252.79250968806369</c:v>
                </c:pt>
                <c:pt idx="44">
                  <c:v>263.55383930663703</c:v>
                </c:pt>
                <c:pt idx="45">
                  <c:v>274.30525850370799</c:v>
                </c:pt>
                <c:pt idx="46">
                  <c:v>285.04721070608576</c:v>
                </c:pt>
                <c:pt idx="47">
                  <c:v>295.78010316921717</c:v>
                </c:pt>
                <c:pt idx="48">
                  <c:v>306.5043111615816</c:v>
                </c:pt>
                <c:pt idx="49">
                  <c:v>317.22018153245796</c:v>
                </c:pt>
                <c:pt idx="50">
                  <c:v>327.92803577212419</c:v>
                </c:pt>
                <c:pt idx="51">
                  <c:v>293.5740613395127</c:v>
                </c:pt>
                <c:pt idx="52">
                  <c:v>306.30393618022623</c:v>
                </c:pt>
                <c:pt idx="53">
                  <c:v>319.02205522459616</c:v>
                </c:pt>
                <c:pt idx="54">
                  <c:v>331.72895327108643</c:v>
                </c:pt>
                <c:pt idx="55">
                  <c:v>344.42512079153909</c:v>
                </c:pt>
                <c:pt idx="56">
                  <c:v>357.111009138415</c:v>
                </c:pt>
                <c:pt idx="57">
                  <c:v>369.78703497321777</c:v>
                </c:pt>
                <c:pt idx="58">
                  <c:v>382.4535840558342</c:v>
                </c:pt>
                <c:pt idx="59">
                  <c:v>395.11101450555913</c:v>
                </c:pt>
                <c:pt idx="60">
                  <c:v>407.7596596223766</c:v>
                </c:pt>
                <c:pt idx="61">
                  <c:v>362.30236275317969</c:v>
                </c:pt>
                <c:pt idx="62">
                  <c:v>375.67265107439101</c:v>
                </c:pt>
                <c:pt idx="63">
                  <c:v>389.03257773774493</c:v>
                </c:pt>
                <c:pt idx="64">
                  <c:v>402.38254871390376</c:v>
                </c:pt>
                <c:pt idx="65">
                  <c:v>415.72294083711427</c:v>
                </c:pt>
                <c:pt idx="66">
                  <c:v>429.05410478388148</c:v>
                </c:pt>
                <c:pt idx="67">
                  <c:v>442.37636766212933</c:v>
                </c:pt>
                <c:pt idx="68">
                  <c:v>455.69003527221315</c:v>
                </c:pt>
                <c:pt idx="69">
                  <c:v>468.99539408994195</c:v>
                </c:pt>
                <c:pt idx="70">
                  <c:v>482.29271301286605</c:v>
                </c:pt>
                <c:pt idx="71">
                  <c:v>428.25846737617695</c:v>
                </c:pt>
                <c:pt idx="72">
                  <c:v>442.77391356451784</c:v>
                </c:pt>
                <c:pt idx="73">
                  <c:v>457.27916621968035</c:v>
                </c:pt>
                <c:pt idx="74">
                  <c:v>471.77459416013522</c:v>
                </c:pt>
                <c:pt idx="75">
                  <c:v>486.26054169714445</c:v>
                </c:pt>
                <c:pt idx="76">
                  <c:v>500.73733096000342</c:v>
                </c:pt>
                <c:pt idx="77">
                  <c:v>515.20526393844068</c:v>
                </c:pt>
                <c:pt idx="78">
                  <c:v>529.66462428371892</c:v>
                </c:pt>
                <c:pt idx="79">
                  <c:v>544.11567890288541</c:v>
                </c:pt>
                <c:pt idx="80">
                  <c:v>558.55867937490223</c:v>
                </c:pt>
                <c:pt idx="81">
                  <c:v>495.48309753756348</c:v>
                </c:pt>
                <c:pt idx="82">
                  <c:v>511.63863535742689</c:v>
                </c:pt>
                <c:pt idx="83">
                  <c:v>527.78340234682412</c:v>
                </c:pt>
                <c:pt idx="84">
                  <c:v>543.91777421805455</c:v>
                </c:pt>
                <c:pt idx="85">
                  <c:v>560.04210258768558</c:v>
                </c:pt>
                <c:pt idx="86">
                  <c:v>576.15671718544434</c:v>
                </c:pt>
                <c:pt idx="87">
                  <c:v>592.26192780324868</c:v>
                </c:pt>
                <c:pt idx="88">
                  <c:v>608.35802602132696</c:v>
                </c:pt>
                <c:pt idx="89">
                  <c:v>624.44528674225739</c:v>
                </c:pt>
                <c:pt idx="90">
                  <c:v>640.52396955880033</c:v>
                </c:pt>
                <c:pt idx="91">
                  <c:v>566.96366074988066</c:v>
                </c:pt>
                <c:pt idx="92">
                  <c:v>584.25988176586031</c:v>
                </c:pt>
                <c:pt idx="93">
                  <c:v>601.54543452907626</c:v>
                </c:pt>
                <c:pt idx="94">
                  <c:v>618.82066854467587</c:v>
                </c:pt>
                <c:pt idx="95">
                  <c:v>636.0859122273456</c:v>
                </c:pt>
                <c:pt idx="96">
                  <c:v>653.34147472360053</c:v>
                </c:pt>
                <c:pt idx="97">
                  <c:v>670.58764753168123</c:v>
                </c:pt>
                <c:pt idx="98">
                  <c:v>687.82470594627341</c:v>
                </c:pt>
                <c:pt idx="99">
                  <c:v>705.05291035099242</c:v>
                </c:pt>
                <c:pt idx="100">
                  <c:v>722.27250737807492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4.6839262845203864</c:v>
                </c:pt>
                <c:pt idx="2">
                  <c:v>9.150176723236255</c:v>
                </c:pt>
                <c:pt idx="3">
                  <c:v>13.546128790401191</c:v>
                </c:pt>
                <c:pt idx="4">
                  <c:v>17.898747305679471</c:v>
                </c:pt>
                <c:pt idx="5">
                  <c:v>22.220253609308163</c:v>
                </c:pt>
                <c:pt idx="6">
                  <c:v>26.517619264013714</c:v>
                </c:pt>
                <c:pt idx="7">
                  <c:v>30.795338566726443</c:v>
                </c:pt>
                <c:pt idx="8">
                  <c:v>35.05654197269309</c:v>
                </c:pt>
                <c:pt idx="9">
                  <c:v>39.303530406342553</c:v>
                </c:pt>
                <c:pt idx="10">
                  <c:v>43.538063479112544</c:v>
                </c:pt>
                <c:pt idx="11">
                  <c:v>47.761528515351017</c:v>
                </c:pt>
                <c:pt idx="12">
                  <c:v>51.97504613091342</c:v>
                </c:pt>
                <c:pt idx="13">
                  <c:v>56.179539521971918</c:v>
                </c:pt>
                <c:pt idx="14">
                  <c:v>60.375781786290162</c:v>
                </c:pt>
                <c:pt idx="15">
                  <c:v>64.564429320899151</c:v>
                </c:pt>
                <c:pt idx="16">
                  <c:v>68.74604605183761</c:v>
                </c:pt>
                <c:pt idx="17">
                  <c:v>72.921121430239182</c:v>
                </c:pt>
                <c:pt idx="18">
                  <c:v>77.090084071874529</c:v>
                </c:pt>
                <c:pt idx="19">
                  <c:v>81.253312278787931</c:v>
                </c:pt>
                <c:pt idx="20">
                  <c:v>85.411142282661089</c:v>
                </c:pt>
                <c:pt idx="21">
                  <c:v>89.563874792651845</c:v>
                </c:pt>
                <c:pt idx="22">
                  <c:v>93.711780260687576</c:v>
                </c:pt>
                <c:pt idx="23">
                  <c:v>97.855103162371449</c:v>
                </c:pt>
                <c:pt idx="24">
                  <c:v>101.99406551237549</c:v>
                </c:pt>
                <c:pt idx="25">
                  <c:v>106.12886977742498</c:v>
                </c:pt>
                <c:pt idx="26">
                  <c:v>110.25970131008626</c:v>
                </c:pt>
                <c:pt idx="27">
                  <c:v>114.38673039759351</c:v>
                </c:pt>
                <c:pt idx="28">
                  <c:v>118.51011399861329</c:v>
                </c:pt>
                <c:pt idx="29">
                  <c:v>122.62999722492758</c:v>
                </c:pt>
                <c:pt idx="30">
                  <c:v>126.74651461300492</c:v>
                </c:pt>
                <c:pt idx="31">
                  <c:v>130.85979122126611</c:v>
                </c:pt>
                <c:pt idx="32">
                  <c:v>134.96994358179035</c:v>
                </c:pt>
                <c:pt idx="33">
                  <c:v>139.07708052971563</c:v>
                </c:pt>
                <c:pt idx="34">
                  <c:v>143.1813039292816</c:v>
                </c:pt>
                <c:pt idx="35">
                  <c:v>147.28270931205503</c:v>
                </c:pt>
                <c:pt idx="36">
                  <c:v>151.38138644016547</c:v>
                </c:pt>
                <c:pt idx="37">
                  <c:v>155.47741980519925</c:v>
                </c:pt>
                <c:pt idx="38">
                  <c:v>159.57088907164288</c:v>
                </c:pt>
                <c:pt idx="39">
                  <c:v>163.66186947233464</c:v>
                </c:pt>
                <c:pt idx="40">
                  <c:v>167.7504321622159</c:v>
                </c:pt>
                <c:pt idx="41">
                  <c:v>171.83664453571171</c:v>
                </c:pt>
                <c:pt idx="42">
                  <c:v>175.92057051227539</c:v>
                </c:pt>
                <c:pt idx="43">
                  <c:v>180.00227079397243</c:v>
                </c:pt>
                <c:pt idx="44">
                  <c:v>184.08180309842786</c:v>
                </c:pt>
                <c:pt idx="45">
                  <c:v>188.15922236999992</c:v>
                </c:pt>
                <c:pt idx="46">
                  <c:v>192.23458097165306</c:v>
                </c:pt>
                <c:pt idx="47">
                  <c:v>196.30792885967597</c:v>
                </c:pt>
                <c:pt idx="48">
                  <c:v>200.37931374311043</c:v>
                </c:pt>
                <c:pt idx="49">
                  <c:v>204.44878122951923</c:v>
                </c:pt>
                <c:pt idx="50">
                  <c:v>208.51637495851853</c:v>
                </c:pt>
                <c:pt idx="51">
                  <c:v>212.58213672432646</c:v>
                </c:pt>
                <c:pt idx="52">
                  <c:v>216.64610658842778</c:v>
                </c:pt>
                <c:pt idx="53">
                  <c:v>220.70832298332743</c:v>
                </c:pt>
                <c:pt idx="54">
                  <c:v>224.76882280825222</c:v>
                </c:pt>
                <c:pt idx="55">
                  <c:v>228.82764151756263</c:v>
                </c:pt>
                <c:pt idx="56">
                  <c:v>232.88481320255332</c:v>
                </c:pt>
                <c:pt idx="57">
                  <c:v>236.94037066724459</c:v>
                </c:pt>
                <c:pt idx="58">
                  <c:v>240.99434549870566</c:v>
                </c:pt>
                <c:pt idx="59">
                  <c:v>245.04676813238908</c:v>
                </c:pt>
                <c:pt idx="60">
                  <c:v>249.09766791291221</c:v>
                </c:pt>
                <c:pt idx="61">
                  <c:v>253.1470731506698</c:v>
                </c:pt>
                <c:pt idx="62">
                  <c:v>257.19501117463039</c:v>
                </c:pt>
                <c:pt idx="63">
                  <c:v>261.24150838162961</c:v>
                </c:pt>
                <c:pt idx="64">
                  <c:v>218.45869446649212</c:v>
                </c:pt>
                <c:pt idx="65">
                  <c:v>228.07844610125699</c:v>
                </c:pt>
                <c:pt idx="66">
                  <c:v>237.68891498915841</c:v>
                </c:pt>
                <c:pt idx="67">
                  <c:v>247.29052970946142</c:v>
                </c:pt>
                <c:pt idx="68">
                  <c:v>256.88368281077436</c:v>
                </c:pt>
                <c:pt idx="69">
                  <c:v>266.46873510196866</c:v>
                </c:pt>
                <c:pt idx="70">
                  <c:v>276.04601929282228</c:v>
                </c:pt>
                <c:pt idx="71">
                  <c:v>285.61584310254773</c:v>
                </c:pt>
                <c:pt idx="72">
                  <c:v>295.1784919295747</c:v>
                </c:pt>
                <c:pt idx="73">
                  <c:v>304.73423115701888</c:v>
                </c:pt>
                <c:pt idx="74">
                  <c:v>259.93433449006926</c:v>
                </c:pt>
                <c:pt idx="75">
                  <c:v>269.51688027254602</c:v>
                </c:pt>
                <c:pt idx="76">
                  <c:v>279.09175844081636</c:v>
                </c:pt>
                <c:pt idx="77">
                  <c:v>288.65926934113548</c:v>
                </c:pt>
                <c:pt idx="78">
                  <c:v>298.21969176894169</c:v>
                </c:pt>
                <c:pt idx="79">
                  <c:v>307.7732851715495</c:v>
                </c:pt>
                <c:pt idx="80">
                  <c:v>317.32029156286336</c:v>
                </c:pt>
                <c:pt idx="81">
                  <c:v>326.86093719547301</c:v>
                </c:pt>
                <c:pt idx="82">
                  <c:v>336.39543402720881</c:v>
                </c:pt>
                <c:pt idx="83">
                  <c:v>345.92398101265093</c:v>
                </c:pt>
                <c:pt idx="84">
                  <c:v>296.91640552163312</c:v>
                </c:pt>
                <c:pt idx="85">
                  <c:v>306.47091553365289</c:v>
                </c:pt>
                <c:pt idx="86">
                  <c:v>316.01880649558672</c:v>
                </c:pt>
                <c:pt idx="87">
                  <c:v>325.56030671869627</c:v>
                </c:pt>
                <c:pt idx="88">
                  <c:v>335.09563003042643</c:v>
                </c:pt>
                <c:pt idx="89">
                  <c:v>344.62497708819296</c:v>
                </c:pt>
                <c:pt idx="90">
                  <c:v>354.14853654019407</c:v>
                </c:pt>
                <c:pt idx="91">
                  <c:v>363.66648605477667</c:v>
                </c:pt>
                <c:pt idx="92">
                  <c:v>373.17899323636703</c:v>
                </c:pt>
                <c:pt idx="93">
                  <c:v>382.68621644309786</c:v>
                </c:pt>
                <c:pt idx="94">
                  <c:v>331.62894148608086</c:v>
                </c:pt>
                <c:pt idx="95">
                  <c:v>341.16043929184974</c:v>
                </c:pt>
                <c:pt idx="96">
                  <c:v>350.68608221443128</c:v>
                </c:pt>
                <c:pt idx="97">
                  <c:v>360.20605180325646</c:v>
                </c:pt>
                <c:pt idx="98">
                  <c:v>369.72051922288466</c:v>
                </c:pt>
                <c:pt idx="99">
                  <c:v>379.22964610478419</c:v>
                </c:pt>
                <c:pt idx="100">
                  <c:v>388.73358530918819</c:v>
                </c:pt>
                <c:pt idx="101">
                  <c:v>398.23248160853137</c:v>
                </c:pt>
                <c:pt idx="102">
                  <c:v>407.72647230225584</c:v>
                </c:pt>
                <c:pt idx="103">
                  <c:v>417.2156877713503</c:v>
                </c:pt>
                <c:pt idx="104">
                  <c:v>357.82658175139591</c:v>
                </c:pt>
                <c:pt idx="105">
                  <c:v>367.55861487745051</c:v>
                </c:pt>
                <c:pt idx="106">
                  <c:v>377.28502432944356</c:v>
                </c:pt>
                <c:pt idx="107">
                  <c:v>387.00597559413222</c:v>
                </c:pt>
                <c:pt idx="108">
                  <c:v>396.72162516267457</c:v>
                </c:pt>
                <c:pt idx="109">
                  <c:v>406.43212123270149</c:v>
                </c:pt>
                <c:pt idx="110">
                  <c:v>416.13760433977274</c:v>
                </c:pt>
                <c:pt idx="111">
                  <c:v>425.83820792683815</c:v>
                </c:pt>
                <c:pt idx="112">
                  <c:v>435.53405885908995</c:v>
                </c:pt>
                <c:pt idx="113">
                  <c:v>445.22527789057102</c:v>
                </c:pt>
                <c:pt idx="114">
                  <c:v>386.10611256795636</c:v>
                </c:pt>
                <c:pt idx="115">
                  <c:v>396.00212592142634</c:v>
                </c:pt>
                <c:pt idx="116">
                  <c:v>405.89278200614331</c:v>
                </c:pt>
                <c:pt idx="117">
                  <c:v>415.77822981932394</c:v>
                </c:pt>
                <c:pt idx="118">
                  <c:v>425.65861069261683</c:v>
                </c:pt>
                <c:pt idx="119">
                  <c:v>435.53405885909001</c:v>
                </c:pt>
                <c:pt idx="120">
                  <c:v>445.40470196610289</c:v>
                </c:pt>
                <c:pt idx="121">
                  <c:v>455.27066154033855</c:v>
                </c:pt>
                <c:pt idx="122">
                  <c:v>465.13205341042112</c:v>
                </c:pt>
                <c:pt idx="123">
                  <c:v>474.98898809181907</c:v>
                </c:pt>
                <c:pt idx="124">
                  <c:v>484.84157113813404</c:v>
                </c:pt>
                <c:pt idx="125">
                  <c:v>494.68990346234386</c:v>
                </c:pt>
                <c:pt idx="126">
                  <c:v>422.96445608157842</c:v>
                </c:pt>
                <c:pt idx="127">
                  <c:v>433.02076925672236</c:v>
                </c:pt>
                <c:pt idx="128">
                  <c:v>443.07206797078396</c:v>
                </c:pt>
                <c:pt idx="129">
                  <c:v>453.11848204537097</c:v>
                </c:pt>
                <c:pt idx="130">
                  <c:v>463.16013507441102</c:v>
                </c:pt>
                <c:pt idx="131">
                  <c:v>473.19714485434162</c:v>
                </c:pt>
                <c:pt idx="132">
                  <c:v>483.22962377589675</c:v>
                </c:pt>
                <c:pt idx="133">
                  <c:v>493.25767918166247</c:v>
                </c:pt>
                <c:pt idx="134">
                  <c:v>503.28141369303813</c:v>
                </c:pt>
                <c:pt idx="135">
                  <c:v>513.30092550979464</c:v>
                </c:pt>
                <c:pt idx="136">
                  <c:v>523.31630868502771</c:v>
                </c:pt>
                <c:pt idx="137">
                  <c:v>533.32765337796366</c:v>
                </c:pt>
                <c:pt idx="138">
                  <c:v>457.60194401336389</c:v>
                </c:pt>
                <c:pt idx="139">
                  <c:v>467.82074583035978</c:v>
                </c:pt>
                <c:pt idx="140">
                  <c:v>478.0347918059112</c:v>
                </c:pt>
                <c:pt idx="141">
                  <c:v>488.2441978974</c:v>
                </c:pt>
                <c:pt idx="142">
                  <c:v>498.44907481660215</c:v>
                </c:pt>
                <c:pt idx="143">
                  <c:v>508.64952837181971</c:v>
                </c:pt>
                <c:pt idx="144">
                  <c:v>518.84565978113949</c:v>
                </c:pt>
                <c:pt idx="145">
                  <c:v>529.03756595978655</c:v>
                </c:pt>
                <c:pt idx="146">
                  <c:v>539.22533978418448</c:v>
                </c:pt>
                <c:pt idx="147">
                  <c:v>549.40907033502106</c:v>
                </c:pt>
                <c:pt idx="148">
                  <c:v>559.58884312135808</c:v>
                </c:pt>
                <c:pt idx="149">
                  <c:v>569.76474028758696</c:v>
                </c:pt>
                <c:pt idx="150">
                  <c:v>494.68990346234369</c:v>
                </c:pt>
                <c:pt idx="151">
                  <c:v>505.42880415532403</c:v>
                </c:pt>
                <c:pt idx="152">
                  <c:v>516.16288083607833</c:v>
                </c:pt>
                <c:pt idx="153">
                  <c:v>526.89224796595863</c:v>
                </c:pt>
                <c:pt idx="154">
                  <c:v>537.61701496454464</c:v>
                </c:pt>
                <c:pt idx="155">
                  <c:v>548.33728653000878</c:v>
                </c:pt>
                <c:pt idx="156">
                  <c:v>559.05316293312865</c:v>
                </c:pt>
                <c:pt idx="157">
                  <c:v>569.76474028758696</c:v>
                </c:pt>
                <c:pt idx="158">
                  <c:v>580.47211079889257</c:v>
                </c:pt>
                <c:pt idx="159">
                  <c:v>591.17536299398387</c:v>
                </c:pt>
                <c:pt idx="160">
                  <c:v>601.87458193334203</c:v>
                </c:pt>
                <c:pt idx="161">
                  <c:v>612.56984940724237</c:v>
                </c:pt>
                <c:pt idx="162">
                  <c:v>623.26124411759133</c:v>
                </c:pt>
                <c:pt idx="163">
                  <c:v>633.9488418466409</c:v>
                </c:pt>
                <c:pt idx="164">
                  <c:v>644.63271561373813</c:v>
                </c:pt>
                <c:pt idx="165">
                  <c:v>544.4785002340418</c:v>
                </c:pt>
                <c:pt idx="166">
                  <c:v>555.62455474096214</c:v>
                </c:pt>
                <c:pt idx="167">
                  <c:v>566.76592657380695</c:v>
                </c:pt>
                <c:pt idx="168">
                  <c:v>577.90272074471432</c:v>
                </c:pt>
                <c:pt idx="169">
                  <c:v>589.03503788906971</c:v>
                </c:pt>
                <c:pt idx="170">
                  <c:v>600.1629745289423</c:v>
                </c:pt>
                <c:pt idx="171">
                  <c:v>611.28662331597286</c:v>
                </c:pt>
                <c:pt idx="172">
                  <c:v>622.40607325566884</c:v>
                </c:pt>
                <c:pt idx="173">
                  <c:v>633.52140991484214</c:v>
                </c:pt>
                <c:pt idx="174">
                  <c:v>644.63271561373767</c:v>
                </c:pt>
                <c:pt idx="175">
                  <c:v>655.74006960423162</c:v>
                </c:pt>
                <c:pt idx="176">
                  <c:v>666.84354823533238</c:v>
                </c:pt>
                <c:pt idx="177">
                  <c:v>677.94322510709173</c:v>
                </c:pt>
                <c:pt idx="178">
                  <c:v>689.03917121391612</c:v>
                </c:pt>
                <c:pt idx="179">
                  <c:v>700.13145507817126</c:v>
                </c:pt>
                <c:pt idx="180">
                  <c:v>591.7590599969011</c:v>
                </c:pt>
                <c:pt idx="181">
                  <c:v>603.04152896715016</c:v>
                </c:pt>
                <c:pt idx="182">
                  <c:v>614.31961332592539</c:v>
                </c:pt>
                <c:pt idx="183">
                  <c:v>625.59340489337853</c:v>
                </c:pt>
                <c:pt idx="184">
                  <c:v>636.86299191137539</c:v>
                </c:pt>
                <c:pt idx="185">
                  <c:v>648.12845924513238</c:v>
                </c:pt>
                <c:pt idx="186">
                  <c:v>659.38988857010884</c:v>
                </c:pt>
                <c:pt idx="187">
                  <c:v>670.64735854547348</c:v>
                </c:pt>
                <c:pt idx="188">
                  <c:v>681.90094497532448</c:v>
                </c:pt>
                <c:pt idx="189">
                  <c:v>693.15072095871653</c:v>
                </c:pt>
                <c:pt idx="190">
                  <c:v>704.39675702945021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B18" sqref="B18:M31"/>
    </sheetView>
  </sheetViews>
  <sheetFormatPr baseColWidth="10" defaultRowHeight="14.25" x14ac:dyDescent="0.45"/>
  <cols>
    <col min="1" max="1" width="6.73046875" customWidth="1"/>
    <col min="2" max="13" width="15.86328125" customWidth="1"/>
  </cols>
  <sheetData>
    <row r="12" spans="2:13" ht="15" customHeight="1" x14ac:dyDescent="0.45">
      <c r="B12" s="272" t="s">
        <v>295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</row>
    <row r="13" spans="2:13" ht="15" customHeight="1" x14ac:dyDescent="0.45"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</row>
    <row r="14" spans="2:13" ht="15" customHeight="1" x14ac:dyDescent="0.45">
      <c r="B14" s="272"/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</row>
    <row r="15" spans="2:13" ht="18.75" customHeight="1" x14ac:dyDescent="0.45">
      <c r="B15" s="272"/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</row>
    <row r="16" spans="2:13" ht="18.75" customHeight="1" x14ac:dyDescent="0.45">
      <c r="B16" s="272"/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</row>
    <row r="18" spans="2:13" ht="12" customHeight="1" x14ac:dyDescent="0.45">
      <c r="B18" s="272" t="s">
        <v>296</v>
      </c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</row>
    <row r="19" spans="2:13" ht="12" customHeight="1" x14ac:dyDescent="0.45">
      <c r="B19" s="272"/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</row>
    <row r="20" spans="2:13" ht="12" customHeight="1" x14ac:dyDescent="0.45">
      <c r="B20" s="272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</row>
    <row r="21" spans="2:13" ht="12" customHeight="1" x14ac:dyDescent="0.45">
      <c r="B21" s="272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</row>
    <row r="22" spans="2:13" ht="12" customHeight="1" x14ac:dyDescent="0.45">
      <c r="B22" s="272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</row>
    <row r="23" spans="2:13" ht="12" customHeight="1" x14ac:dyDescent="0.45"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</row>
    <row r="24" spans="2:13" ht="12" customHeight="1" x14ac:dyDescent="0.45"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</row>
    <row r="25" spans="2:13" ht="12" customHeight="1" x14ac:dyDescent="0.45"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</row>
    <row r="26" spans="2:13" ht="12" customHeight="1" x14ac:dyDescent="0.45">
      <c r="B26" s="272"/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</row>
    <row r="27" spans="2:13" ht="12" customHeight="1" x14ac:dyDescent="0.45"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</row>
    <row r="28" spans="2:13" ht="12" customHeight="1" x14ac:dyDescent="0.45"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</row>
    <row r="29" spans="2:13" ht="12" customHeight="1" x14ac:dyDescent="0.45"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</row>
    <row r="30" spans="2:13" ht="12" customHeight="1" x14ac:dyDescent="0.45">
      <c r="B30" s="272"/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</row>
    <row r="31" spans="2:13" ht="12" customHeight="1" x14ac:dyDescent="0.45">
      <c r="B31" s="272"/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7" zoomScale="60" zoomScaleNormal="60" workbookViewId="0">
      <selection activeCell="A88" sqref="A88:H99"/>
    </sheetView>
  </sheetViews>
  <sheetFormatPr baseColWidth="10" defaultColWidth="11.3984375" defaultRowHeight="14.25" x14ac:dyDescent="0.45"/>
  <cols>
    <col min="1" max="1" width="13.73046875" style="25" customWidth="1"/>
    <col min="2" max="2" width="36.1328125" style="25" customWidth="1"/>
    <col min="3" max="3" width="14.86328125" style="25" bestFit="1" customWidth="1"/>
    <col min="4" max="4" width="16.3984375" style="25" customWidth="1"/>
    <col min="5" max="5" width="23.265625" style="25" customWidth="1"/>
    <col min="6" max="6" width="28.86328125" style="25" bestFit="1" customWidth="1"/>
    <col min="7" max="8" width="14.73046875" style="25" customWidth="1"/>
    <col min="9" max="9" width="17" style="25" customWidth="1"/>
    <col min="10" max="10" width="13.86328125" style="25" customWidth="1"/>
    <col min="11" max="16384" width="11.3984375" style="25"/>
  </cols>
  <sheetData>
    <row r="1" spans="1:38" x14ac:dyDescent="0.45">
      <c r="A1" s="5"/>
      <c r="B1" s="5"/>
      <c r="C1" s="273" t="s">
        <v>190</v>
      </c>
      <c r="D1" s="273"/>
      <c r="E1" s="27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4.65" thickBot="1" x14ac:dyDescent="0.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5.9" thickBot="1" x14ac:dyDescent="0.5">
      <c r="A3" s="5"/>
      <c r="B3" s="278" t="s">
        <v>192</v>
      </c>
      <c r="C3" s="279"/>
      <c r="D3" s="279"/>
      <c r="E3" s="279"/>
      <c r="F3" s="280"/>
      <c r="G3" s="95"/>
      <c r="I3" s="238" t="s">
        <v>311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5" x14ac:dyDescent="0.45">
      <c r="A4" s="97"/>
      <c r="B4" s="97"/>
      <c r="C4" s="97"/>
      <c r="D4" s="97"/>
      <c r="E4" s="97"/>
      <c r="F4" s="97"/>
      <c r="G4" s="251"/>
      <c r="I4" s="238" t="s">
        <v>312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5" x14ac:dyDescent="0.45">
      <c r="A5" s="284" t="s">
        <v>231</v>
      </c>
      <c r="B5" s="284"/>
      <c r="C5" s="269">
        <v>11.6</v>
      </c>
      <c r="D5" s="285" t="s">
        <v>229</v>
      </c>
      <c r="E5" s="286"/>
      <c r="F5" s="97"/>
      <c r="G5" s="251"/>
      <c r="H5" s="252"/>
      <c r="I5" s="252"/>
      <c r="J5" s="260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6" customFormat="1" x14ac:dyDescent="0.45">
      <c r="A6" s="98"/>
      <c r="B6" s="98"/>
      <c r="C6" s="99"/>
      <c r="D6" s="91"/>
      <c r="E6" s="91"/>
      <c r="F6" s="28"/>
      <c r="G6" s="253"/>
      <c r="H6" s="254"/>
      <c r="I6" s="254"/>
      <c r="J6" s="261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5" x14ac:dyDescent="0.45">
      <c r="A7" s="282" t="s">
        <v>226</v>
      </c>
      <c r="B7" s="282"/>
      <c r="C7" s="97"/>
      <c r="D7" s="97"/>
      <c r="E7" s="5"/>
      <c r="F7" s="97"/>
      <c r="G7" s="251"/>
      <c r="H7" s="252"/>
      <c r="I7" s="252"/>
      <c r="J7" s="260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45">
      <c r="A8" s="5"/>
      <c r="B8" s="27" t="s">
        <v>179</v>
      </c>
      <c r="C8" s="28" t="s">
        <v>270</v>
      </c>
      <c r="D8" s="29" t="s">
        <v>271</v>
      </c>
      <c r="E8" s="30" t="s">
        <v>269</v>
      </c>
      <c r="F8" s="31" t="s">
        <v>230</v>
      </c>
      <c r="I8" s="266"/>
      <c r="J8" s="260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45">
      <c r="A9" s="32" t="s">
        <v>165</v>
      </c>
      <c r="B9" s="33" t="s">
        <v>35</v>
      </c>
      <c r="C9" s="34">
        <v>0.44700000000000001</v>
      </c>
      <c r="D9" s="35">
        <f t="shared" ref="D9:D18" si="0">C9*$C$5</f>
        <v>5.1852</v>
      </c>
      <c r="E9" s="36">
        <v>90</v>
      </c>
      <c r="F9" s="37" t="str">
        <f t="array" ref="F9">IF(E10="","",IF(INDEX(A:A,MAX(IF(ISNUMBER($A$36:$A$55),ROW($A$36:$A$55),"")))&lt;&gt;E9,"Corrigez : révolution incorrecte","OK"))</f>
        <v>OK</v>
      </c>
      <c r="I9" s="267"/>
      <c r="J9" s="260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45">
      <c r="A10" s="32" t="s">
        <v>166</v>
      </c>
      <c r="B10" s="33" t="s">
        <v>164</v>
      </c>
      <c r="C10" s="34">
        <v>0.44700000000000001</v>
      </c>
      <c r="D10" s="35">
        <f t="shared" si="0"/>
        <v>5.1852</v>
      </c>
      <c r="E10" s="36">
        <v>100</v>
      </c>
      <c r="F10" s="37" t="str">
        <f t="array" ref="F10">IF(E10="","",IF(INDEX(A:A,MAX(IF(ISNUMBER($A$62:$A$81),ROW($A$62:$A$81),"")))&lt;&gt;E10,"Corrigez : révolution incorrecte","OK"))</f>
        <v>OK</v>
      </c>
      <c r="I10" s="267"/>
      <c r="J10" s="260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45">
      <c r="A11" s="32" t="s">
        <v>167</v>
      </c>
      <c r="B11" s="33" t="s">
        <v>12</v>
      </c>
      <c r="C11" s="34">
        <v>0.104</v>
      </c>
      <c r="D11" s="35">
        <f t="shared" si="0"/>
        <v>1.2063999999999999</v>
      </c>
      <c r="E11" s="36">
        <v>190</v>
      </c>
      <c r="F11" s="37" t="str">
        <f t="array" ref="F11">IF(E11="","",IF(INDEX(A:A,MAX(IF(ISNUMBER($A$88:$A$107),ROW($A$88:$A$107),"")))&lt;&gt;E11,"Corrigez : révolution incorrecte","OK"))</f>
        <v>OK</v>
      </c>
      <c r="H11" s="243"/>
      <c r="I11" s="267"/>
      <c r="J11" s="260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45">
      <c r="A12" s="32" t="s">
        <v>168</v>
      </c>
      <c r="B12" s="33"/>
      <c r="C12" s="34"/>
      <c r="D12" s="35">
        <f t="shared" si="0"/>
        <v>0</v>
      </c>
      <c r="E12" s="36"/>
      <c r="F12" s="37" t="str">
        <f t="array" ref="F12">IF(E12="","",IF(INDEX(A:A,MAX(IF(ISNUMBER($A$114:$A$133),ROW($A$114:$A$133),"")))&lt;&gt;E12,"Corrigez : révolution incorrecte","OK"))</f>
        <v/>
      </c>
      <c r="H12" s="243"/>
      <c r="I12" s="267"/>
      <c r="J12" s="260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45">
      <c r="A13" s="32" t="s">
        <v>169</v>
      </c>
      <c r="B13" s="33"/>
      <c r="C13" s="34"/>
      <c r="D13" s="35">
        <f t="shared" si="0"/>
        <v>0</v>
      </c>
      <c r="E13" s="36"/>
      <c r="F13" s="37" t="str">
        <f t="array" ref="F13">IF(E13="","",IF(INDEX(A:A,MAX(IF(ISNUMBER($A$140:$A$159),ROW($A$140:$A$159),"")))&lt;&gt;E13,"Corrigez : révolution incorrecte","OK"))</f>
        <v/>
      </c>
      <c r="H13" s="243"/>
      <c r="I13" s="267"/>
      <c r="J13" s="26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45">
      <c r="A14" s="32" t="s">
        <v>170</v>
      </c>
      <c r="B14" s="33"/>
      <c r="C14" s="34"/>
      <c r="D14" s="35">
        <f t="shared" si="0"/>
        <v>0</v>
      </c>
      <c r="E14" s="36"/>
      <c r="F14" s="37" t="str">
        <f t="array" ref="F14">IF(E14="","",IF(INDEX(A:A,MAX(IF(ISNUMBER($A$166:$A$185),ROW($A$166:$A$185),"")))&lt;&gt;E14,"Corrigez : révolution incorrecte","OK"))</f>
        <v/>
      </c>
      <c r="H14" s="243"/>
      <c r="I14" s="267"/>
      <c r="J14" s="26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45">
      <c r="A15" s="32" t="s">
        <v>171</v>
      </c>
      <c r="B15" s="33"/>
      <c r="C15" s="34"/>
      <c r="D15" s="35">
        <f t="shared" si="0"/>
        <v>0</v>
      </c>
      <c r="E15" s="36"/>
      <c r="F15" s="37" t="str">
        <f t="array" ref="F15">IF(E15="","",IF(INDEX(A:A,MAX(IF(ISNUMBER($A$192:$A$211),ROW($A$192:$A$211),"")))&lt;&gt;E15,"Corrigez : révolution incorrecte","OK"))</f>
        <v/>
      </c>
      <c r="H15" s="243"/>
      <c r="I15" s="267"/>
      <c r="J15" s="26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45">
      <c r="A16" s="32" t="s">
        <v>172</v>
      </c>
      <c r="B16" s="33"/>
      <c r="C16" s="34"/>
      <c r="D16" s="35">
        <f t="shared" si="0"/>
        <v>0</v>
      </c>
      <c r="E16" s="36"/>
      <c r="F16" s="37" t="str">
        <f t="array" ref="F16">IF(E16="","",IF(INDEX(A:A,MAX(IF(ISNUMBER($A$218:$A$237),ROW($A$218:$A$237),"")))&lt;&gt;E16,"Corrigez : révolution incorrecte","OK"))</f>
        <v/>
      </c>
      <c r="H16" s="243"/>
      <c r="I16" s="267"/>
      <c r="J16" s="26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45">
      <c r="A17" s="32" t="s">
        <v>173</v>
      </c>
      <c r="B17" s="33"/>
      <c r="C17" s="34"/>
      <c r="D17" s="35">
        <f t="shared" si="0"/>
        <v>0</v>
      </c>
      <c r="E17" s="36"/>
      <c r="F17" s="37" t="str">
        <f t="array" ref="F17">IF(E17="","",IF(INDEX(A:A,MAX(IF(ISNUMBER($A$244:$A$263),ROW($A$244:$A$263),"")))&lt;&gt;E17,"Corrigez : révolution incorrecte","OK"))</f>
        <v/>
      </c>
      <c r="H17" s="243"/>
      <c r="I17" s="267"/>
      <c r="J17" s="260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45">
      <c r="A18" s="32" t="s">
        <v>174</v>
      </c>
      <c r="B18" s="33"/>
      <c r="C18" s="34"/>
      <c r="D18" s="35">
        <f t="shared" si="0"/>
        <v>0</v>
      </c>
      <c r="E18" s="36"/>
      <c r="F18" s="37" t="str">
        <f t="array" ref="F18">IF(E18="","",IF(INDEX(A:A,MAX(IF(ISNUMBER($A$270:$A$289),ROW($A$270:$A$289),"")))&lt;&gt;E18,"Corrigez : révolution incorrecte","OK"))</f>
        <v/>
      </c>
      <c r="H18" s="243"/>
      <c r="I18" s="267"/>
      <c r="J18" s="260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45">
      <c r="A19" s="100"/>
      <c r="B19" s="38" t="s">
        <v>175</v>
      </c>
      <c r="C19" s="39">
        <f>SUM(C9:C18)</f>
        <v>0.998</v>
      </c>
      <c r="D19" s="40">
        <f>SUM(D9:D18)</f>
        <v>11.5768</v>
      </c>
      <c r="E19" s="5"/>
      <c r="F19" s="101"/>
      <c r="G19" s="255"/>
      <c r="H19" s="256"/>
      <c r="I19" s="255"/>
      <c r="J19" s="26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45">
      <c r="A20" s="100"/>
      <c r="B20" s="41" t="s">
        <v>230</v>
      </c>
      <c r="C20" s="42" t="str">
        <f>IF(C19&gt;100%,"Erreur : corrigez","OK")</f>
        <v>OK</v>
      </c>
      <c r="D20" s="262"/>
      <c r="F20" s="254"/>
      <c r="G20" s="254"/>
      <c r="H20" s="256"/>
      <c r="I20" s="255"/>
      <c r="J20" s="26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45">
      <c r="A21" s="5"/>
      <c r="B21" s="5"/>
      <c r="C21" s="5"/>
      <c r="H21" s="257"/>
      <c r="I21" s="268"/>
      <c r="J21" s="260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6" customFormat="1" ht="21" x14ac:dyDescent="0.65">
      <c r="A22" s="281" t="s">
        <v>232</v>
      </c>
      <c r="B22" s="281"/>
      <c r="C22" s="99"/>
      <c r="H22" s="241"/>
      <c r="I22" s="261"/>
      <c r="J22" s="261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45">
      <c r="A23" s="5"/>
      <c r="B23" s="5"/>
      <c r="C23" s="5"/>
      <c r="H23" s="229"/>
      <c r="I23" s="260"/>
      <c r="J23" s="260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45">
      <c r="A24" s="43" t="s">
        <v>218</v>
      </c>
      <c r="B24" s="44" t="s">
        <v>224</v>
      </c>
      <c r="C24" s="45">
        <v>0</v>
      </c>
      <c r="D24" s="46" t="s">
        <v>233</v>
      </c>
      <c r="E24" s="102"/>
      <c r="F24" s="102"/>
      <c r="G24" s="258"/>
      <c r="H24" s="243"/>
      <c r="I24" s="258"/>
      <c r="J24" s="259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45">
      <c r="A25" s="43" t="s">
        <v>220</v>
      </c>
      <c r="B25" s="44" t="s">
        <v>219</v>
      </c>
      <c r="C25" s="47">
        <v>0.1</v>
      </c>
      <c r="D25" s="103"/>
      <c r="E25" s="5"/>
      <c r="F25" s="103"/>
      <c r="G25" s="259"/>
      <c r="H25" s="243"/>
      <c r="I25" s="259"/>
      <c r="J25" s="259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45">
      <c r="A26" s="43" t="s">
        <v>222</v>
      </c>
      <c r="B26" s="44" t="s">
        <v>221</v>
      </c>
      <c r="C26" s="45">
        <v>0</v>
      </c>
      <c r="D26" s="46" t="s">
        <v>234</v>
      </c>
      <c r="E26" s="102"/>
      <c r="F26" s="102"/>
      <c r="G26" s="258"/>
      <c r="I26" s="258"/>
      <c r="J26" s="258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45">
      <c r="A27" s="43" t="s">
        <v>223</v>
      </c>
      <c r="B27" s="44" t="s">
        <v>225</v>
      </c>
      <c r="C27" s="45">
        <v>0</v>
      </c>
      <c r="D27" s="46" t="s">
        <v>235</v>
      </c>
      <c r="E27" s="102"/>
      <c r="F27" s="102"/>
      <c r="G27" s="258"/>
      <c r="I27" s="258"/>
      <c r="J27" s="258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45">
      <c r="A28" s="5"/>
      <c r="B28" s="5"/>
      <c r="H28" s="260"/>
      <c r="I28" s="260"/>
      <c r="J28" s="260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45">
      <c r="A29" s="5"/>
      <c r="B29" s="5"/>
      <c r="H29" s="260"/>
      <c r="I29" s="260"/>
      <c r="J29" s="260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6" customFormat="1" ht="21" x14ac:dyDescent="0.45">
      <c r="A30" s="283" t="s">
        <v>227</v>
      </c>
      <c r="B30" s="283"/>
      <c r="D30" s="263"/>
      <c r="H30" s="261"/>
      <c r="I30" s="261"/>
      <c r="J30" s="261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45">
      <c r="A31" s="5"/>
      <c r="B31" s="5"/>
      <c r="H31" s="260"/>
      <c r="I31" s="260"/>
      <c r="J31" s="260"/>
      <c r="K31" s="263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45">
      <c r="A32" s="48" t="s">
        <v>165</v>
      </c>
      <c r="B32" s="49" t="str">
        <f>IF(B9="","",B9)</f>
        <v>Pin laricio</v>
      </c>
      <c r="K32" s="263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45">
      <c r="A33" s="48"/>
      <c r="B33" s="5"/>
      <c r="K33" s="263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45">
      <c r="A34" s="5"/>
      <c r="B34" s="90" t="s">
        <v>185</v>
      </c>
      <c r="C34" s="274" t="s">
        <v>186</v>
      </c>
      <c r="D34" s="274"/>
      <c r="E34" s="275" t="s">
        <v>187</v>
      </c>
      <c r="F34" s="276"/>
      <c r="G34" s="276"/>
      <c r="H34" s="277"/>
      <c r="I34" s="104"/>
      <c r="J34" s="264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28.5" x14ac:dyDescent="0.45">
      <c r="A35" s="38" t="s">
        <v>180</v>
      </c>
      <c r="B35" s="38" t="s">
        <v>189</v>
      </c>
      <c r="C35" s="50" t="s">
        <v>188</v>
      </c>
      <c r="D35" s="50" t="s">
        <v>251</v>
      </c>
      <c r="E35" s="38" t="s">
        <v>183</v>
      </c>
      <c r="F35" s="38" t="s">
        <v>181</v>
      </c>
      <c r="G35" s="38" t="s">
        <v>184</v>
      </c>
      <c r="H35" s="38" t="s">
        <v>182</v>
      </c>
      <c r="I35" s="50" t="s">
        <v>213</v>
      </c>
      <c r="J35" s="26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45">
      <c r="A36" s="270">
        <v>20</v>
      </c>
      <c r="B36" s="270">
        <v>103</v>
      </c>
      <c r="C36" s="270">
        <v>1</v>
      </c>
      <c r="D36" s="270">
        <v>16</v>
      </c>
      <c r="E36" s="271">
        <v>0</v>
      </c>
      <c r="F36" s="271">
        <v>0</v>
      </c>
      <c r="G36" s="271">
        <v>0</v>
      </c>
      <c r="H36" s="271">
        <v>1</v>
      </c>
      <c r="I36" s="51">
        <f>IFERROR(B36/A36,"")</f>
        <v>5.15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45">
      <c r="A37" s="270">
        <v>25</v>
      </c>
      <c r="B37" s="270">
        <v>155</v>
      </c>
      <c r="C37" s="270">
        <v>2</v>
      </c>
      <c r="D37" s="270">
        <v>26</v>
      </c>
      <c r="E37" s="271">
        <v>0</v>
      </c>
      <c r="F37" s="271">
        <v>0.9</v>
      </c>
      <c r="G37" s="271">
        <v>0.1</v>
      </c>
      <c r="H37" s="271">
        <v>0</v>
      </c>
      <c r="I37" s="55">
        <f t="shared" ref="I37:I55" si="1">IF(A37&lt;&gt;0,(B37-(B36-D36))/(A37-A36),"")</f>
        <v>13.6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45">
      <c r="A38" s="270">
        <v>30</v>
      </c>
      <c r="B38" s="270">
        <v>206</v>
      </c>
      <c r="C38" s="270">
        <v>3</v>
      </c>
      <c r="D38" s="270">
        <v>33</v>
      </c>
      <c r="E38" s="271">
        <v>0</v>
      </c>
      <c r="F38" s="271">
        <v>0.9</v>
      </c>
      <c r="G38" s="271">
        <v>0.1</v>
      </c>
      <c r="H38" s="271">
        <v>0</v>
      </c>
      <c r="I38" s="55">
        <f t="shared" si="1"/>
        <v>15.4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45">
      <c r="A39" s="270">
        <v>35</v>
      </c>
      <c r="B39" s="270">
        <v>256</v>
      </c>
      <c r="C39" s="270">
        <v>4</v>
      </c>
      <c r="D39" s="270">
        <v>39</v>
      </c>
      <c r="E39" s="271">
        <v>0</v>
      </c>
      <c r="F39" s="271">
        <v>0.9</v>
      </c>
      <c r="G39" s="271">
        <v>0.1</v>
      </c>
      <c r="H39" s="271">
        <v>0</v>
      </c>
      <c r="I39" s="51">
        <f t="shared" si="1"/>
        <v>16.600000000000001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45">
      <c r="A40" s="270">
        <v>40</v>
      </c>
      <c r="B40" s="270">
        <v>303</v>
      </c>
      <c r="C40" s="270">
        <v>5</v>
      </c>
      <c r="D40" s="270">
        <v>43</v>
      </c>
      <c r="E40" s="271">
        <v>0</v>
      </c>
      <c r="F40" s="271">
        <v>0.9</v>
      </c>
      <c r="G40" s="271">
        <v>0.1</v>
      </c>
      <c r="H40" s="271">
        <v>0</v>
      </c>
      <c r="I40" s="51">
        <f t="shared" si="1"/>
        <v>17.2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45">
      <c r="A41" s="270">
        <v>45</v>
      </c>
      <c r="B41" s="270">
        <v>347</v>
      </c>
      <c r="C41" s="270">
        <v>6</v>
      </c>
      <c r="D41" s="270">
        <v>46</v>
      </c>
      <c r="E41" s="271">
        <v>0.5</v>
      </c>
      <c r="F41" s="271">
        <v>0.4</v>
      </c>
      <c r="G41" s="271">
        <v>0.1</v>
      </c>
      <c r="H41" s="271">
        <v>0</v>
      </c>
      <c r="I41" s="55">
        <f t="shared" si="1"/>
        <v>17.399999999999999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45">
      <c r="A42" s="270">
        <v>50</v>
      </c>
      <c r="B42" s="270">
        <v>387</v>
      </c>
      <c r="C42" s="270">
        <v>7</v>
      </c>
      <c r="D42" s="270">
        <v>47</v>
      </c>
      <c r="E42" s="271">
        <v>0.5</v>
      </c>
      <c r="F42" s="271">
        <v>0.4</v>
      </c>
      <c r="G42" s="271">
        <v>0.1</v>
      </c>
      <c r="H42" s="271">
        <v>0</v>
      </c>
      <c r="I42" s="55">
        <f t="shared" si="1"/>
        <v>17.2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45">
      <c r="A43" s="270">
        <v>55</v>
      </c>
      <c r="B43" s="270">
        <v>423</v>
      </c>
      <c r="C43" s="270">
        <v>8</v>
      </c>
      <c r="D43" s="270">
        <v>48</v>
      </c>
      <c r="E43" s="271">
        <v>0.5</v>
      </c>
      <c r="F43" s="271">
        <v>0.4</v>
      </c>
      <c r="G43" s="271">
        <v>0.1</v>
      </c>
      <c r="H43" s="271">
        <v>0</v>
      </c>
      <c r="I43" s="51">
        <f t="shared" si="1"/>
        <v>16.600000000000001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45">
      <c r="A44" s="270">
        <v>60</v>
      </c>
      <c r="B44" s="270">
        <v>455</v>
      </c>
      <c r="C44" s="270">
        <v>9</v>
      </c>
      <c r="D44" s="270">
        <v>47</v>
      </c>
      <c r="E44" s="271">
        <v>0.5</v>
      </c>
      <c r="F44" s="271">
        <v>0.4</v>
      </c>
      <c r="G44" s="271">
        <v>0.1</v>
      </c>
      <c r="H44" s="271">
        <v>0</v>
      </c>
      <c r="I44" s="51">
        <f t="shared" si="1"/>
        <v>16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45">
      <c r="A45" s="270">
        <v>65</v>
      </c>
      <c r="B45" s="270">
        <v>484</v>
      </c>
      <c r="C45" s="270">
        <v>10</v>
      </c>
      <c r="D45" s="270">
        <v>46</v>
      </c>
      <c r="E45" s="271">
        <v>0.5</v>
      </c>
      <c r="F45" s="271">
        <v>0.4</v>
      </c>
      <c r="G45" s="271">
        <v>0.1</v>
      </c>
      <c r="H45" s="271">
        <v>0</v>
      </c>
      <c r="I45" s="51">
        <f t="shared" si="1"/>
        <v>15.2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45">
      <c r="A46" s="270">
        <v>70</v>
      </c>
      <c r="B46" s="270">
        <v>510</v>
      </c>
      <c r="C46" s="270">
        <v>11</v>
      </c>
      <c r="D46" s="270">
        <v>44</v>
      </c>
      <c r="E46" s="271">
        <v>0.9</v>
      </c>
      <c r="F46" s="271"/>
      <c r="G46" s="271"/>
      <c r="H46" s="271">
        <v>0.1</v>
      </c>
      <c r="I46" s="51">
        <f t="shared" si="1"/>
        <v>14.4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45">
      <c r="A47" s="270">
        <v>75</v>
      </c>
      <c r="B47" s="270">
        <v>532</v>
      </c>
      <c r="C47" s="270">
        <v>12</v>
      </c>
      <c r="D47" s="270">
        <v>42</v>
      </c>
      <c r="E47" s="271">
        <v>0.9</v>
      </c>
      <c r="F47" s="271"/>
      <c r="G47" s="271"/>
      <c r="H47" s="271">
        <v>0.1</v>
      </c>
      <c r="I47" s="51">
        <f t="shared" si="1"/>
        <v>13.2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45">
      <c r="A48" s="270">
        <v>80</v>
      </c>
      <c r="B48" s="62">
        <v>552</v>
      </c>
      <c r="C48" s="270">
        <v>13</v>
      </c>
      <c r="D48" s="62">
        <v>40</v>
      </c>
      <c r="E48" s="271">
        <v>0.9</v>
      </c>
      <c r="F48" s="271"/>
      <c r="G48" s="271"/>
      <c r="H48" s="271">
        <v>0.1</v>
      </c>
      <c r="I48" s="51">
        <f t="shared" si="1"/>
        <v>12.4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45">
      <c r="A49" s="270">
        <v>85</v>
      </c>
      <c r="B49" s="62">
        <v>570</v>
      </c>
      <c r="C49" s="270">
        <v>14</v>
      </c>
      <c r="D49" s="62">
        <v>37</v>
      </c>
      <c r="E49" s="271">
        <v>0.9</v>
      </c>
      <c r="F49" s="271"/>
      <c r="G49" s="271"/>
      <c r="H49" s="271">
        <v>0.1</v>
      </c>
      <c r="I49" s="51">
        <f t="shared" si="1"/>
        <v>11.6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45">
      <c r="A50" s="270">
        <v>90</v>
      </c>
      <c r="B50" s="62">
        <v>585</v>
      </c>
      <c r="C50" s="270">
        <v>15</v>
      </c>
      <c r="D50" s="62">
        <v>585</v>
      </c>
      <c r="E50" s="271">
        <v>1</v>
      </c>
      <c r="F50" s="271"/>
      <c r="G50" s="271"/>
      <c r="H50" s="271"/>
      <c r="I50" s="51">
        <f t="shared" si="1"/>
        <v>10.4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45">
      <c r="A51" s="52"/>
      <c r="B51" s="52"/>
      <c r="C51" s="52"/>
      <c r="D51" s="52"/>
      <c r="E51" s="53"/>
      <c r="F51" s="53"/>
      <c r="G51" s="53"/>
      <c r="H51" s="53"/>
      <c r="I51" s="51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45">
      <c r="A52" s="52"/>
      <c r="B52" s="52"/>
      <c r="C52" s="52"/>
      <c r="D52" s="52"/>
      <c r="E52" s="53"/>
      <c r="F52" s="53"/>
      <c r="G52" s="53"/>
      <c r="H52" s="53"/>
      <c r="I52" s="51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45">
      <c r="A53" s="52"/>
      <c r="B53" s="52"/>
      <c r="C53" s="52"/>
      <c r="D53" s="52"/>
      <c r="E53" s="53"/>
      <c r="F53" s="53"/>
      <c r="G53" s="53"/>
      <c r="H53" s="53"/>
      <c r="I53" s="51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45">
      <c r="A54" s="52"/>
      <c r="B54" s="52"/>
      <c r="C54" s="52"/>
      <c r="D54" s="52"/>
      <c r="E54" s="53"/>
      <c r="F54" s="53"/>
      <c r="G54" s="53"/>
      <c r="H54" s="53"/>
      <c r="I54" s="51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45">
      <c r="A55" s="52"/>
      <c r="B55" s="52"/>
      <c r="C55" s="52"/>
      <c r="D55" s="52"/>
      <c r="E55" s="53"/>
      <c r="F55" s="53"/>
      <c r="G55" s="53"/>
      <c r="H55" s="53"/>
      <c r="I55" s="51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4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4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45">
      <c r="A58" s="48" t="s">
        <v>166</v>
      </c>
      <c r="B58" s="54" t="str">
        <f>IF(B10="","",B10)</f>
        <v>Cèdre de l'Atlas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45">
      <c r="A59" s="48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45">
      <c r="A60" s="5"/>
      <c r="B60" s="90" t="s">
        <v>185</v>
      </c>
      <c r="C60" s="274" t="s">
        <v>186</v>
      </c>
      <c r="D60" s="274"/>
      <c r="E60" s="275" t="s">
        <v>187</v>
      </c>
      <c r="F60" s="276"/>
      <c r="G60" s="276"/>
      <c r="H60" s="277"/>
      <c r="I60" s="104"/>
      <c r="J60" s="264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28.5" x14ac:dyDescent="0.45">
      <c r="A61" s="38" t="s">
        <v>180</v>
      </c>
      <c r="B61" s="38" t="s">
        <v>189</v>
      </c>
      <c r="C61" s="50" t="s">
        <v>188</v>
      </c>
      <c r="D61" s="50" t="s">
        <v>251</v>
      </c>
      <c r="E61" s="38" t="s">
        <v>183</v>
      </c>
      <c r="F61" s="38" t="s">
        <v>181</v>
      </c>
      <c r="G61" s="38" t="s">
        <v>184</v>
      </c>
      <c r="H61" s="38" t="s">
        <v>182</v>
      </c>
      <c r="I61" s="50" t="s">
        <v>213</v>
      </c>
      <c r="J61" s="26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45">
      <c r="A62" s="270">
        <v>20</v>
      </c>
      <c r="B62" s="270">
        <v>115</v>
      </c>
      <c r="C62" s="270">
        <v>1</v>
      </c>
      <c r="D62" s="52">
        <v>19</v>
      </c>
      <c r="E62" s="271"/>
      <c r="F62" s="271"/>
      <c r="G62" s="271"/>
      <c r="H62" s="271">
        <v>1</v>
      </c>
      <c r="I62" s="55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45">
      <c r="A63" s="270">
        <v>30</v>
      </c>
      <c r="B63" s="270">
        <v>180</v>
      </c>
      <c r="C63" s="270">
        <v>2</v>
      </c>
      <c r="D63" s="52">
        <v>27</v>
      </c>
      <c r="E63" s="271"/>
      <c r="F63" s="271">
        <v>0.5</v>
      </c>
      <c r="G63" s="271"/>
      <c r="H63" s="271">
        <v>0.5</v>
      </c>
      <c r="I63" s="51">
        <f>IF(A63&lt;&gt;0,(B63-(B62-D62))/(A63-A62),"")</f>
        <v>8.4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45">
      <c r="A64" s="270">
        <v>40</v>
      </c>
      <c r="B64" s="270">
        <v>250</v>
      </c>
      <c r="C64" s="270">
        <v>3</v>
      </c>
      <c r="D64" s="52">
        <v>37</v>
      </c>
      <c r="E64" s="271"/>
      <c r="F64" s="271">
        <v>0.5</v>
      </c>
      <c r="G64" s="271"/>
      <c r="H64" s="271">
        <v>0.5</v>
      </c>
      <c r="I64" s="51">
        <f>IF(A64&lt;&gt;0,(B64-(B63-D63))/(A64-A63),"")</f>
        <v>9.6999999999999993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45">
      <c r="A65" s="270">
        <v>50</v>
      </c>
      <c r="B65" s="270">
        <v>320</v>
      </c>
      <c r="C65" s="270">
        <v>4</v>
      </c>
      <c r="D65" s="52">
        <v>47</v>
      </c>
      <c r="E65" s="271"/>
      <c r="F65" s="271">
        <v>0.5</v>
      </c>
      <c r="G65" s="271"/>
      <c r="H65" s="271">
        <v>0.5</v>
      </c>
      <c r="I65" s="51">
        <f>IF(A65&lt;&gt;0,(B65-(B64-D64))/(A65-A64),"")</f>
        <v>10.7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45">
      <c r="A66" s="270">
        <v>60</v>
      </c>
      <c r="B66" s="270">
        <v>400</v>
      </c>
      <c r="C66" s="270">
        <v>5</v>
      </c>
      <c r="D66" s="52">
        <v>59</v>
      </c>
      <c r="E66" s="271">
        <v>0.5</v>
      </c>
      <c r="F66" s="271">
        <v>0.5</v>
      </c>
      <c r="G66" s="271"/>
      <c r="H66" s="271"/>
      <c r="I66" s="51">
        <f t="shared" ref="I66:I81" si="2">IF(A66&lt;&gt;0,(B66-(B65-D65))/(A66-A65),"")</f>
        <v>12.7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45">
      <c r="A67" s="270">
        <v>70</v>
      </c>
      <c r="B67" s="270">
        <v>475</v>
      </c>
      <c r="C67" s="270">
        <v>6</v>
      </c>
      <c r="D67" s="52">
        <v>69</v>
      </c>
      <c r="E67" s="271">
        <v>0.5</v>
      </c>
      <c r="F67" s="271">
        <v>0.5</v>
      </c>
      <c r="G67" s="271"/>
      <c r="H67" s="271"/>
      <c r="I67" s="51">
        <f t="shared" si="2"/>
        <v>13.4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45">
      <c r="A68" s="270">
        <v>80</v>
      </c>
      <c r="B68" s="270">
        <v>552</v>
      </c>
      <c r="C68" s="270">
        <v>7</v>
      </c>
      <c r="D68" s="52">
        <v>80</v>
      </c>
      <c r="E68" s="271">
        <v>0.5</v>
      </c>
      <c r="F68" s="271">
        <v>0.5</v>
      </c>
      <c r="G68" s="271"/>
      <c r="H68" s="271"/>
      <c r="I68" s="51">
        <f t="shared" si="2"/>
        <v>14.6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45">
      <c r="A69" s="270">
        <v>90</v>
      </c>
      <c r="B69" s="270">
        <v>635</v>
      </c>
      <c r="C69" s="270">
        <v>8</v>
      </c>
      <c r="D69" s="52">
        <v>92</v>
      </c>
      <c r="E69" s="271">
        <v>0.5</v>
      </c>
      <c r="F69" s="271">
        <v>0.5</v>
      </c>
      <c r="G69" s="271"/>
      <c r="H69" s="271"/>
      <c r="I69" s="51">
        <f t="shared" si="2"/>
        <v>16.3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45">
      <c r="A70" s="270">
        <v>100</v>
      </c>
      <c r="B70" s="270">
        <v>718</v>
      </c>
      <c r="C70" s="270">
        <v>9</v>
      </c>
      <c r="D70" s="270">
        <v>718</v>
      </c>
      <c r="E70" s="271">
        <v>1</v>
      </c>
      <c r="F70" s="271"/>
      <c r="G70" s="271"/>
      <c r="H70" s="271"/>
      <c r="I70" s="51">
        <f t="shared" si="2"/>
        <v>17.5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45">
      <c r="A71" s="52"/>
      <c r="B71" s="52"/>
      <c r="C71" s="52"/>
      <c r="D71" s="52"/>
      <c r="E71" s="53"/>
      <c r="F71" s="53"/>
      <c r="G71" s="53"/>
      <c r="H71" s="53"/>
      <c r="I71" s="51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45">
      <c r="A72" s="52"/>
      <c r="B72" s="52"/>
      <c r="C72" s="52"/>
      <c r="D72" s="52"/>
      <c r="E72" s="53"/>
      <c r="F72" s="53"/>
      <c r="G72" s="53"/>
      <c r="H72" s="53"/>
      <c r="I72" s="51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45">
      <c r="A73" s="52"/>
      <c r="B73" s="52"/>
      <c r="C73" s="52"/>
      <c r="D73" s="52"/>
      <c r="E73" s="53"/>
      <c r="F73" s="53"/>
      <c r="G73" s="53"/>
      <c r="H73" s="53"/>
      <c r="I73" s="51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45">
      <c r="A74" s="52"/>
      <c r="B74" s="52"/>
      <c r="C74" s="52"/>
      <c r="D74" s="52"/>
      <c r="E74" s="53"/>
      <c r="F74" s="53"/>
      <c r="G74" s="53"/>
      <c r="H74" s="53"/>
      <c r="I74" s="51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45">
      <c r="A75" s="52"/>
      <c r="B75" s="52"/>
      <c r="C75" s="52"/>
      <c r="D75" s="52"/>
      <c r="E75" s="53"/>
      <c r="F75" s="53"/>
      <c r="G75" s="53"/>
      <c r="H75" s="53"/>
      <c r="I75" s="51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45">
      <c r="A76" s="52"/>
      <c r="B76" s="52"/>
      <c r="C76" s="52"/>
      <c r="D76" s="52"/>
      <c r="E76" s="53"/>
      <c r="F76" s="53"/>
      <c r="G76" s="53"/>
      <c r="H76" s="53"/>
      <c r="I76" s="51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45">
      <c r="A77" s="52"/>
      <c r="B77" s="52"/>
      <c r="C77" s="52"/>
      <c r="D77" s="52"/>
      <c r="E77" s="53"/>
      <c r="F77" s="53"/>
      <c r="G77" s="53"/>
      <c r="H77" s="53"/>
      <c r="I77" s="51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45">
      <c r="A78" s="52"/>
      <c r="B78" s="52"/>
      <c r="C78" s="52"/>
      <c r="D78" s="52"/>
      <c r="E78" s="53"/>
      <c r="F78" s="53"/>
      <c r="G78" s="53"/>
      <c r="H78" s="53"/>
      <c r="I78" s="51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45">
      <c r="A79" s="52"/>
      <c r="B79" s="52"/>
      <c r="C79" s="52"/>
      <c r="D79" s="52"/>
      <c r="E79" s="53"/>
      <c r="F79" s="53"/>
      <c r="G79" s="53"/>
      <c r="H79" s="53"/>
      <c r="I79" s="51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45">
      <c r="A80" s="52"/>
      <c r="B80" s="52"/>
      <c r="C80" s="52"/>
      <c r="D80" s="52"/>
      <c r="E80" s="53"/>
      <c r="F80" s="53"/>
      <c r="G80" s="53"/>
      <c r="H80" s="53"/>
      <c r="I80" s="51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45">
      <c r="A81" s="52"/>
      <c r="B81" s="52"/>
      <c r="C81" s="52"/>
      <c r="D81" s="52"/>
      <c r="E81" s="53"/>
      <c r="F81" s="53"/>
      <c r="G81" s="53"/>
      <c r="H81" s="53"/>
      <c r="I81" s="51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4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4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45">
      <c r="A84" s="48" t="s">
        <v>167</v>
      </c>
      <c r="B84" s="54" t="str">
        <f>IF(B11="","",B11)</f>
        <v>Chêne pubescent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45">
      <c r="A85" s="48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45">
      <c r="A86" s="5"/>
      <c r="B86" s="90" t="s">
        <v>185</v>
      </c>
      <c r="C86" s="274" t="s">
        <v>186</v>
      </c>
      <c r="D86" s="274"/>
      <c r="E86" s="275" t="s">
        <v>187</v>
      </c>
      <c r="F86" s="276"/>
      <c r="G86" s="276"/>
      <c r="H86" s="27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28.5" x14ac:dyDescent="0.45">
      <c r="A87" s="38" t="s">
        <v>180</v>
      </c>
      <c r="B87" s="38" t="s">
        <v>189</v>
      </c>
      <c r="C87" s="50" t="s">
        <v>188</v>
      </c>
      <c r="D87" s="50" t="s">
        <v>251</v>
      </c>
      <c r="E87" s="38" t="s">
        <v>183</v>
      </c>
      <c r="F87" s="38" t="s">
        <v>181</v>
      </c>
      <c r="G87" s="38" t="s">
        <v>184</v>
      </c>
      <c r="H87" s="38" t="s">
        <v>182</v>
      </c>
      <c r="I87" s="50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45">
      <c r="A88" s="270">
        <v>63</v>
      </c>
      <c r="B88" s="270">
        <v>117</v>
      </c>
      <c r="C88" s="270">
        <v>1</v>
      </c>
      <c r="D88" s="270">
        <v>24</v>
      </c>
      <c r="E88" s="271"/>
      <c r="F88" s="271"/>
      <c r="G88" s="271"/>
      <c r="H88" s="271">
        <v>1</v>
      </c>
      <c r="I88" s="55">
        <f>IFERROR(B88/A88,"")</f>
        <v>1.8571428571428572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45">
      <c r="A89" s="270">
        <v>73</v>
      </c>
      <c r="B89" s="270">
        <v>137</v>
      </c>
      <c r="C89" s="270">
        <v>2</v>
      </c>
      <c r="D89" s="270">
        <v>25</v>
      </c>
      <c r="E89" s="271"/>
      <c r="F89" s="271"/>
      <c r="G89" s="271"/>
      <c r="H89" s="271">
        <v>1</v>
      </c>
      <c r="I89" s="55">
        <f>IF(A89&lt;&gt;0,(B89-(B88-D88))/(A89-A88),"")</f>
        <v>4.4000000000000004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45">
      <c r="A90" s="270">
        <v>83</v>
      </c>
      <c r="B90" s="270">
        <v>156</v>
      </c>
      <c r="C90" s="270">
        <v>3</v>
      </c>
      <c r="D90" s="270">
        <v>27</v>
      </c>
      <c r="E90" s="271"/>
      <c r="F90" s="271"/>
      <c r="G90" s="271"/>
      <c r="H90" s="271">
        <v>1</v>
      </c>
      <c r="I90" s="55">
        <f>IF(A90&lt;&gt;0,(B90-(B89-D89))/(A90-A89),"")</f>
        <v>4.4000000000000004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45">
      <c r="A91" s="270">
        <v>93</v>
      </c>
      <c r="B91" s="270">
        <v>173</v>
      </c>
      <c r="C91" s="270">
        <v>4</v>
      </c>
      <c r="D91" s="270">
        <v>28</v>
      </c>
      <c r="E91" s="271"/>
      <c r="F91" s="271">
        <v>0.5</v>
      </c>
      <c r="G91" s="271"/>
      <c r="H91" s="271">
        <v>0.5</v>
      </c>
      <c r="I91" s="55">
        <f>IF(A91&lt;&gt;0,(B91-(B90-D90))/(A91-A90),"")</f>
        <v>4.4000000000000004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45">
      <c r="A92" s="270">
        <v>103</v>
      </c>
      <c r="B92" s="270">
        <v>189</v>
      </c>
      <c r="C92" s="270">
        <v>5</v>
      </c>
      <c r="D92" s="270">
        <v>32</v>
      </c>
      <c r="E92" s="271">
        <v>0.9</v>
      </c>
      <c r="F92" s="271">
        <v>0.1</v>
      </c>
      <c r="G92" s="271"/>
      <c r="H92" s="271"/>
      <c r="I92" s="55">
        <f>IF(A92&lt;&gt;0,(B92-(B91-D91))/(A92-A91),"")</f>
        <v>4.4000000000000004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45">
      <c r="A93" s="270">
        <v>113</v>
      </c>
      <c r="B93" s="270">
        <v>202</v>
      </c>
      <c r="C93" s="270">
        <v>6</v>
      </c>
      <c r="D93" s="270">
        <v>32</v>
      </c>
      <c r="E93" s="271">
        <v>0.9</v>
      </c>
      <c r="F93" s="271">
        <v>0.1</v>
      </c>
      <c r="G93" s="271"/>
      <c r="H93" s="271"/>
      <c r="I93" s="55">
        <f>IF(A93&lt;&gt;0,(B93-(B92-D92))/(A93-A92),"")</f>
        <v>4.5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45">
      <c r="A94" s="270">
        <v>125</v>
      </c>
      <c r="B94" s="270">
        <v>225</v>
      </c>
      <c r="C94" s="270">
        <v>7</v>
      </c>
      <c r="D94" s="270">
        <v>38</v>
      </c>
      <c r="E94" s="271">
        <v>0.9</v>
      </c>
      <c r="F94" s="271">
        <v>0.1</v>
      </c>
      <c r="G94" s="271"/>
      <c r="H94" s="271"/>
      <c r="I94" s="55">
        <f>IF(A94&lt;&gt;0,(B94-(B93-D93))/(A94-A93),"")</f>
        <v>4.583333333333333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45">
      <c r="A95" s="270">
        <v>137</v>
      </c>
      <c r="B95" s="270">
        <v>243</v>
      </c>
      <c r="C95" s="270">
        <v>8</v>
      </c>
      <c r="D95" s="270">
        <v>40</v>
      </c>
      <c r="E95" s="271">
        <v>0.9</v>
      </c>
      <c r="F95" s="271">
        <v>0.1</v>
      </c>
      <c r="G95" s="271"/>
      <c r="H95" s="271"/>
      <c r="I95" s="55">
        <f>IF(A95&lt;&gt;0,(B95-(B94-D94))/(A95-A94),"")</f>
        <v>4.666666666666667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45">
      <c r="A96" s="270">
        <v>149</v>
      </c>
      <c r="B96" s="270">
        <v>260</v>
      </c>
      <c r="C96" s="270">
        <v>9</v>
      </c>
      <c r="D96" s="270">
        <v>40</v>
      </c>
      <c r="E96" s="271">
        <v>0.9</v>
      </c>
      <c r="F96" s="271">
        <v>0.1</v>
      </c>
      <c r="G96" s="271"/>
      <c r="H96" s="271"/>
      <c r="I96" s="55">
        <f>IF(A96&lt;&gt;0,(B96-(B95-D95))/(A96-A95),"")</f>
        <v>4.75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45">
      <c r="A97" s="62">
        <v>164</v>
      </c>
      <c r="B97" s="62">
        <v>295</v>
      </c>
      <c r="C97" s="62">
        <v>10</v>
      </c>
      <c r="D97" s="62">
        <v>52</v>
      </c>
      <c r="E97" s="93">
        <v>0.9</v>
      </c>
      <c r="F97" s="93">
        <v>0.1</v>
      </c>
      <c r="G97" s="93"/>
      <c r="H97" s="93"/>
      <c r="I97" s="55">
        <f>IF(A97&lt;&gt;0,(B97-(B96-D96))/(A97-A96),"")</f>
        <v>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45">
      <c r="A98" s="62">
        <v>179</v>
      </c>
      <c r="B98" s="62">
        <v>321</v>
      </c>
      <c r="C98" s="62">
        <v>11</v>
      </c>
      <c r="D98" s="62">
        <v>56</v>
      </c>
      <c r="E98" s="67">
        <v>0.9</v>
      </c>
      <c r="F98" s="67">
        <v>0.1</v>
      </c>
      <c r="G98" s="67"/>
      <c r="H98" s="67"/>
      <c r="I98" s="55">
        <f>IF(A98&lt;&gt;0,(B98-(B97-D97))/(A98-A97),"")</f>
        <v>5.2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45">
      <c r="A99" s="62">
        <v>190</v>
      </c>
      <c r="B99" s="62">
        <v>323</v>
      </c>
      <c r="C99" s="62">
        <v>12</v>
      </c>
      <c r="D99" s="62">
        <v>323</v>
      </c>
      <c r="E99" s="67">
        <v>0.9</v>
      </c>
      <c r="F99" s="67">
        <v>0.1</v>
      </c>
      <c r="G99" s="67"/>
      <c r="H99" s="67"/>
      <c r="I99" s="55">
        <f>IF(A99&lt;&gt;0,(B99-(B98-D98))/(A99-A98),"")</f>
        <v>5.2727272727272725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45">
      <c r="A100" s="52"/>
      <c r="B100" s="52"/>
      <c r="C100" s="52"/>
      <c r="D100" s="52"/>
      <c r="E100" s="56"/>
      <c r="F100" s="56"/>
      <c r="G100" s="56"/>
      <c r="H100" s="56"/>
      <c r="I100" s="55" t="str">
        <f>IF(A100&lt;&gt;0,(B100-(B99-D99))/(A100-A99),"")</f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45">
      <c r="A101" s="62"/>
      <c r="B101" s="62"/>
      <c r="C101" s="62"/>
      <c r="D101" s="62"/>
      <c r="E101" s="67"/>
      <c r="F101" s="67"/>
      <c r="G101" s="67"/>
      <c r="H101" s="67"/>
      <c r="I101" s="55" t="str">
        <f>IF(A101&lt;&gt;0,(B101-(B100-D100))/(A101-A100),"")</f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45">
      <c r="A102" s="52"/>
      <c r="B102" s="52"/>
      <c r="C102" s="52"/>
      <c r="D102" s="52"/>
      <c r="E102" s="56"/>
      <c r="F102" s="56"/>
      <c r="G102" s="56"/>
      <c r="H102" s="56"/>
      <c r="I102" s="55" t="str">
        <f>IF(A102&lt;&gt;0,(B102-(B101-D101))/(A102-A101),"")</f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45">
      <c r="A103" s="52"/>
      <c r="B103" s="52"/>
      <c r="C103" s="52"/>
      <c r="D103" s="52"/>
      <c r="E103" s="56"/>
      <c r="F103" s="56"/>
      <c r="G103" s="56"/>
      <c r="H103" s="56"/>
      <c r="I103" s="55" t="str">
        <f t="shared" ref="I103:I107" si="3">IF(A103&lt;&gt;0,(B103-(B102-D102))/(A103-A102),"")</f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45">
      <c r="A104" s="52"/>
      <c r="B104" s="52"/>
      <c r="C104" s="52"/>
      <c r="D104" s="52"/>
      <c r="E104" s="56"/>
      <c r="F104" s="56"/>
      <c r="G104" s="56"/>
      <c r="H104" s="56"/>
      <c r="I104" s="55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45">
      <c r="A105" s="52"/>
      <c r="B105" s="52"/>
      <c r="C105" s="52"/>
      <c r="D105" s="52"/>
      <c r="E105" s="56"/>
      <c r="F105" s="56"/>
      <c r="G105" s="56"/>
      <c r="H105" s="56"/>
      <c r="I105" s="55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45">
      <c r="A106" s="52"/>
      <c r="B106" s="52"/>
      <c r="C106" s="52"/>
      <c r="D106" s="52"/>
      <c r="E106" s="56"/>
      <c r="F106" s="56"/>
      <c r="G106" s="56"/>
      <c r="H106" s="56"/>
      <c r="I106" s="55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45">
      <c r="A107" s="52"/>
      <c r="B107" s="52"/>
      <c r="C107" s="52"/>
      <c r="D107" s="52"/>
      <c r="E107" s="56"/>
      <c r="F107" s="56"/>
      <c r="G107" s="56"/>
      <c r="H107" s="56"/>
      <c r="I107" s="55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4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4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45">
      <c r="A110" s="48" t="s">
        <v>168</v>
      </c>
      <c r="B110" s="54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45">
      <c r="A111" s="48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45">
      <c r="A112" s="5"/>
      <c r="B112" s="90" t="s">
        <v>185</v>
      </c>
      <c r="C112" s="274" t="s">
        <v>186</v>
      </c>
      <c r="D112" s="274"/>
      <c r="E112" s="275" t="s">
        <v>187</v>
      </c>
      <c r="F112" s="276"/>
      <c r="G112" s="276"/>
      <c r="H112" s="27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28.5" x14ac:dyDescent="0.45">
      <c r="A113" s="38" t="s">
        <v>180</v>
      </c>
      <c r="B113" s="38" t="s">
        <v>189</v>
      </c>
      <c r="C113" s="50" t="s">
        <v>188</v>
      </c>
      <c r="D113" s="50" t="s">
        <v>251</v>
      </c>
      <c r="E113" s="38" t="s">
        <v>183</v>
      </c>
      <c r="F113" s="38" t="s">
        <v>181</v>
      </c>
      <c r="G113" s="38" t="s">
        <v>184</v>
      </c>
      <c r="H113" s="38" t="s">
        <v>182</v>
      </c>
      <c r="I113" s="50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45">
      <c r="A114" s="270"/>
      <c r="B114" s="270"/>
      <c r="C114" s="270"/>
      <c r="D114" s="270"/>
      <c r="E114" s="271"/>
      <c r="F114" s="271"/>
      <c r="G114" s="271"/>
      <c r="H114" s="271"/>
      <c r="I114" s="55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45">
      <c r="A115" s="270"/>
      <c r="B115" s="270"/>
      <c r="C115" s="270"/>
      <c r="D115" s="270"/>
      <c r="E115" s="271"/>
      <c r="F115" s="271"/>
      <c r="G115" s="271"/>
      <c r="H115" s="271"/>
      <c r="I115" s="55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45">
      <c r="A116" s="270"/>
      <c r="B116" s="270"/>
      <c r="C116" s="270"/>
      <c r="D116" s="270"/>
      <c r="E116" s="271"/>
      <c r="F116" s="271"/>
      <c r="G116" s="271"/>
      <c r="H116" s="271"/>
      <c r="I116" s="55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45">
      <c r="A117" s="270"/>
      <c r="B117" s="270"/>
      <c r="C117" s="270"/>
      <c r="D117" s="270"/>
      <c r="E117" s="271"/>
      <c r="F117" s="271"/>
      <c r="G117" s="271"/>
      <c r="H117" s="271"/>
      <c r="I117" s="55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45">
      <c r="A118" s="270"/>
      <c r="B118" s="270"/>
      <c r="C118" s="270"/>
      <c r="D118" s="270"/>
      <c r="E118" s="271"/>
      <c r="F118" s="271"/>
      <c r="G118" s="271"/>
      <c r="H118" s="271"/>
      <c r="I118" s="55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45">
      <c r="A119" s="270"/>
      <c r="B119" s="270"/>
      <c r="C119" s="270"/>
      <c r="D119" s="270"/>
      <c r="E119" s="271"/>
      <c r="F119" s="271"/>
      <c r="G119" s="271"/>
      <c r="H119" s="271"/>
      <c r="I119" s="55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45">
      <c r="A120" s="270"/>
      <c r="B120" s="270"/>
      <c r="C120" s="270"/>
      <c r="D120" s="270"/>
      <c r="E120" s="271"/>
      <c r="F120" s="271"/>
      <c r="G120" s="271"/>
      <c r="H120" s="271"/>
      <c r="I120" s="55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45">
      <c r="A121" s="270"/>
      <c r="B121" s="270"/>
      <c r="C121" s="270"/>
      <c r="D121" s="270"/>
      <c r="E121" s="271"/>
      <c r="F121" s="271"/>
      <c r="G121" s="271"/>
      <c r="H121" s="271"/>
      <c r="I121" s="55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45">
      <c r="A122" s="270"/>
      <c r="B122" s="270"/>
      <c r="C122" s="270"/>
      <c r="D122" s="270"/>
      <c r="E122" s="271"/>
      <c r="F122" s="271"/>
      <c r="G122" s="271"/>
      <c r="H122" s="271"/>
      <c r="I122" s="55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45">
      <c r="A123" s="62"/>
      <c r="B123" s="62"/>
      <c r="C123" s="62"/>
      <c r="D123" s="62"/>
      <c r="E123" s="93"/>
      <c r="F123" s="93"/>
      <c r="G123" s="93"/>
      <c r="H123" s="93"/>
      <c r="I123" s="55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45">
      <c r="A124" s="62"/>
      <c r="B124" s="62"/>
      <c r="C124" s="62"/>
      <c r="D124" s="62"/>
      <c r="E124" s="93"/>
      <c r="F124" s="93"/>
      <c r="G124" s="93"/>
      <c r="H124" s="93"/>
      <c r="I124" s="55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45">
      <c r="A125" s="62"/>
      <c r="B125" s="62"/>
      <c r="C125" s="62"/>
      <c r="D125" s="62"/>
      <c r="E125" s="93"/>
      <c r="F125" s="93"/>
      <c r="G125" s="93"/>
      <c r="H125" s="93"/>
      <c r="I125" s="55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45">
      <c r="A126" s="62"/>
      <c r="B126" s="62"/>
      <c r="C126" s="62"/>
      <c r="D126" s="62"/>
      <c r="E126" s="67"/>
      <c r="F126" s="67"/>
      <c r="G126" s="67"/>
      <c r="H126" s="67"/>
      <c r="I126" s="55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45">
      <c r="A127" s="62"/>
      <c r="B127" s="62"/>
      <c r="C127" s="62"/>
      <c r="D127" s="62"/>
      <c r="E127" s="67"/>
      <c r="F127" s="67"/>
      <c r="G127" s="67"/>
      <c r="H127" s="67"/>
      <c r="I127" s="55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45">
      <c r="A128" s="52"/>
      <c r="B128" s="52"/>
      <c r="C128" s="52"/>
      <c r="D128" s="52"/>
      <c r="E128" s="56"/>
      <c r="F128" s="56"/>
      <c r="G128" s="56"/>
      <c r="H128" s="56"/>
      <c r="I128" s="55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45">
      <c r="A129" s="52"/>
      <c r="B129" s="52"/>
      <c r="C129" s="52"/>
      <c r="D129" s="52"/>
      <c r="E129" s="56"/>
      <c r="F129" s="56"/>
      <c r="G129" s="56"/>
      <c r="H129" s="56"/>
      <c r="I129" s="55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45">
      <c r="A130" s="52"/>
      <c r="B130" s="52"/>
      <c r="C130" s="52"/>
      <c r="D130" s="52"/>
      <c r="E130" s="56"/>
      <c r="F130" s="56"/>
      <c r="G130" s="56"/>
      <c r="H130" s="56"/>
      <c r="I130" s="55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45">
      <c r="A131" s="52"/>
      <c r="B131" s="52"/>
      <c r="C131" s="52"/>
      <c r="D131" s="52"/>
      <c r="E131" s="56"/>
      <c r="F131" s="56"/>
      <c r="G131" s="56"/>
      <c r="H131" s="56"/>
      <c r="I131" s="55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45">
      <c r="A132" s="52"/>
      <c r="B132" s="52"/>
      <c r="C132" s="52"/>
      <c r="D132" s="52"/>
      <c r="E132" s="56"/>
      <c r="F132" s="56"/>
      <c r="G132" s="56"/>
      <c r="H132" s="56"/>
      <c r="I132" s="55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45">
      <c r="A133" s="52"/>
      <c r="B133" s="52"/>
      <c r="C133" s="52"/>
      <c r="D133" s="52"/>
      <c r="E133" s="56"/>
      <c r="F133" s="56"/>
      <c r="G133" s="56"/>
      <c r="H133" s="56"/>
      <c r="I133" s="55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4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4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45">
      <c r="A136" s="48" t="s">
        <v>169</v>
      </c>
      <c r="B136" s="54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45">
      <c r="A137" s="48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45">
      <c r="A138" s="5"/>
      <c r="B138" s="90" t="s">
        <v>185</v>
      </c>
      <c r="C138" s="274" t="s">
        <v>186</v>
      </c>
      <c r="D138" s="274"/>
      <c r="E138" s="275" t="s">
        <v>187</v>
      </c>
      <c r="F138" s="276"/>
      <c r="G138" s="276"/>
      <c r="H138" s="27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28.5" x14ac:dyDescent="0.45">
      <c r="A139" s="38" t="s">
        <v>180</v>
      </c>
      <c r="B139" s="38" t="s">
        <v>189</v>
      </c>
      <c r="C139" s="50" t="s">
        <v>188</v>
      </c>
      <c r="D139" s="50" t="s">
        <v>251</v>
      </c>
      <c r="E139" s="38" t="s">
        <v>183</v>
      </c>
      <c r="F139" s="38" t="s">
        <v>181</v>
      </c>
      <c r="G139" s="38" t="s">
        <v>184</v>
      </c>
      <c r="H139" s="38" t="s">
        <v>182</v>
      </c>
      <c r="I139" s="50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45">
      <c r="A140" s="52"/>
      <c r="B140" s="62"/>
      <c r="C140" s="52"/>
      <c r="D140" s="62"/>
      <c r="E140" s="53"/>
      <c r="F140" s="53"/>
      <c r="G140" s="53"/>
      <c r="H140" s="53"/>
      <c r="I140" s="59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45">
      <c r="A141" s="52"/>
      <c r="B141" s="62"/>
      <c r="C141" s="52"/>
      <c r="D141" s="62"/>
      <c r="E141" s="53"/>
      <c r="F141" s="53"/>
      <c r="G141" s="53"/>
      <c r="H141" s="53"/>
      <c r="I141" s="59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45">
      <c r="A142" s="52"/>
      <c r="B142" s="62"/>
      <c r="C142" s="52"/>
      <c r="D142" s="62"/>
      <c r="E142" s="53"/>
      <c r="F142" s="53"/>
      <c r="G142" s="53"/>
      <c r="H142" s="53"/>
      <c r="I142" s="59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45">
      <c r="A143" s="52"/>
      <c r="B143" s="62"/>
      <c r="C143" s="52"/>
      <c r="D143" s="62"/>
      <c r="E143" s="53"/>
      <c r="F143" s="53"/>
      <c r="G143" s="53"/>
      <c r="H143" s="53"/>
      <c r="I143" s="59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45">
      <c r="A144" s="52"/>
      <c r="B144" s="62"/>
      <c r="C144" s="52"/>
      <c r="D144" s="62"/>
      <c r="E144" s="53"/>
      <c r="F144" s="53"/>
      <c r="G144" s="53"/>
      <c r="H144" s="53"/>
      <c r="I144" s="59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45">
      <c r="A145" s="52"/>
      <c r="B145" s="62"/>
      <c r="C145" s="52"/>
      <c r="D145" s="62"/>
      <c r="E145" s="53"/>
      <c r="F145" s="53"/>
      <c r="G145" s="53"/>
      <c r="H145" s="53"/>
      <c r="I145" s="59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45">
      <c r="A146" s="52"/>
      <c r="B146" s="62"/>
      <c r="C146" s="52"/>
      <c r="D146" s="62"/>
      <c r="E146" s="53"/>
      <c r="F146" s="53"/>
      <c r="G146" s="53"/>
      <c r="H146" s="53"/>
      <c r="I146" s="59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45">
      <c r="A147" s="52"/>
      <c r="B147" s="62"/>
      <c r="C147" s="52"/>
      <c r="D147" s="62"/>
      <c r="E147" s="53"/>
      <c r="F147" s="53"/>
      <c r="G147" s="53"/>
      <c r="H147" s="53"/>
      <c r="I147" s="59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45">
      <c r="A148" s="52"/>
      <c r="B148" s="62"/>
      <c r="C148" s="52"/>
      <c r="D148" s="62"/>
      <c r="E148" s="53"/>
      <c r="F148" s="53"/>
      <c r="G148" s="53"/>
      <c r="H148" s="53"/>
      <c r="I148" s="59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45">
      <c r="A149" s="52"/>
      <c r="B149" s="62"/>
      <c r="C149" s="52"/>
      <c r="D149" s="62"/>
      <c r="E149" s="53"/>
      <c r="F149" s="53"/>
      <c r="G149" s="53"/>
      <c r="H149" s="53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45">
      <c r="A150" s="52"/>
      <c r="B150" s="62"/>
      <c r="C150" s="52"/>
      <c r="D150" s="62"/>
      <c r="E150" s="53"/>
      <c r="F150" s="53"/>
      <c r="G150" s="53"/>
      <c r="H150" s="53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45">
      <c r="A151" s="52"/>
      <c r="B151" s="62"/>
      <c r="C151" s="52"/>
      <c r="D151" s="62"/>
      <c r="E151" s="53"/>
      <c r="F151" s="53"/>
      <c r="G151" s="53"/>
      <c r="H151" s="53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45">
      <c r="A152" s="52"/>
      <c r="B152" s="62"/>
      <c r="C152" s="52"/>
      <c r="D152" s="62"/>
      <c r="E152" s="56"/>
      <c r="F152" s="56"/>
      <c r="G152" s="56"/>
      <c r="H152" s="56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45">
      <c r="A153" s="52"/>
      <c r="B153" s="62"/>
      <c r="C153" s="52"/>
      <c r="D153" s="62"/>
      <c r="E153" s="56"/>
      <c r="F153" s="56"/>
      <c r="G153" s="56"/>
      <c r="H153" s="56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45">
      <c r="A154" s="57"/>
      <c r="B154" s="58"/>
      <c r="C154" s="52"/>
      <c r="D154" s="52"/>
      <c r="E154" s="56"/>
      <c r="F154" s="56"/>
      <c r="G154" s="56"/>
      <c r="H154" s="56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45">
      <c r="A155" s="57"/>
      <c r="B155" s="58"/>
      <c r="C155" s="52"/>
      <c r="D155" s="52"/>
      <c r="E155" s="56"/>
      <c r="F155" s="56"/>
      <c r="G155" s="56"/>
      <c r="H155" s="56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45">
      <c r="A156" s="57"/>
      <c r="B156" s="58"/>
      <c r="C156" s="52"/>
      <c r="D156" s="52"/>
      <c r="E156" s="56"/>
      <c r="F156" s="56"/>
      <c r="G156" s="56"/>
      <c r="H156" s="56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45">
      <c r="A157" s="57"/>
      <c r="B157" s="58"/>
      <c r="C157" s="52"/>
      <c r="D157" s="52"/>
      <c r="E157" s="56"/>
      <c r="F157" s="56"/>
      <c r="G157" s="56"/>
      <c r="H157" s="56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45">
      <c r="A158" s="57"/>
      <c r="B158" s="58"/>
      <c r="C158" s="52"/>
      <c r="D158" s="52"/>
      <c r="E158" s="56"/>
      <c r="F158" s="56"/>
      <c r="G158" s="56"/>
      <c r="H158" s="56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45">
      <c r="A159" s="57"/>
      <c r="B159" s="58"/>
      <c r="C159" s="52"/>
      <c r="D159" s="60"/>
      <c r="E159" s="56"/>
      <c r="F159" s="56"/>
      <c r="G159" s="56"/>
      <c r="H159" s="56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4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4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45">
      <c r="A162" s="48" t="s">
        <v>170</v>
      </c>
      <c r="B162" s="54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45">
      <c r="A163" s="48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45">
      <c r="A164" s="5"/>
      <c r="B164" s="90" t="s">
        <v>185</v>
      </c>
      <c r="C164" s="274" t="s">
        <v>186</v>
      </c>
      <c r="D164" s="274"/>
      <c r="E164" s="275" t="s">
        <v>187</v>
      </c>
      <c r="F164" s="276"/>
      <c r="G164" s="276"/>
      <c r="H164" s="27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28.5" x14ac:dyDescent="0.45">
      <c r="A165" s="38" t="s">
        <v>180</v>
      </c>
      <c r="B165" s="38" t="s">
        <v>189</v>
      </c>
      <c r="C165" s="50" t="s">
        <v>188</v>
      </c>
      <c r="D165" s="50" t="s">
        <v>251</v>
      </c>
      <c r="E165" s="38" t="s">
        <v>183</v>
      </c>
      <c r="F165" s="38" t="s">
        <v>181</v>
      </c>
      <c r="G165" s="38" t="s">
        <v>184</v>
      </c>
      <c r="H165" s="38" t="s">
        <v>182</v>
      </c>
      <c r="I165" s="50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45">
      <c r="A166" s="52"/>
      <c r="B166" s="52"/>
      <c r="C166" s="52"/>
      <c r="D166" s="52"/>
      <c r="E166" s="53"/>
      <c r="F166" s="53"/>
      <c r="G166" s="53"/>
      <c r="H166" s="53"/>
      <c r="I166" s="51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45">
      <c r="A167" s="52"/>
      <c r="B167" s="52"/>
      <c r="C167" s="52"/>
      <c r="D167" s="52"/>
      <c r="E167" s="53"/>
      <c r="F167" s="53"/>
      <c r="G167" s="53"/>
      <c r="H167" s="53"/>
      <c r="I167" s="51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45">
      <c r="A168" s="52"/>
      <c r="B168" s="52"/>
      <c r="C168" s="52"/>
      <c r="D168" s="52"/>
      <c r="E168" s="53"/>
      <c r="F168" s="53"/>
      <c r="G168" s="53"/>
      <c r="H168" s="53"/>
      <c r="I168" s="51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45">
      <c r="A169" s="52"/>
      <c r="B169" s="52"/>
      <c r="C169" s="52"/>
      <c r="D169" s="52"/>
      <c r="E169" s="53"/>
      <c r="F169" s="53"/>
      <c r="G169" s="53"/>
      <c r="H169" s="53"/>
      <c r="I169" s="51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45">
      <c r="A170" s="52"/>
      <c r="B170" s="52"/>
      <c r="C170" s="52"/>
      <c r="D170" s="52"/>
      <c r="E170" s="53"/>
      <c r="F170" s="53"/>
      <c r="G170" s="53"/>
      <c r="H170" s="53"/>
      <c r="I170" s="51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45">
      <c r="A171" s="52"/>
      <c r="B171" s="52"/>
      <c r="C171" s="52"/>
      <c r="D171" s="52"/>
      <c r="E171" s="53"/>
      <c r="F171" s="53"/>
      <c r="G171" s="53"/>
      <c r="H171" s="53"/>
      <c r="I171" s="51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45">
      <c r="A172" s="52"/>
      <c r="B172" s="52"/>
      <c r="C172" s="52"/>
      <c r="D172" s="52"/>
      <c r="E172" s="53"/>
      <c r="F172" s="53"/>
      <c r="G172" s="53"/>
      <c r="H172" s="53"/>
      <c r="I172" s="51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45">
      <c r="A173" s="52"/>
      <c r="B173" s="52"/>
      <c r="C173" s="52"/>
      <c r="D173" s="52"/>
      <c r="E173" s="53"/>
      <c r="F173" s="53"/>
      <c r="G173" s="53"/>
      <c r="H173" s="53"/>
      <c r="I173" s="51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45">
      <c r="A174" s="52"/>
      <c r="B174" s="52"/>
      <c r="C174" s="52"/>
      <c r="D174" s="52"/>
      <c r="E174" s="53"/>
      <c r="F174" s="53"/>
      <c r="G174" s="53"/>
      <c r="H174" s="53"/>
      <c r="I174" s="51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45">
      <c r="A175" s="52"/>
      <c r="B175" s="52"/>
      <c r="C175" s="52"/>
      <c r="D175" s="52"/>
      <c r="E175" s="53"/>
      <c r="F175" s="53"/>
      <c r="G175" s="53"/>
      <c r="H175" s="53"/>
      <c r="I175" s="51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45">
      <c r="A176" s="52"/>
      <c r="B176" s="52"/>
      <c r="C176" s="52"/>
      <c r="D176" s="52"/>
      <c r="E176" s="53"/>
      <c r="F176" s="53"/>
      <c r="G176" s="53"/>
      <c r="H176" s="53"/>
      <c r="I176" s="51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45">
      <c r="A177" s="52"/>
      <c r="B177" s="52"/>
      <c r="C177" s="52"/>
      <c r="D177" s="52"/>
      <c r="E177" s="53"/>
      <c r="F177" s="53"/>
      <c r="G177" s="53"/>
      <c r="H177" s="53"/>
      <c r="I177" s="51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45">
      <c r="A178" s="52"/>
      <c r="B178" s="52"/>
      <c r="C178" s="52"/>
      <c r="D178" s="52"/>
      <c r="E178" s="53"/>
      <c r="F178" s="53"/>
      <c r="G178" s="53"/>
      <c r="H178" s="53"/>
      <c r="I178" s="51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45">
      <c r="A179" s="52"/>
      <c r="B179" s="52"/>
      <c r="C179" s="52"/>
      <c r="D179" s="52"/>
      <c r="E179" s="53"/>
      <c r="F179" s="53"/>
      <c r="G179" s="53"/>
      <c r="H179" s="53"/>
      <c r="I179" s="51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45">
      <c r="A180" s="52"/>
      <c r="B180" s="52"/>
      <c r="C180" s="52"/>
      <c r="D180" s="52"/>
      <c r="E180" s="53"/>
      <c r="F180" s="53"/>
      <c r="G180" s="53"/>
      <c r="H180" s="53"/>
      <c r="I180" s="51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45">
      <c r="A181" s="52"/>
      <c r="B181" s="52"/>
      <c r="C181" s="52"/>
      <c r="D181" s="52"/>
      <c r="E181" s="53"/>
      <c r="F181" s="53"/>
      <c r="G181" s="53"/>
      <c r="H181" s="53"/>
      <c r="I181" s="51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45">
      <c r="A182" s="52"/>
      <c r="B182" s="52"/>
      <c r="C182" s="52"/>
      <c r="D182" s="52"/>
      <c r="E182" s="53"/>
      <c r="F182" s="53"/>
      <c r="G182" s="53"/>
      <c r="H182" s="53"/>
      <c r="I182" s="51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45">
      <c r="A183" s="52"/>
      <c r="B183" s="52"/>
      <c r="C183" s="52"/>
      <c r="D183" s="52"/>
      <c r="E183" s="53"/>
      <c r="F183" s="53"/>
      <c r="G183" s="53"/>
      <c r="H183" s="53"/>
      <c r="I183" s="51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45">
      <c r="A184" s="52"/>
      <c r="B184" s="52"/>
      <c r="C184" s="52"/>
      <c r="D184" s="52"/>
      <c r="E184" s="53"/>
      <c r="F184" s="53"/>
      <c r="G184" s="53"/>
      <c r="H184" s="53"/>
      <c r="I184" s="51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45">
      <c r="A185" s="52"/>
      <c r="B185" s="52"/>
      <c r="C185" s="52"/>
      <c r="D185" s="52"/>
      <c r="E185" s="53"/>
      <c r="F185" s="53"/>
      <c r="G185" s="53"/>
      <c r="H185" s="53"/>
      <c r="I185" s="51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4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4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45">
      <c r="A188" s="48" t="s">
        <v>171</v>
      </c>
      <c r="B188" s="54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45">
      <c r="A189" s="48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45">
      <c r="A190" s="5"/>
      <c r="B190" s="90" t="s">
        <v>185</v>
      </c>
      <c r="C190" s="274" t="s">
        <v>186</v>
      </c>
      <c r="D190" s="274"/>
      <c r="E190" s="275" t="s">
        <v>187</v>
      </c>
      <c r="F190" s="276"/>
      <c r="G190" s="276"/>
      <c r="H190" s="27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28.5" x14ac:dyDescent="0.45">
      <c r="A191" s="38" t="s">
        <v>180</v>
      </c>
      <c r="B191" s="38" t="s">
        <v>189</v>
      </c>
      <c r="C191" s="50" t="s">
        <v>188</v>
      </c>
      <c r="D191" s="50" t="s">
        <v>251</v>
      </c>
      <c r="E191" s="38" t="s">
        <v>183</v>
      </c>
      <c r="F191" s="38" t="s">
        <v>181</v>
      </c>
      <c r="G191" s="38" t="s">
        <v>184</v>
      </c>
      <c r="H191" s="38" t="s">
        <v>182</v>
      </c>
      <c r="I191" s="50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45">
      <c r="A192" s="52"/>
      <c r="B192" s="52"/>
      <c r="C192" s="52"/>
      <c r="D192" s="52"/>
      <c r="E192" s="53"/>
      <c r="F192" s="53"/>
      <c r="G192" s="53"/>
      <c r="H192" s="53"/>
      <c r="I192" s="51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45">
      <c r="A193" s="52"/>
      <c r="B193" s="52"/>
      <c r="C193" s="52"/>
      <c r="D193" s="52"/>
      <c r="E193" s="53"/>
      <c r="F193" s="53"/>
      <c r="G193" s="53"/>
      <c r="H193" s="53"/>
      <c r="I193" s="51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45">
      <c r="A194" s="52"/>
      <c r="B194" s="52"/>
      <c r="C194" s="52"/>
      <c r="D194" s="52"/>
      <c r="E194" s="53"/>
      <c r="F194" s="53"/>
      <c r="G194" s="53"/>
      <c r="H194" s="53"/>
      <c r="I194" s="51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45">
      <c r="A195" s="52"/>
      <c r="B195" s="52"/>
      <c r="C195" s="52"/>
      <c r="D195" s="52"/>
      <c r="E195" s="53"/>
      <c r="F195" s="53"/>
      <c r="G195" s="53"/>
      <c r="H195" s="53"/>
      <c r="I195" s="51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45">
      <c r="A196" s="52"/>
      <c r="B196" s="52"/>
      <c r="C196" s="52"/>
      <c r="D196" s="52"/>
      <c r="E196" s="53"/>
      <c r="F196" s="53"/>
      <c r="G196" s="53"/>
      <c r="H196" s="53"/>
      <c r="I196" s="51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45">
      <c r="A197" s="52"/>
      <c r="B197" s="52"/>
      <c r="C197" s="52"/>
      <c r="D197" s="52"/>
      <c r="E197" s="53"/>
      <c r="F197" s="53"/>
      <c r="G197" s="53"/>
      <c r="H197" s="53"/>
      <c r="I197" s="51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45">
      <c r="A198" s="52"/>
      <c r="B198" s="52"/>
      <c r="C198" s="52"/>
      <c r="D198" s="52"/>
      <c r="E198" s="53"/>
      <c r="F198" s="53"/>
      <c r="G198" s="53"/>
      <c r="H198" s="53"/>
      <c r="I198" s="51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45">
      <c r="A199" s="52"/>
      <c r="B199" s="52"/>
      <c r="C199" s="52"/>
      <c r="D199" s="52"/>
      <c r="E199" s="53"/>
      <c r="F199" s="53"/>
      <c r="G199" s="53"/>
      <c r="H199" s="53"/>
      <c r="I199" s="51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45">
      <c r="A200" s="52"/>
      <c r="B200" s="52"/>
      <c r="C200" s="52"/>
      <c r="D200" s="52"/>
      <c r="E200" s="53"/>
      <c r="F200" s="53"/>
      <c r="G200" s="53"/>
      <c r="H200" s="53"/>
      <c r="I200" s="51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45">
      <c r="A201" s="52"/>
      <c r="B201" s="52"/>
      <c r="C201" s="52"/>
      <c r="D201" s="52"/>
      <c r="E201" s="53"/>
      <c r="F201" s="53"/>
      <c r="G201" s="53"/>
      <c r="H201" s="53"/>
      <c r="I201" s="51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45">
      <c r="A202" s="52"/>
      <c r="B202" s="52"/>
      <c r="C202" s="52"/>
      <c r="D202" s="52"/>
      <c r="E202" s="53"/>
      <c r="F202" s="53"/>
      <c r="G202" s="53"/>
      <c r="H202" s="53"/>
      <c r="I202" s="51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45">
      <c r="A203" s="52"/>
      <c r="B203" s="52"/>
      <c r="C203" s="52"/>
      <c r="D203" s="52"/>
      <c r="E203" s="53"/>
      <c r="F203" s="53"/>
      <c r="G203" s="53"/>
      <c r="H203" s="53"/>
      <c r="I203" s="51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45">
      <c r="A204" s="52"/>
      <c r="B204" s="52"/>
      <c r="C204" s="52"/>
      <c r="D204" s="52"/>
      <c r="E204" s="53"/>
      <c r="F204" s="53"/>
      <c r="G204" s="53"/>
      <c r="H204" s="53"/>
      <c r="I204" s="51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45">
      <c r="A205" s="52"/>
      <c r="B205" s="52"/>
      <c r="C205" s="52"/>
      <c r="D205" s="52"/>
      <c r="E205" s="53"/>
      <c r="F205" s="53"/>
      <c r="G205" s="53"/>
      <c r="H205" s="53"/>
      <c r="I205" s="51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45">
      <c r="A206" s="52"/>
      <c r="B206" s="52"/>
      <c r="C206" s="52"/>
      <c r="D206" s="52"/>
      <c r="E206" s="53"/>
      <c r="F206" s="53"/>
      <c r="G206" s="53"/>
      <c r="H206" s="53"/>
      <c r="I206" s="51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45">
      <c r="A207" s="52"/>
      <c r="B207" s="52"/>
      <c r="C207" s="52"/>
      <c r="D207" s="52"/>
      <c r="E207" s="53"/>
      <c r="F207" s="53"/>
      <c r="G207" s="53"/>
      <c r="H207" s="53"/>
      <c r="I207" s="51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45">
      <c r="A208" s="52"/>
      <c r="B208" s="52"/>
      <c r="C208" s="52"/>
      <c r="D208" s="52"/>
      <c r="E208" s="53"/>
      <c r="F208" s="53"/>
      <c r="G208" s="53"/>
      <c r="H208" s="53"/>
      <c r="I208" s="51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45">
      <c r="A209" s="52"/>
      <c r="B209" s="52"/>
      <c r="C209" s="52"/>
      <c r="D209" s="52"/>
      <c r="E209" s="53"/>
      <c r="F209" s="53"/>
      <c r="G209" s="53"/>
      <c r="H209" s="53"/>
      <c r="I209" s="51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45">
      <c r="A210" s="52"/>
      <c r="B210" s="52"/>
      <c r="C210" s="52"/>
      <c r="D210" s="52"/>
      <c r="E210" s="53"/>
      <c r="F210" s="53"/>
      <c r="G210" s="53"/>
      <c r="H210" s="53"/>
      <c r="I210" s="51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45">
      <c r="A211" s="52"/>
      <c r="B211" s="52"/>
      <c r="C211" s="52"/>
      <c r="D211" s="52"/>
      <c r="E211" s="53"/>
      <c r="F211" s="53"/>
      <c r="G211" s="53"/>
      <c r="H211" s="53"/>
      <c r="I211" s="51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4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4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45">
      <c r="A214" s="48" t="s">
        <v>172</v>
      </c>
      <c r="B214" s="54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45">
      <c r="A215" s="48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45">
      <c r="A216" s="5"/>
      <c r="B216" s="90" t="s">
        <v>185</v>
      </c>
      <c r="C216" s="274" t="s">
        <v>186</v>
      </c>
      <c r="D216" s="274"/>
      <c r="E216" s="275" t="s">
        <v>187</v>
      </c>
      <c r="F216" s="276"/>
      <c r="G216" s="276"/>
      <c r="H216" s="27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28.5" x14ac:dyDescent="0.45">
      <c r="A217" s="38" t="s">
        <v>180</v>
      </c>
      <c r="B217" s="38" t="s">
        <v>189</v>
      </c>
      <c r="C217" s="50" t="s">
        <v>188</v>
      </c>
      <c r="D217" s="50" t="s">
        <v>251</v>
      </c>
      <c r="E217" s="38" t="s">
        <v>183</v>
      </c>
      <c r="F217" s="38" t="s">
        <v>181</v>
      </c>
      <c r="G217" s="38" t="s">
        <v>184</v>
      </c>
      <c r="H217" s="38" t="s">
        <v>182</v>
      </c>
      <c r="I217" s="50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45">
      <c r="A218" s="57"/>
      <c r="B218" s="57"/>
      <c r="C218" s="57"/>
      <c r="D218" s="57"/>
      <c r="E218" s="65"/>
      <c r="F218" s="65"/>
      <c r="G218" s="65"/>
      <c r="H218" s="65"/>
      <c r="I218" s="55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45">
      <c r="A219" s="57"/>
      <c r="B219" s="57"/>
      <c r="C219" s="57"/>
      <c r="D219" s="57"/>
      <c r="E219" s="65"/>
      <c r="F219" s="65"/>
      <c r="G219" s="65"/>
      <c r="H219" s="65"/>
      <c r="I219" s="55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45">
      <c r="A220" s="57"/>
      <c r="B220" s="57"/>
      <c r="C220" s="57"/>
      <c r="D220" s="57"/>
      <c r="E220" s="65"/>
      <c r="F220" s="65"/>
      <c r="G220" s="65"/>
      <c r="H220" s="65"/>
      <c r="I220" s="55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45">
      <c r="A221" s="57"/>
      <c r="B221" s="57"/>
      <c r="C221" s="57"/>
      <c r="D221" s="57"/>
      <c r="E221" s="65"/>
      <c r="F221" s="65"/>
      <c r="G221" s="65"/>
      <c r="H221" s="65"/>
      <c r="I221" s="55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45">
      <c r="A222" s="57"/>
      <c r="B222" s="57"/>
      <c r="C222" s="57"/>
      <c r="D222" s="57"/>
      <c r="E222" s="65"/>
      <c r="F222" s="65"/>
      <c r="G222" s="65"/>
      <c r="H222" s="65"/>
      <c r="I222" s="55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45">
      <c r="A223" s="57"/>
      <c r="B223" s="57"/>
      <c r="C223" s="57"/>
      <c r="D223" s="57"/>
      <c r="E223" s="65"/>
      <c r="F223" s="65"/>
      <c r="G223" s="65"/>
      <c r="H223" s="65"/>
      <c r="I223" s="55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45">
      <c r="A224" s="57"/>
      <c r="B224" s="57"/>
      <c r="C224" s="57"/>
      <c r="D224" s="57"/>
      <c r="E224" s="65"/>
      <c r="F224" s="65"/>
      <c r="G224" s="65"/>
      <c r="H224" s="65"/>
      <c r="I224" s="55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45">
      <c r="A225" s="57"/>
      <c r="B225" s="57"/>
      <c r="C225" s="57"/>
      <c r="D225" s="57"/>
      <c r="E225" s="65"/>
      <c r="F225" s="65"/>
      <c r="G225" s="65"/>
      <c r="H225" s="65"/>
      <c r="I225" s="55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45">
      <c r="A226" s="57"/>
      <c r="B226" s="57"/>
      <c r="C226" s="57"/>
      <c r="D226" s="57"/>
      <c r="E226" s="65"/>
      <c r="F226" s="65"/>
      <c r="G226" s="65"/>
      <c r="H226" s="65"/>
      <c r="I226" s="55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45">
      <c r="A227" s="57"/>
      <c r="B227" s="57"/>
      <c r="C227" s="57"/>
      <c r="D227" s="57"/>
      <c r="E227" s="65"/>
      <c r="F227" s="65"/>
      <c r="G227" s="65"/>
      <c r="H227" s="65"/>
      <c r="I227" s="55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45">
      <c r="A228" s="57"/>
      <c r="B228" s="57"/>
      <c r="C228" s="57"/>
      <c r="D228" s="57"/>
      <c r="E228" s="65"/>
      <c r="F228" s="65"/>
      <c r="G228" s="65"/>
      <c r="H228" s="65"/>
      <c r="I228" s="55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45">
      <c r="A229" s="57"/>
      <c r="B229" s="57"/>
      <c r="C229" s="57"/>
      <c r="D229" s="57"/>
      <c r="E229" s="65"/>
      <c r="F229" s="65"/>
      <c r="G229" s="65"/>
      <c r="H229" s="65"/>
      <c r="I229" s="55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45">
      <c r="A230" s="57"/>
      <c r="B230" s="57"/>
      <c r="C230" s="57"/>
      <c r="D230" s="57"/>
      <c r="E230" s="66"/>
      <c r="F230" s="66"/>
      <c r="G230" s="66"/>
      <c r="H230" s="66"/>
      <c r="I230" s="55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45">
      <c r="A231" s="94"/>
      <c r="B231" s="62"/>
      <c r="C231" s="94"/>
      <c r="D231" s="62"/>
      <c r="E231" s="56"/>
      <c r="F231" s="56"/>
      <c r="G231" s="56"/>
      <c r="H231" s="56"/>
      <c r="I231" s="55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45">
      <c r="A232" s="52"/>
      <c r="B232" s="52"/>
      <c r="C232" s="52"/>
      <c r="D232" s="52"/>
      <c r="E232" s="56"/>
      <c r="F232" s="56"/>
      <c r="G232" s="56"/>
      <c r="H232" s="56"/>
      <c r="I232" s="55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45">
      <c r="A233" s="52"/>
      <c r="B233" s="52"/>
      <c r="C233" s="52"/>
      <c r="D233" s="52"/>
      <c r="E233" s="56"/>
      <c r="F233" s="56"/>
      <c r="G233" s="56"/>
      <c r="H233" s="56"/>
      <c r="I233" s="55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45">
      <c r="A234" s="52"/>
      <c r="B234" s="52"/>
      <c r="C234" s="52"/>
      <c r="D234" s="52"/>
      <c r="E234" s="56"/>
      <c r="F234" s="56"/>
      <c r="G234" s="56"/>
      <c r="H234" s="56"/>
      <c r="I234" s="55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45">
      <c r="A235" s="52"/>
      <c r="B235" s="52"/>
      <c r="C235" s="52"/>
      <c r="D235" s="52"/>
      <c r="E235" s="56"/>
      <c r="F235" s="56"/>
      <c r="G235" s="56"/>
      <c r="H235" s="56"/>
      <c r="I235" s="55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45">
      <c r="A236" s="52"/>
      <c r="B236" s="52"/>
      <c r="C236" s="52"/>
      <c r="D236" s="52"/>
      <c r="E236" s="56"/>
      <c r="F236" s="56"/>
      <c r="G236" s="56"/>
      <c r="H236" s="56"/>
      <c r="I236" s="55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45">
      <c r="A237" s="52"/>
      <c r="B237" s="52"/>
      <c r="C237" s="52"/>
      <c r="D237" s="52"/>
      <c r="E237" s="56"/>
      <c r="F237" s="56"/>
      <c r="G237" s="56"/>
      <c r="H237" s="56"/>
      <c r="I237" s="55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4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4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45">
      <c r="A240" s="48" t="s">
        <v>173</v>
      </c>
      <c r="B240" s="54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45">
      <c r="A241" s="48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45">
      <c r="A242" s="5"/>
      <c r="B242" s="90" t="s">
        <v>185</v>
      </c>
      <c r="C242" s="274" t="s">
        <v>186</v>
      </c>
      <c r="D242" s="274"/>
      <c r="E242" s="275" t="s">
        <v>187</v>
      </c>
      <c r="F242" s="276"/>
      <c r="G242" s="276"/>
      <c r="H242" s="27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28.5" x14ac:dyDescent="0.45">
      <c r="A243" s="38" t="s">
        <v>180</v>
      </c>
      <c r="B243" s="38" t="s">
        <v>189</v>
      </c>
      <c r="C243" s="50" t="s">
        <v>188</v>
      </c>
      <c r="D243" s="50" t="s">
        <v>251</v>
      </c>
      <c r="E243" s="38" t="s">
        <v>183</v>
      </c>
      <c r="F243" s="38" t="s">
        <v>181</v>
      </c>
      <c r="G243" s="38" t="s">
        <v>184</v>
      </c>
      <c r="H243" s="38" t="s">
        <v>182</v>
      </c>
      <c r="I243" s="50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45">
      <c r="A244" s="52"/>
      <c r="B244" s="62"/>
      <c r="C244" s="57"/>
      <c r="D244" s="57"/>
      <c r="E244" s="65"/>
      <c r="F244" s="65"/>
      <c r="G244" s="65"/>
      <c r="H244" s="65"/>
      <c r="I244" s="55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45">
      <c r="A245" s="52"/>
      <c r="B245" s="62"/>
      <c r="C245" s="57"/>
      <c r="D245" s="57"/>
      <c r="E245" s="65"/>
      <c r="F245" s="65"/>
      <c r="G245" s="65"/>
      <c r="H245" s="65"/>
      <c r="I245" s="55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45">
      <c r="A246" s="57"/>
      <c r="B246" s="57"/>
      <c r="C246" s="57"/>
      <c r="D246" s="57"/>
      <c r="E246" s="65"/>
      <c r="F246" s="65"/>
      <c r="G246" s="65"/>
      <c r="H246" s="65"/>
      <c r="I246" s="55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45">
      <c r="A247" s="57"/>
      <c r="B247" s="57"/>
      <c r="C247" s="57"/>
      <c r="D247" s="57"/>
      <c r="E247" s="65"/>
      <c r="F247" s="65"/>
      <c r="G247" s="65"/>
      <c r="H247" s="65"/>
      <c r="I247" s="55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45">
      <c r="A248" s="57"/>
      <c r="B248" s="57"/>
      <c r="C248" s="57"/>
      <c r="D248" s="57"/>
      <c r="E248" s="65"/>
      <c r="F248" s="65"/>
      <c r="G248" s="65"/>
      <c r="H248" s="65"/>
      <c r="I248" s="55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45">
      <c r="A249" s="57"/>
      <c r="B249" s="57"/>
      <c r="C249" s="57"/>
      <c r="D249" s="57"/>
      <c r="E249" s="65"/>
      <c r="F249" s="65"/>
      <c r="G249" s="65"/>
      <c r="H249" s="65"/>
      <c r="I249" s="55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45">
      <c r="A250" s="57"/>
      <c r="B250" s="57"/>
      <c r="C250" s="57"/>
      <c r="D250" s="57"/>
      <c r="E250" s="65"/>
      <c r="F250" s="65"/>
      <c r="G250" s="65"/>
      <c r="H250" s="65"/>
      <c r="I250" s="55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45">
      <c r="A251" s="57"/>
      <c r="B251" s="57"/>
      <c r="C251" s="57"/>
      <c r="D251" s="57"/>
      <c r="E251" s="65"/>
      <c r="F251" s="65"/>
      <c r="G251" s="65"/>
      <c r="H251" s="65"/>
      <c r="I251" s="55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45">
      <c r="A252" s="57"/>
      <c r="B252" s="57"/>
      <c r="C252" s="57"/>
      <c r="D252" s="57"/>
      <c r="E252" s="65"/>
      <c r="F252" s="65"/>
      <c r="G252" s="65"/>
      <c r="H252" s="65"/>
      <c r="I252" s="55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45">
      <c r="A253" s="57"/>
      <c r="B253" s="57"/>
      <c r="C253" s="57"/>
      <c r="D253" s="57"/>
      <c r="E253" s="65"/>
      <c r="F253" s="65"/>
      <c r="G253" s="65"/>
      <c r="H253" s="65"/>
      <c r="I253" s="55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45">
      <c r="A254" s="57"/>
      <c r="B254" s="57"/>
      <c r="C254" s="57"/>
      <c r="D254" s="57"/>
      <c r="E254" s="65"/>
      <c r="F254" s="65"/>
      <c r="G254" s="65"/>
      <c r="H254" s="65"/>
      <c r="I254" s="55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45">
      <c r="A255" s="57"/>
      <c r="B255" s="57"/>
      <c r="C255" s="57"/>
      <c r="D255" s="57"/>
      <c r="E255" s="65"/>
      <c r="F255" s="65"/>
      <c r="G255" s="65"/>
      <c r="H255" s="65"/>
      <c r="I255" s="55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45">
      <c r="A256" s="57"/>
      <c r="B256" s="57"/>
      <c r="C256" s="57"/>
      <c r="D256" s="57"/>
      <c r="E256" s="66"/>
      <c r="F256" s="66"/>
      <c r="G256" s="66"/>
      <c r="H256" s="66"/>
      <c r="I256" s="55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45">
      <c r="A257" s="94"/>
      <c r="B257" s="62"/>
      <c r="C257" s="94"/>
      <c r="D257" s="62"/>
      <c r="E257" s="56"/>
      <c r="F257" s="56"/>
      <c r="G257" s="56"/>
      <c r="H257" s="56"/>
      <c r="I257" s="55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45">
      <c r="A258" s="52"/>
      <c r="B258" s="52"/>
      <c r="C258" s="52"/>
      <c r="D258" s="52"/>
      <c r="E258" s="56"/>
      <c r="F258" s="56"/>
      <c r="G258" s="56"/>
      <c r="H258" s="56"/>
      <c r="I258" s="55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45">
      <c r="A259" s="52"/>
      <c r="B259" s="52"/>
      <c r="C259" s="52"/>
      <c r="D259" s="52"/>
      <c r="E259" s="56"/>
      <c r="F259" s="56"/>
      <c r="G259" s="56"/>
      <c r="H259" s="56"/>
      <c r="I259" s="55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45">
      <c r="A260" s="52"/>
      <c r="B260" s="52"/>
      <c r="C260" s="52"/>
      <c r="D260" s="52"/>
      <c r="E260" s="56"/>
      <c r="F260" s="56"/>
      <c r="G260" s="56"/>
      <c r="H260" s="56"/>
      <c r="I260" s="55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45">
      <c r="A261" s="52"/>
      <c r="B261" s="52"/>
      <c r="C261" s="52"/>
      <c r="D261" s="52"/>
      <c r="E261" s="56"/>
      <c r="F261" s="56"/>
      <c r="G261" s="56"/>
      <c r="H261" s="56"/>
      <c r="I261" s="55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45">
      <c r="A262" s="52"/>
      <c r="B262" s="52"/>
      <c r="C262" s="52"/>
      <c r="D262" s="52"/>
      <c r="E262" s="56"/>
      <c r="F262" s="56"/>
      <c r="G262" s="56"/>
      <c r="H262" s="56"/>
      <c r="I262" s="55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45">
      <c r="A263" s="52"/>
      <c r="B263" s="52"/>
      <c r="C263" s="52"/>
      <c r="D263" s="52"/>
      <c r="E263" s="56"/>
      <c r="F263" s="56"/>
      <c r="G263" s="56"/>
      <c r="H263" s="56"/>
      <c r="I263" s="55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4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4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45">
      <c r="A266" s="48" t="s">
        <v>174</v>
      </c>
      <c r="B266" s="54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45">
      <c r="A267" s="48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45">
      <c r="A268" s="5"/>
      <c r="B268" s="90" t="s">
        <v>185</v>
      </c>
      <c r="C268" s="274" t="s">
        <v>186</v>
      </c>
      <c r="D268" s="274"/>
      <c r="E268" s="275" t="s">
        <v>187</v>
      </c>
      <c r="F268" s="276"/>
      <c r="G268" s="276"/>
      <c r="H268" s="27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28.5" x14ac:dyDescent="0.45">
      <c r="A269" s="38" t="s">
        <v>180</v>
      </c>
      <c r="B269" s="38" t="s">
        <v>189</v>
      </c>
      <c r="C269" s="50" t="s">
        <v>188</v>
      </c>
      <c r="D269" s="50" t="s">
        <v>251</v>
      </c>
      <c r="E269" s="38" t="s">
        <v>183</v>
      </c>
      <c r="F269" s="38" t="s">
        <v>181</v>
      </c>
      <c r="G269" s="38" t="s">
        <v>184</v>
      </c>
      <c r="H269" s="38" t="s">
        <v>182</v>
      </c>
      <c r="I269" s="50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45">
      <c r="A270" s="52"/>
      <c r="B270" s="52"/>
      <c r="C270" s="52"/>
      <c r="D270" s="52"/>
      <c r="E270" s="53"/>
      <c r="F270" s="53"/>
      <c r="G270" s="53"/>
      <c r="H270" s="53"/>
      <c r="I270" s="55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45">
      <c r="A271" s="52"/>
      <c r="B271" s="52"/>
      <c r="C271" s="52"/>
      <c r="D271" s="52"/>
      <c r="E271" s="53"/>
      <c r="F271" s="53"/>
      <c r="G271" s="53"/>
      <c r="H271" s="53"/>
      <c r="I271" s="55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45">
      <c r="A272" s="52"/>
      <c r="B272" s="52"/>
      <c r="C272" s="52"/>
      <c r="D272" s="52"/>
      <c r="E272" s="53"/>
      <c r="F272" s="53"/>
      <c r="G272" s="53"/>
      <c r="H272" s="53"/>
      <c r="I272" s="55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45">
      <c r="A273" s="52"/>
      <c r="B273" s="52"/>
      <c r="C273" s="52"/>
      <c r="D273" s="52"/>
      <c r="E273" s="53"/>
      <c r="F273" s="53"/>
      <c r="G273" s="53"/>
      <c r="H273" s="53"/>
      <c r="I273" s="55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45">
      <c r="A274" s="52"/>
      <c r="B274" s="52"/>
      <c r="C274" s="52"/>
      <c r="D274" s="52"/>
      <c r="E274" s="53"/>
      <c r="F274" s="53"/>
      <c r="G274" s="53"/>
      <c r="H274" s="53"/>
      <c r="I274" s="55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45">
      <c r="A275" s="57"/>
      <c r="B275" s="57"/>
      <c r="C275" s="57"/>
      <c r="D275" s="57"/>
      <c r="E275" s="65"/>
      <c r="F275" s="65"/>
      <c r="G275" s="65"/>
      <c r="H275" s="65"/>
      <c r="I275" s="55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45">
      <c r="A276" s="57"/>
      <c r="B276" s="57"/>
      <c r="C276" s="57"/>
      <c r="D276" s="57"/>
      <c r="E276" s="65"/>
      <c r="F276" s="65"/>
      <c r="G276" s="65"/>
      <c r="H276" s="65"/>
      <c r="I276" s="55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45">
      <c r="A277" s="57"/>
      <c r="B277" s="57"/>
      <c r="C277" s="57"/>
      <c r="D277" s="57"/>
      <c r="E277" s="65"/>
      <c r="F277" s="65"/>
      <c r="G277" s="65"/>
      <c r="H277" s="65"/>
      <c r="I277" s="55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45">
      <c r="A278" s="57"/>
      <c r="B278" s="57"/>
      <c r="C278" s="57"/>
      <c r="D278" s="57"/>
      <c r="E278" s="65"/>
      <c r="F278" s="65"/>
      <c r="G278" s="65"/>
      <c r="H278" s="65"/>
      <c r="I278" s="55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45">
      <c r="A279" s="57"/>
      <c r="B279" s="57"/>
      <c r="C279" s="57"/>
      <c r="D279" s="57"/>
      <c r="E279" s="65"/>
      <c r="F279" s="65"/>
      <c r="G279" s="65"/>
      <c r="H279" s="65"/>
      <c r="I279" s="55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45">
      <c r="A280" s="57"/>
      <c r="B280" s="57"/>
      <c r="C280" s="57"/>
      <c r="D280" s="57"/>
      <c r="E280" s="65"/>
      <c r="F280" s="65"/>
      <c r="G280" s="65"/>
      <c r="H280" s="65"/>
      <c r="I280" s="55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45">
      <c r="A281" s="57"/>
      <c r="B281" s="57"/>
      <c r="C281" s="57"/>
      <c r="D281" s="57"/>
      <c r="E281" s="65"/>
      <c r="F281" s="65"/>
      <c r="G281" s="65"/>
      <c r="H281" s="65"/>
      <c r="I281" s="55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45">
      <c r="A282" s="57"/>
      <c r="B282" s="57"/>
      <c r="C282" s="57"/>
      <c r="D282" s="57"/>
      <c r="E282" s="66"/>
      <c r="F282" s="66"/>
      <c r="G282" s="66"/>
      <c r="H282" s="66"/>
      <c r="I282" s="55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45">
      <c r="A283" s="94"/>
      <c r="B283" s="62"/>
      <c r="C283" s="94"/>
      <c r="D283" s="62"/>
      <c r="E283" s="56"/>
      <c r="F283" s="56"/>
      <c r="G283" s="56"/>
      <c r="H283" s="56"/>
      <c r="I283" s="55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45">
      <c r="A284" s="52"/>
      <c r="B284" s="52"/>
      <c r="C284" s="52"/>
      <c r="D284" s="52"/>
      <c r="E284" s="53"/>
      <c r="F284" s="53"/>
      <c r="G284" s="53"/>
      <c r="H284" s="53"/>
      <c r="I284" s="55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45">
      <c r="A285" s="52"/>
      <c r="B285" s="52"/>
      <c r="C285" s="52"/>
      <c r="D285" s="52"/>
      <c r="E285" s="53"/>
      <c r="F285" s="53"/>
      <c r="G285" s="53"/>
      <c r="H285" s="53"/>
      <c r="I285" s="55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45">
      <c r="A286" s="52"/>
      <c r="B286" s="52"/>
      <c r="C286" s="52"/>
      <c r="D286" s="52"/>
      <c r="E286" s="53"/>
      <c r="F286" s="53"/>
      <c r="G286" s="53"/>
      <c r="H286" s="53"/>
      <c r="I286" s="55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45">
      <c r="A287" s="52"/>
      <c r="B287" s="52"/>
      <c r="C287" s="52"/>
      <c r="D287" s="52"/>
      <c r="E287" s="53"/>
      <c r="F287" s="53"/>
      <c r="G287" s="53"/>
      <c r="H287" s="53"/>
      <c r="I287" s="55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45">
      <c r="A288" s="52"/>
      <c r="B288" s="52"/>
      <c r="C288" s="52"/>
      <c r="D288" s="52"/>
      <c r="E288" s="53"/>
      <c r="F288" s="53"/>
      <c r="G288" s="53"/>
      <c r="H288" s="53"/>
      <c r="I288" s="55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45">
      <c r="A289" s="52"/>
      <c r="B289" s="52"/>
      <c r="C289" s="52"/>
      <c r="D289" s="52"/>
      <c r="E289" s="53"/>
      <c r="F289" s="53"/>
      <c r="G289" s="53"/>
      <c r="H289" s="53"/>
      <c r="I289" s="55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4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4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4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4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4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4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4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4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4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4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4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4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4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4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4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4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4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4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4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4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4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4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4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4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4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4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4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4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4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4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4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4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4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4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4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4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4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4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4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4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4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4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4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4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4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4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4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4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4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4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4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4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4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4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4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4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4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4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4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4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4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4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4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4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4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4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4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4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4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4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4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4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4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4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4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4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4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4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4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4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4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4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4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4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4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4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4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4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4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4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4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4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4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4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4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4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4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4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4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4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4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4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4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4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4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4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4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4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4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4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4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4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4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4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4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4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4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4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4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4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4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4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4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4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4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4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4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4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4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4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4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4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4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4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4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4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4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4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biFVeAMLAClO6pr3sJBCeugEscuCdVqZvFzZgxubjl9F8heoSrB2nKEUqWuNU8ADIdAi1u0CeTNrS5dLE0sQcA==" saltValue="uAHbgG8Efe44aUctrudRbw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10" zoomScale="115" zoomScaleNormal="115" workbookViewId="0">
      <selection activeCell="C8" sqref="C8"/>
    </sheetView>
  </sheetViews>
  <sheetFormatPr baseColWidth="10" defaultColWidth="11.39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265625" style="1" customWidth="1"/>
    <col min="6" max="6" width="14.265625" style="1" customWidth="1"/>
    <col min="7" max="7" width="73.265625" style="1" bestFit="1" customWidth="1"/>
    <col min="8" max="10" width="11.3984375" style="1"/>
    <col min="11" max="11" width="12.59765625" style="1" customWidth="1"/>
    <col min="12" max="16384" width="11.3984375" style="1"/>
  </cols>
  <sheetData>
    <row r="1" spans="1:38" ht="14.65" thickBot="1" x14ac:dyDescent="0.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5.9" thickBot="1" x14ac:dyDescent="0.8">
      <c r="A2" s="5"/>
      <c r="B2" s="288" t="s">
        <v>191</v>
      </c>
      <c r="C2" s="289"/>
      <c r="D2" s="289"/>
      <c r="E2" s="289"/>
      <c r="F2" s="289"/>
      <c r="G2" s="29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4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45">
      <c r="A4" s="5"/>
      <c r="B4" s="287"/>
      <c r="C4" s="287"/>
      <c r="D4" s="287"/>
      <c r="E4" s="287"/>
      <c r="F4" s="287"/>
      <c r="G4" s="28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45">
      <c r="A5" s="5"/>
      <c r="B5" s="107" t="s">
        <v>301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45">
      <c r="A6" s="25"/>
      <c r="B6" s="250"/>
      <c r="C6" s="250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45">
      <c r="A7" s="108"/>
      <c r="B7" s="28" t="s">
        <v>300</v>
      </c>
      <c r="C7" s="109" t="s">
        <v>214</v>
      </c>
      <c r="D7" s="248"/>
      <c r="E7" s="110"/>
      <c r="F7" s="28" t="s">
        <v>300</v>
      </c>
      <c r="G7" s="109" t="s">
        <v>215</v>
      </c>
      <c r="H7" s="249"/>
      <c r="I7" s="249"/>
      <c r="J7" s="249"/>
      <c r="K7" s="249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45">
      <c r="A8" s="114">
        <v>1</v>
      </c>
      <c r="B8" s="63">
        <v>1</v>
      </c>
      <c r="C8" s="51" t="s">
        <v>177</v>
      </c>
      <c r="D8" s="25"/>
      <c r="E8" s="114">
        <v>4</v>
      </c>
      <c r="F8" s="63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45">
      <c r="A9" s="114">
        <v>2</v>
      </c>
      <c r="B9" s="63">
        <v>0</v>
      </c>
      <c r="C9" s="117" t="s">
        <v>216</v>
      </c>
      <c r="D9" s="25"/>
      <c r="E9" s="114">
        <v>5</v>
      </c>
      <c r="F9" s="63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45">
      <c r="A10" s="114">
        <v>3</v>
      </c>
      <c r="B10" s="63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4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4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45">
      <c r="A13" s="249"/>
      <c r="B13" s="116"/>
      <c r="C13" s="107" t="s">
        <v>274</v>
      </c>
      <c r="D13" s="249"/>
      <c r="E13" s="108"/>
      <c r="F13" s="116"/>
      <c r="G13" s="107" t="s">
        <v>307</v>
      </c>
      <c r="H13" s="249"/>
      <c r="I13" s="249"/>
      <c r="J13" s="249"/>
      <c r="K13" s="249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45">
      <c r="A14" s="249"/>
      <c r="B14" s="116"/>
      <c r="C14" s="107" t="s">
        <v>306</v>
      </c>
      <c r="D14" s="249"/>
      <c r="E14" s="108"/>
      <c r="F14" s="116"/>
      <c r="G14" s="107" t="s">
        <v>299</v>
      </c>
      <c r="H14" s="249"/>
      <c r="I14" s="249"/>
      <c r="J14" s="249"/>
      <c r="K14" s="249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45">
      <c r="A15" s="25"/>
      <c r="B15" s="28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45">
      <c r="A16" s="25"/>
      <c r="B16" s="63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45">
      <c r="A17" s="25"/>
      <c r="B17" s="63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45">
      <c r="A18" s="25"/>
      <c r="B18" s="63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45">
      <c r="A19" s="25"/>
      <c r="B19" s="115">
        <f>SUM(B16:B18)</f>
        <v>1</v>
      </c>
      <c r="C19" s="113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4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4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4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4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45">
      <c r="A24" s="5"/>
      <c r="B24" s="26"/>
      <c r="C24" s="26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45">
      <c r="A25" s="5"/>
      <c r="B25" s="25"/>
      <c r="C25" s="25"/>
      <c r="D25" s="26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4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4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4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4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4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4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4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4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4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4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4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4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4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4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4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4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4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4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4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4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4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4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4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4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4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4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4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4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4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4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4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4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4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4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4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4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4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4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4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4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4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4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4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4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4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4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4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4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4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4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4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4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4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4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4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4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4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4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4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4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4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4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4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4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4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45">
      <c r="C104" s="5"/>
      <c r="F104" s="5"/>
    </row>
    <row r="105" spans="3:35" x14ac:dyDescent="0.45">
      <c r="C105" s="5"/>
      <c r="F105" s="5"/>
    </row>
    <row r="106" spans="3:35" x14ac:dyDescent="0.45">
      <c r="C106" s="5"/>
      <c r="F106" s="5"/>
    </row>
    <row r="107" spans="3:35" x14ac:dyDescent="0.45">
      <c r="C107" s="5"/>
      <c r="F107" s="5"/>
    </row>
    <row r="108" spans="3:35" x14ac:dyDescent="0.45">
      <c r="C108" s="5"/>
      <c r="F108" s="5"/>
    </row>
    <row r="109" spans="3:35" x14ac:dyDescent="0.45">
      <c r="C109" s="5"/>
      <c r="F109" s="5"/>
    </row>
    <row r="110" spans="3:35" x14ac:dyDescent="0.45">
      <c r="C110" s="5"/>
      <c r="F110" s="5"/>
    </row>
    <row r="111" spans="3:35" x14ac:dyDescent="0.45">
      <c r="C111" s="5"/>
      <c r="F111" s="5"/>
    </row>
    <row r="112" spans="3:35" x14ac:dyDescent="0.45">
      <c r="C112" s="5"/>
      <c r="F112" s="5"/>
    </row>
    <row r="113" spans="3:6" x14ac:dyDescent="0.45">
      <c r="C113" s="5"/>
      <c r="F113" s="5"/>
    </row>
    <row r="114" spans="3:6" x14ac:dyDescent="0.45">
      <c r="C114" s="5"/>
      <c r="F114" s="5"/>
    </row>
    <row r="115" spans="3:6" x14ac:dyDescent="0.45">
      <c r="C115" s="5"/>
      <c r="F115" s="5"/>
    </row>
    <row r="116" spans="3:6" x14ac:dyDescent="0.45">
      <c r="C116" s="5"/>
      <c r="F116" s="5"/>
    </row>
    <row r="117" spans="3:6" x14ac:dyDescent="0.45">
      <c r="C117" s="5"/>
      <c r="F117" s="5"/>
    </row>
    <row r="118" spans="3:6" x14ac:dyDescent="0.45">
      <c r="C118" s="5"/>
      <c r="F118" s="5"/>
    </row>
    <row r="119" spans="3:6" x14ac:dyDescent="0.45">
      <c r="C119" s="5"/>
      <c r="F119" s="5"/>
    </row>
    <row r="120" spans="3:6" x14ac:dyDescent="0.45">
      <c r="C120" s="5"/>
      <c r="F120" s="5"/>
    </row>
    <row r="121" spans="3:6" x14ac:dyDescent="0.45">
      <c r="C121" s="5"/>
      <c r="F121" s="5"/>
    </row>
    <row r="122" spans="3:6" x14ac:dyDescent="0.45">
      <c r="C122" s="5"/>
      <c r="F122" s="5"/>
    </row>
    <row r="123" spans="3:6" x14ac:dyDescent="0.45">
      <c r="C123" s="5"/>
      <c r="F123" s="5"/>
    </row>
    <row r="124" spans="3:6" x14ac:dyDescent="0.45">
      <c r="C124" s="5"/>
      <c r="F124" s="5"/>
    </row>
    <row r="125" spans="3:6" x14ac:dyDescent="0.45">
      <c r="C125" s="5"/>
      <c r="F125" s="5"/>
    </row>
    <row r="126" spans="3:6" x14ac:dyDescent="0.45">
      <c r="C126" s="5"/>
      <c r="F126" s="5"/>
    </row>
    <row r="127" spans="3:6" x14ac:dyDescent="0.45">
      <c r="C127" s="5"/>
      <c r="F127" s="5"/>
    </row>
    <row r="128" spans="3:6" x14ac:dyDescent="0.45">
      <c r="C128" s="5"/>
      <c r="F128" s="5"/>
    </row>
    <row r="129" spans="3:6" x14ac:dyDescent="0.45">
      <c r="C129" s="5"/>
      <c r="F129" s="5"/>
    </row>
    <row r="130" spans="3:6" x14ac:dyDescent="0.45">
      <c r="C130" s="5"/>
      <c r="F130" s="5"/>
    </row>
    <row r="131" spans="3:6" x14ac:dyDescent="0.45">
      <c r="C131" s="5"/>
      <c r="F131" s="5"/>
    </row>
    <row r="132" spans="3:6" x14ac:dyDescent="0.45">
      <c r="F132" s="5"/>
    </row>
    <row r="133" spans="3:6" x14ac:dyDescent="0.45">
      <c r="F133" s="5"/>
    </row>
    <row r="134" spans="3:6" x14ac:dyDescent="0.45">
      <c r="F134" s="5"/>
    </row>
    <row r="135" spans="3:6" x14ac:dyDescent="0.45">
      <c r="F135" s="5"/>
    </row>
    <row r="136" spans="3:6" x14ac:dyDescent="0.45">
      <c r="F136" s="5"/>
    </row>
    <row r="137" spans="3:6" x14ac:dyDescent="0.45">
      <c r="F137" s="5"/>
    </row>
    <row r="138" spans="3:6" x14ac:dyDescent="0.45">
      <c r="F138" s="5"/>
    </row>
    <row r="139" spans="3:6" x14ac:dyDescent="0.45">
      <c r="F139" s="5"/>
    </row>
    <row r="140" spans="3:6" x14ac:dyDescent="0.45">
      <c r="F140" s="5"/>
    </row>
    <row r="141" spans="3:6" x14ac:dyDescent="0.45">
      <c r="F141" s="5"/>
    </row>
    <row r="142" spans="3:6" x14ac:dyDescent="0.45">
      <c r="F142" s="5"/>
    </row>
    <row r="143" spans="3:6" x14ac:dyDescent="0.45">
      <c r="F143" s="5"/>
    </row>
    <row r="144" spans="3:6" x14ac:dyDescent="0.45">
      <c r="F144" s="5"/>
    </row>
    <row r="145" spans="6:6" x14ac:dyDescent="0.45">
      <c r="F145" s="5"/>
    </row>
    <row r="146" spans="6:6" x14ac:dyDescent="0.45">
      <c r="F146" s="5"/>
    </row>
    <row r="147" spans="6:6" x14ac:dyDescent="0.45">
      <c r="F147" s="5"/>
    </row>
    <row r="148" spans="6:6" x14ac:dyDescent="0.45">
      <c r="F148" s="5"/>
    </row>
    <row r="149" spans="6:6" x14ac:dyDescent="0.45">
      <c r="F149" s="5"/>
    </row>
    <row r="150" spans="6:6" x14ac:dyDescent="0.45">
      <c r="F150" s="5"/>
    </row>
    <row r="151" spans="6:6" x14ac:dyDescent="0.45">
      <c r="F151" s="5"/>
    </row>
    <row r="152" spans="6:6" x14ac:dyDescent="0.45">
      <c r="F152" s="5"/>
    </row>
    <row r="153" spans="6:6" x14ac:dyDescent="0.45">
      <c r="F153" s="5"/>
    </row>
    <row r="154" spans="6:6" x14ac:dyDescent="0.45">
      <c r="F154" s="5"/>
    </row>
    <row r="155" spans="6:6" x14ac:dyDescent="0.45">
      <c r="F155" s="5"/>
    </row>
    <row r="156" spans="6:6" x14ac:dyDescent="0.45">
      <c r="F156" s="5"/>
    </row>
    <row r="157" spans="6:6" x14ac:dyDescent="0.45">
      <c r="F157" s="5"/>
    </row>
    <row r="158" spans="6:6" x14ac:dyDescent="0.45">
      <c r="F158" s="5"/>
    </row>
    <row r="159" spans="6:6" x14ac:dyDescent="0.45">
      <c r="F159" s="5"/>
    </row>
    <row r="160" spans="6:6" x14ac:dyDescent="0.45">
      <c r="F160" s="5"/>
    </row>
    <row r="161" spans="6:6" x14ac:dyDescent="0.45">
      <c r="F161" s="5"/>
    </row>
    <row r="162" spans="6:6" x14ac:dyDescent="0.45">
      <c r="F162" s="5"/>
    </row>
    <row r="163" spans="6:6" x14ac:dyDescent="0.45">
      <c r="F163" s="5"/>
    </row>
  </sheetData>
  <sheetProtection algorithmName="SHA-512" hashValue="BTXx7GuJOYFQ7ARoPDIIFmUVbFWF7jcOzc66aGeXF03Rcjv8Cb22zyMAUCLUEOTi21CrdUaeHamipi37+f9q0w==" saltValue="LnyCyXJMHHq4/CdAEn5ohg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171" zoomScaleNormal="100" workbookViewId="0">
      <selection activeCell="N196" sqref="N196"/>
    </sheetView>
  </sheetViews>
  <sheetFormatPr baseColWidth="10" defaultColWidth="11.3984375" defaultRowHeight="14.25" x14ac:dyDescent="0.45"/>
  <cols>
    <col min="1" max="1" width="6.86328125" style="70" bestFit="1" customWidth="1"/>
    <col min="2" max="4" width="11.3984375" style="70"/>
    <col min="5" max="5" width="9.59765625" style="70" customWidth="1"/>
    <col min="6" max="7" width="11.3984375" style="70"/>
    <col min="8" max="8" width="10.73046875" style="70" customWidth="1"/>
    <col min="9" max="9" width="9.3984375" style="70" customWidth="1"/>
    <col min="10" max="11" width="10.59765625" style="70" bestFit="1" customWidth="1"/>
    <col min="12" max="12" width="14" style="70" bestFit="1" customWidth="1"/>
    <col min="13" max="13" width="14" style="70" customWidth="1"/>
    <col min="14" max="23" width="11.3984375" style="70"/>
    <col min="24" max="24" width="11.73046875" style="70" bestFit="1" customWidth="1"/>
    <col min="25" max="25" width="14.59765625" style="70" bestFit="1" customWidth="1"/>
    <col min="26" max="26" width="12.3984375" style="70" bestFit="1" customWidth="1"/>
    <col min="27" max="27" width="9.73046875" style="70" bestFit="1" customWidth="1"/>
    <col min="28" max="28" width="11" style="70" bestFit="1" customWidth="1"/>
    <col min="29" max="29" width="9.3984375" style="70" bestFit="1" customWidth="1"/>
    <col min="30" max="31" width="9.3984375" style="70" customWidth="1"/>
    <col min="32" max="32" width="11.3984375" style="70"/>
    <col min="33" max="34" width="14" style="70" bestFit="1" customWidth="1"/>
    <col min="35" max="35" width="10.59765625" style="70" bestFit="1" customWidth="1"/>
    <col min="36" max="36" width="9.3984375" style="70" bestFit="1" customWidth="1"/>
    <col min="37" max="38" width="10.59765625" style="70" bestFit="1" customWidth="1"/>
    <col min="39" max="41" width="10.59765625" style="70" customWidth="1"/>
    <col min="42" max="42" width="9" style="70" bestFit="1" customWidth="1"/>
    <col min="43" max="43" width="10.59765625" style="70" bestFit="1" customWidth="1"/>
    <col min="44" max="44" width="9.265625" style="70" bestFit="1" customWidth="1"/>
    <col min="45" max="45" width="11.73046875" style="70" bestFit="1" customWidth="1"/>
    <col min="46" max="46" width="8.3984375" style="70" bestFit="1" customWidth="1"/>
    <col min="47" max="47" width="9.3984375" style="70" bestFit="1" customWidth="1"/>
    <col min="48" max="48" width="9.73046875" style="70" bestFit="1" customWidth="1"/>
    <col min="49" max="49" width="11" style="70" bestFit="1" customWidth="1"/>
    <col min="50" max="50" width="9.3984375" style="70" bestFit="1" customWidth="1"/>
    <col min="51" max="52" width="9.3984375" style="70" customWidth="1"/>
    <col min="53" max="53" width="10.59765625" style="70" bestFit="1" customWidth="1"/>
    <col min="54" max="54" width="14.265625" style="70" customWidth="1"/>
    <col min="55" max="55" width="14" style="70" customWidth="1"/>
    <col min="56" max="56" width="10.59765625" style="70" bestFit="1" customWidth="1"/>
    <col min="57" max="57" width="9.3984375" style="70" bestFit="1" customWidth="1"/>
    <col min="58" max="59" width="10.59765625" style="70" bestFit="1" customWidth="1"/>
    <col min="60" max="62" width="10.59765625" style="70" customWidth="1"/>
    <col min="63" max="63" width="9" style="70" bestFit="1" customWidth="1"/>
    <col min="64" max="64" width="10.59765625" style="70" bestFit="1" customWidth="1"/>
    <col min="65" max="65" width="9.265625" style="70" bestFit="1" customWidth="1"/>
    <col min="66" max="66" width="11.73046875" style="70" bestFit="1" customWidth="1"/>
    <col min="67" max="67" width="8.3984375" style="70" bestFit="1" customWidth="1"/>
    <col min="68" max="68" width="9.3984375" style="70" bestFit="1" customWidth="1"/>
    <col min="69" max="69" width="9.73046875" style="70" bestFit="1" customWidth="1"/>
    <col min="70" max="70" width="11" style="70" bestFit="1" customWidth="1"/>
    <col min="71" max="71" width="9.3984375" style="70" bestFit="1" customWidth="1"/>
    <col min="72" max="73" width="9.3984375" style="70" customWidth="1"/>
    <col min="74" max="74" width="10.59765625" style="70" bestFit="1" customWidth="1"/>
    <col min="75" max="75" width="14" style="70" bestFit="1" customWidth="1"/>
    <col min="76" max="76" width="13.86328125" style="70" customWidth="1"/>
    <col min="77" max="77" width="10.59765625" style="70" bestFit="1" customWidth="1"/>
    <col min="78" max="78" width="9.3984375" style="70" bestFit="1" customWidth="1"/>
    <col min="79" max="80" width="10.59765625" style="70" bestFit="1" customWidth="1"/>
    <col min="81" max="83" width="10.59765625" style="70" customWidth="1"/>
    <col min="84" max="84" width="11.3984375" style="70"/>
    <col min="85" max="85" width="10.59765625" style="70" bestFit="1" customWidth="1"/>
    <col min="86" max="86" width="9.265625" style="70" bestFit="1" customWidth="1"/>
    <col min="87" max="87" width="11.73046875" style="70" bestFit="1" customWidth="1"/>
    <col min="88" max="88" width="8.3984375" style="70" bestFit="1" customWidth="1"/>
    <col min="89" max="89" width="9.3984375" style="70" bestFit="1" customWidth="1"/>
    <col min="90" max="90" width="9.73046875" style="70" bestFit="1" customWidth="1"/>
    <col min="91" max="91" width="11" style="70" bestFit="1" customWidth="1"/>
    <col min="92" max="92" width="9.3984375" style="70" bestFit="1" customWidth="1"/>
    <col min="93" max="94" width="9.3984375" style="70" customWidth="1"/>
    <col min="95" max="95" width="11.3984375" style="70"/>
    <col min="96" max="97" width="14" style="70" customWidth="1"/>
    <col min="98" max="98" width="10.59765625" style="70" bestFit="1" customWidth="1"/>
    <col min="99" max="99" width="9.3984375" style="70" bestFit="1" customWidth="1"/>
    <col min="100" max="101" width="10.59765625" style="70" bestFit="1" customWidth="1"/>
    <col min="102" max="104" width="10.59765625" style="70" customWidth="1"/>
    <col min="105" max="105" width="9" style="70" bestFit="1" customWidth="1"/>
    <col min="106" max="106" width="10.59765625" style="70" bestFit="1" customWidth="1"/>
    <col min="107" max="107" width="9.265625" style="70" bestFit="1" customWidth="1"/>
    <col min="108" max="108" width="11.73046875" style="70" bestFit="1" customWidth="1"/>
    <col min="109" max="109" width="8.3984375" style="70" bestFit="1" customWidth="1"/>
    <col min="110" max="110" width="9.3984375" style="70" bestFit="1" customWidth="1"/>
    <col min="111" max="111" width="9.73046875" style="70" bestFit="1" customWidth="1"/>
    <col min="112" max="112" width="11" style="70" bestFit="1" customWidth="1"/>
    <col min="113" max="113" width="9.3984375" style="70" bestFit="1" customWidth="1"/>
    <col min="114" max="115" width="9.3984375" style="70" customWidth="1"/>
    <col min="116" max="116" width="10.59765625" style="70" bestFit="1" customWidth="1"/>
    <col min="117" max="117" width="14.265625" style="70" customWidth="1"/>
    <col min="118" max="118" width="14" style="70" bestFit="1" customWidth="1"/>
    <col min="119" max="119" width="10.59765625" style="70" bestFit="1" customWidth="1"/>
    <col min="120" max="120" width="9.3984375" style="70" bestFit="1" customWidth="1"/>
    <col min="121" max="122" width="10.59765625" style="70" bestFit="1" customWidth="1"/>
    <col min="123" max="125" width="10.59765625" style="70" customWidth="1"/>
    <col min="126" max="126" width="9" style="70" bestFit="1" customWidth="1"/>
    <col min="127" max="127" width="10.59765625" style="70" bestFit="1" customWidth="1"/>
    <col min="128" max="128" width="9.265625" style="70" bestFit="1" customWidth="1"/>
    <col min="129" max="129" width="11.73046875" style="70" bestFit="1" customWidth="1"/>
    <col min="130" max="130" width="8.3984375" style="70" bestFit="1" customWidth="1"/>
    <col min="131" max="131" width="9.3984375" style="70" bestFit="1" customWidth="1"/>
    <col min="132" max="132" width="9.73046875" style="70" bestFit="1" customWidth="1"/>
    <col min="133" max="133" width="11" style="70" bestFit="1" customWidth="1"/>
    <col min="134" max="134" width="9.3984375" style="70" bestFit="1" customWidth="1"/>
    <col min="135" max="136" width="9.3984375" style="70" customWidth="1"/>
    <col min="137" max="137" width="10.59765625" style="70" bestFit="1" customWidth="1"/>
    <col min="138" max="139" width="14" style="70" customWidth="1"/>
    <col min="140" max="140" width="10.59765625" style="70" bestFit="1" customWidth="1"/>
    <col min="141" max="141" width="9.3984375" style="70" bestFit="1" customWidth="1"/>
    <col min="142" max="143" width="10.59765625" style="70" bestFit="1" customWidth="1"/>
    <col min="144" max="146" width="10.59765625" style="70" customWidth="1"/>
    <col min="147" max="147" width="9" style="70" bestFit="1" customWidth="1"/>
    <col min="148" max="148" width="10.59765625" style="70" bestFit="1" customWidth="1"/>
    <col min="149" max="149" width="9.265625" style="70" bestFit="1" customWidth="1"/>
    <col min="150" max="150" width="11.73046875" style="70" bestFit="1" customWidth="1"/>
    <col min="151" max="151" width="8.3984375" style="70" bestFit="1" customWidth="1"/>
    <col min="152" max="152" width="9.3984375" style="70" bestFit="1" customWidth="1"/>
    <col min="153" max="153" width="9.73046875" style="70" bestFit="1" customWidth="1"/>
    <col min="154" max="154" width="11" style="70" bestFit="1" customWidth="1"/>
    <col min="155" max="155" width="9.3984375" style="70" bestFit="1" customWidth="1"/>
    <col min="156" max="157" width="9.3984375" style="70" customWidth="1"/>
    <col min="158" max="158" width="11.3984375" style="70"/>
    <col min="159" max="160" width="14" style="70" bestFit="1" customWidth="1"/>
    <col min="161" max="161" width="10.59765625" style="70" bestFit="1" customWidth="1"/>
    <col min="162" max="162" width="9.3984375" style="70" bestFit="1" customWidth="1"/>
    <col min="163" max="164" width="10.59765625" style="70" bestFit="1" customWidth="1"/>
    <col min="165" max="167" width="10.59765625" style="70" customWidth="1"/>
    <col min="168" max="168" width="9" style="70" bestFit="1" customWidth="1"/>
    <col min="169" max="169" width="10.59765625" style="70" bestFit="1" customWidth="1"/>
    <col min="170" max="170" width="9.265625" style="70" bestFit="1" customWidth="1"/>
    <col min="171" max="171" width="11.73046875" style="70" bestFit="1" customWidth="1"/>
    <col min="172" max="172" width="8.1328125" style="70" bestFit="1" customWidth="1"/>
    <col min="173" max="173" width="9.3984375" style="70" bestFit="1" customWidth="1"/>
    <col min="174" max="174" width="9.73046875" style="70" bestFit="1" customWidth="1"/>
    <col min="175" max="175" width="11" style="70" bestFit="1" customWidth="1"/>
    <col min="176" max="176" width="9.3984375" style="70" bestFit="1" customWidth="1"/>
    <col min="177" max="178" width="9.3984375" style="70" customWidth="1"/>
    <col min="179" max="179" width="10.59765625" style="70" bestFit="1" customWidth="1"/>
    <col min="180" max="181" width="14" style="70" bestFit="1" customWidth="1"/>
    <col min="182" max="182" width="10.59765625" style="70" bestFit="1" customWidth="1"/>
    <col min="183" max="183" width="9.3984375" style="70" bestFit="1" customWidth="1"/>
    <col min="184" max="185" width="10.59765625" style="70" bestFit="1" customWidth="1"/>
    <col min="186" max="188" width="10.59765625" style="70" customWidth="1"/>
    <col min="189" max="189" width="9" style="70" bestFit="1" customWidth="1"/>
    <col min="190" max="190" width="10.59765625" style="70" bestFit="1" customWidth="1"/>
    <col min="191" max="191" width="9.265625" style="70" bestFit="1" customWidth="1"/>
    <col min="192" max="192" width="11.3984375" style="70"/>
    <col min="193" max="193" width="8.3984375" style="70" bestFit="1" customWidth="1"/>
    <col min="194" max="194" width="9.3984375" style="70" bestFit="1" customWidth="1"/>
    <col min="195" max="195" width="9.73046875" style="70" bestFit="1" customWidth="1"/>
    <col min="196" max="196" width="11" style="70" bestFit="1" customWidth="1"/>
    <col min="197" max="197" width="9.3984375" style="70" bestFit="1" customWidth="1"/>
    <col min="198" max="199" width="9.3984375" style="70" customWidth="1"/>
    <col min="200" max="200" width="10.59765625" style="70" bestFit="1" customWidth="1"/>
    <col min="201" max="201" width="14" style="70" customWidth="1"/>
    <col min="202" max="202" width="14.265625" style="70" customWidth="1"/>
    <col min="203" max="203" width="10.59765625" style="70" bestFit="1" customWidth="1"/>
    <col min="204" max="204" width="9.3984375" style="70" bestFit="1" customWidth="1"/>
    <col min="205" max="206" width="10.59765625" style="70" bestFit="1" customWidth="1"/>
    <col min="207" max="209" width="10.59765625" style="70" customWidth="1"/>
    <col min="210" max="210" width="9" style="70" bestFit="1" customWidth="1"/>
    <col min="211" max="211" width="10.59765625" style="70" bestFit="1" customWidth="1"/>
    <col min="212" max="212" width="9.265625" style="70" bestFit="1" customWidth="1"/>
    <col min="213" max="213" width="11.73046875" style="70" bestFit="1" customWidth="1"/>
    <col min="214" max="214" width="8.3984375" style="70" bestFit="1" customWidth="1"/>
    <col min="215" max="215" width="9.3984375" style="70" bestFit="1" customWidth="1"/>
    <col min="216" max="216" width="9.73046875" style="70" bestFit="1" customWidth="1"/>
    <col min="217" max="217" width="11" style="70" bestFit="1" customWidth="1"/>
    <col min="218" max="218" width="9.3984375" style="70" bestFit="1" customWidth="1"/>
    <col min="219" max="16384" width="11.3984375" style="70"/>
  </cols>
  <sheetData>
    <row r="1" spans="1:218" s="5" customFormat="1" ht="25.9" thickBot="1" x14ac:dyDescent="0.8">
      <c r="B1" s="294" t="s">
        <v>176</v>
      </c>
      <c r="C1" s="295"/>
      <c r="D1" s="295"/>
      <c r="E1" s="295"/>
      <c r="F1" s="295"/>
      <c r="G1" s="295"/>
      <c r="H1" s="296"/>
      <c r="I1" s="291" t="str">
        <f>IF('Données projet'!$B$9="","",'Données projet'!$B$9)</f>
        <v>Pin laricio</v>
      </c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3"/>
      <c r="AD1" s="292" t="str">
        <f>IF('Données projet'!$B$10="","",'Données projet'!$B$10)</f>
        <v>Cèdre de l'Atlas</v>
      </c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  <c r="AX1" s="293"/>
      <c r="AY1" s="291" t="str">
        <f>IF('Données projet'!$B$11="","",'Données projet'!$B$11)</f>
        <v>Chêne pubescent</v>
      </c>
      <c r="AZ1" s="292"/>
      <c r="BA1" s="292"/>
      <c r="BB1" s="292"/>
      <c r="BC1" s="292"/>
      <c r="BD1" s="292"/>
      <c r="BE1" s="292"/>
      <c r="BF1" s="292"/>
      <c r="BG1" s="292"/>
      <c r="BH1" s="292"/>
      <c r="BI1" s="292"/>
      <c r="BJ1" s="292"/>
      <c r="BK1" s="292"/>
      <c r="BL1" s="292"/>
      <c r="BM1" s="292"/>
      <c r="BN1" s="292"/>
      <c r="BO1" s="292"/>
      <c r="BP1" s="292"/>
      <c r="BQ1" s="292"/>
      <c r="BR1" s="292"/>
      <c r="BS1" s="293"/>
      <c r="BT1" s="291" t="str">
        <f>IF('Données projet'!$B$12="","",'Données projet'!$B$12)</f>
        <v/>
      </c>
      <c r="BU1" s="292"/>
      <c r="BV1" s="292"/>
      <c r="BW1" s="292"/>
      <c r="BX1" s="292"/>
      <c r="BY1" s="292"/>
      <c r="BZ1" s="292"/>
      <c r="CA1" s="292"/>
      <c r="CB1" s="292"/>
      <c r="CC1" s="292"/>
      <c r="CD1" s="292"/>
      <c r="CE1" s="292"/>
      <c r="CF1" s="292"/>
      <c r="CG1" s="292"/>
      <c r="CH1" s="292"/>
      <c r="CI1" s="292"/>
      <c r="CJ1" s="292"/>
      <c r="CK1" s="292"/>
      <c r="CL1" s="292"/>
      <c r="CM1" s="292"/>
      <c r="CN1" s="293"/>
      <c r="CO1" s="291" t="str">
        <f>IF('Données projet'!$B$13="","",'Données projet'!$B$13)</f>
        <v/>
      </c>
      <c r="CP1" s="292"/>
      <c r="CQ1" s="292"/>
      <c r="CR1" s="292"/>
      <c r="CS1" s="292"/>
      <c r="CT1" s="292"/>
      <c r="CU1" s="292"/>
      <c r="CV1" s="292"/>
      <c r="CW1" s="292"/>
      <c r="CX1" s="292"/>
      <c r="CY1" s="292"/>
      <c r="CZ1" s="292"/>
      <c r="DA1" s="292"/>
      <c r="DB1" s="292"/>
      <c r="DC1" s="292"/>
      <c r="DD1" s="292"/>
      <c r="DE1" s="292"/>
      <c r="DF1" s="292"/>
      <c r="DG1" s="292"/>
      <c r="DH1" s="292"/>
      <c r="DI1" s="293"/>
      <c r="DJ1" s="291" t="str">
        <f>IF('Données projet'!$B$14="","",'Données projet'!$B$14)</f>
        <v/>
      </c>
      <c r="DK1" s="292"/>
      <c r="DL1" s="292"/>
      <c r="DM1" s="292"/>
      <c r="DN1" s="292"/>
      <c r="DO1" s="292"/>
      <c r="DP1" s="292"/>
      <c r="DQ1" s="292"/>
      <c r="DR1" s="292"/>
      <c r="DS1" s="292"/>
      <c r="DT1" s="292"/>
      <c r="DU1" s="292"/>
      <c r="DV1" s="292"/>
      <c r="DW1" s="292"/>
      <c r="DX1" s="292"/>
      <c r="DY1" s="292"/>
      <c r="DZ1" s="292"/>
      <c r="EA1" s="292"/>
      <c r="EB1" s="292"/>
      <c r="EC1" s="292"/>
      <c r="ED1" s="293"/>
      <c r="EE1" s="291" t="str">
        <f>IF('Données projet'!$B$15="","",'Données projet'!$B$15)</f>
        <v/>
      </c>
      <c r="EF1" s="292"/>
      <c r="EG1" s="292"/>
      <c r="EH1" s="292"/>
      <c r="EI1" s="292"/>
      <c r="EJ1" s="292"/>
      <c r="EK1" s="292"/>
      <c r="EL1" s="292"/>
      <c r="EM1" s="292"/>
      <c r="EN1" s="292"/>
      <c r="EO1" s="292"/>
      <c r="EP1" s="292"/>
      <c r="EQ1" s="292"/>
      <c r="ER1" s="292"/>
      <c r="ES1" s="292"/>
      <c r="ET1" s="292"/>
      <c r="EU1" s="292"/>
      <c r="EV1" s="292"/>
      <c r="EW1" s="292"/>
      <c r="EX1" s="292"/>
      <c r="EY1" s="293"/>
      <c r="EZ1" s="291" t="str">
        <f>IF('Données projet'!$B$16="","",'Données projet'!$B$16)</f>
        <v/>
      </c>
      <c r="FA1" s="292"/>
      <c r="FB1" s="292"/>
      <c r="FC1" s="292"/>
      <c r="FD1" s="292"/>
      <c r="FE1" s="292"/>
      <c r="FF1" s="292"/>
      <c r="FG1" s="292"/>
      <c r="FH1" s="292"/>
      <c r="FI1" s="292"/>
      <c r="FJ1" s="292"/>
      <c r="FK1" s="292"/>
      <c r="FL1" s="292"/>
      <c r="FM1" s="292"/>
      <c r="FN1" s="292"/>
      <c r="FO1" s="292"/>
      <c r="FP1" s="292"/>
      <c r="FQ1" s="292"/>
      <c r="FR1" s="292"/>
      <c r="FS1" s="292"/>
      <c r="FT1" s="293"/>
      <c r="FU1" s="291" t="str">
        <f>IF('Données projet'!$B$17="","",'Données projet'!$B$17)</f>
        <v/>
      </c>
      <c r="FV1" s="292"/>
      <c r="FW1" s="292"/>
      <c r="FX1" s="292"/>
      <c r="FY1" s="292"/>
      <c r="FZ1" s="292"/>
      <c r="GA1" s="292"/>
      <c r="GB1" s="292"/>
      <c r="GC1" s="292"/>
      <c r="GD1" s="292"/>
      <c r="GE1" s="292"/>
      <c r="GF1" s="292"/>
      <c r="GG1" s="292"/>
      <c r="GH1" s="292"/>
      <c r="GI1" s="292"/>
      <c r="GJ1" s="292"/>
      <c r="GK1" s="292"/>
      <c r="GL1" s="292"/>
      <c r="GM1" s="292"/>
      <c r="GN1" s="292"/>
      <c r="GO1" s="293"/>
      <c r="GP1" s="291" t="str">
        <f>IF('Données projet'!$B$18="","",'Données projet'!$B$18)</f>
        <v/>
      </c>
      <c r="GQ1" s="292"/>
      <c r="GR1" s="292"/>
      <c r="GS1" s="292"/>
      <c r="GT1" s="292"/>
      <c r="GU1" s="292"/>
      <c r="GV1" s="292"/>
      <c r="GW1" s="292"/>
      <c r="GX1" s="292"/>
      <c r="GY1" s="292"/>
      <c r="GZ1" s="292"/>
      <c r="HA1" s="292"/>
      <c r="HB1" s="292"/>
      <c r="HC1" s="292"/>
      <c r="HD1" s="292"/>
      <c r="HE1" s="292"/>
      <c r="HF1" s="292"/>
      <c r="HG1" s="292"/>
      <c r="HH1" s="292"/>
      <c r="HI1" s="292"/>
      <c r="HJ1" s="293"/>
    </row>
    <row r="2" spans="1:218" s="5" customFormat="1" ht="57.4" thickBot="1" x14ac:dyDescent="0.5">
      <c r="A2" s="74" t="s">
        <v>178</v>
      </c>
      <c r="B2" s="75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8" t="s">
        <v>304</v>
      </c>
      <c r="I2" s="71" t="s">
        <v>303</v>
      </c>
      <c r="J2" s="72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2" t="s">
        <v>303</v>
      </c>
      <c r="AE2" s="72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1" t="s">
        <v>303</v>
      </c>
      <c r="AZ2" s="72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1" t="s">
        <v>303</v>
      </c>
      <c r="BU2" s="72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1" t="s">
        <v>303</v>
      </c>
      <c r="CP2" s="72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1" t="s">
        <v>303</v>
      </c>
      <c r="DK2" s="72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1" t="s">
        <v>303</v>
      </c>
      <c r="EF2" s="72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1" t="s">
        <v>303</v>
      </c>
      <c r="FA2" s="72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1" t="s">
        <v>303</v>
      </c>
      <c r="FV2" s="72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1" t="s">
        <v>303</v>
      </c>
      <c r="GQ2" s="72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45">
      <c r="A3" s="11">
        <v>0</v>
      </c>
      <c r="B3" s="76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9">
        <f>(B3+E3+F3)*44/12+(C3+D3)*0.475*44/12</f>
        <v>183.33333333333334</v>
      </c>
      <c r="I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1">
        <f t="shared" ref="R3:R66" si="0">Q3+(I3+J3)*44/12</f>
        <v>165</v>
      </c>
      <c r="S3" s="61">
        <f ca="1">AVERAGE(OFFSET($R$3,0,0,'Données projet'!$E$9+1,1))-AVERAGE(OFFSET($H$3,0,0,'Données projet'!$E$9+1,1))</f>
        <v>445.53168057836308</v>
      </c>
      <c r="T3" s="61">
        <f>IF('Données projet'!E9&gt;30,$R$33-$H$33,LOOKUP('Données projet'!$E$9,$A$3:$A$203,R3:R203)-LOOKUP('Données projet'!$E$9,$A$3:$A$203,$H$3:$H$203))</f>
        <v>326.78684646135241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1">
        <f>AL3+(AD3+AE3)*44/12</f>
        <v>165</v>
      </c>
      <c r="AN3" s="61">
        <f ca="1">AVERAGE(OFFSET($AM$3,0,0,'Données projet'!$E$10+1,1))-AVERAGE(OFFSET($H$3,0,0,'Données projet'!$E$10+1,1))</f>
        <v>375.77859820466693</v>
      </c>
      <c r="AO3" s="61">
        <f>IF('Données projet'!E10&gt;30,$AM$33-$H$33,LOOKUP('Données projet'!$E$9,$A$3:$A$203,AM3:AM203)-LOOKUP('Données projet'!$E$9,$A$3:$A$203,$H$3:$H$203))</f>
        <v>242.84781402593856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1">
        <f>BG3+(AY3+AZ3)*44/12</f>
        <v>165</v>
      </c>
      <c r="BI3" s="61">
        <f ca="1">AVERAGE(OFFSET($BH$3,0,0,'Données projet'!$E$11+1,1))-AVERAGE(OFFSET($H$3,0,0,'Données projet'!$E$11+1,1))</f>
        <v>433.57989081194</v>
      </c>
      <c r="BJ3" s="61">
        <f>IF('Données projet'!E11&gt;30,$BH$33-$H$33,LOOKUP('Données projet'!$E$9,$A$3:$A$203,BH3:BH203)-LOOKUP('Données projet'!$E$9,$A$3:$A$203,$H$3:$H$203))</f>
        <v>182.52060621271355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1" t="e">
        <f>CB3+(BT3+BU3)*44/12</f>
        <v>#N/A</v>
      </c>
      <c r="CD3" s="61" t="e">
        <f ca="1">AVERAGE(OFFSET($CC$3,0,0,'Données projet'!$E$12+1,1))-AVERAGE(OFFSET($H$3,0,0,'Données projet'!$E$12+1,1))</f>
        <v>#N/A</v>
      </c>
      <c r="CE3" s="61" t="e">
        <f>IF('Données projet'!E12&gt;30,$CC$33-$H$33,LOOKUP('Données projet'!$E$9,$A$3:$A$203,CC3:CC203)-LOOKUP('Données projet'!$E$9,$A$3:$A$203,$H$3:$H$203))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1" t="e">
        <f>CW3+(CO3+CP3)*44/12</f>
        <v>#N/A</v>
      </c>
      <c r="CY3" s="61" t="e">
        <f ca="1">AVERAGE(OFFSET($CX$3,0,0,'Données projet'!$E$13+1,1))-AVERAGE(OFFSET($H$3,0,0,'Données projet'!$E$13+1,1))</f>
        <v>#N/A</v>
      </c>
      <c r="CZ3" s="61" t="e">
        <f>IF('Données projet'!E13&gt;30,$CX$33-$H$33,LOOKUP('Données projet'!$E$9,$A$3:$A$203,CX3:CX203)-LOOKUP('Données projet'!$E$9,$A$3:$A$203,$H$3:$H$203))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1" t="e">
        <f>DR3+(DJ3+DK3)*44/12</f>
        <v>#N/A</v>
      </c>
      <c r="DT3" s="61" t="e">
        <f ca="1">AVERAGE(OFFSET($DS$3,0,0,'Données projet'!$E$14+1,1))-AVERAGE(OFFSET($H$3,0,0,'Données projet'!$E$14+1,1))</f>
        <v>#N/A</v>
      </c>
      <c r="DU3" s="61" t="e">
        <f>IF('Données projet'!E14&gt;30,$DS$33-$H$33,LOOKUP('Données projet'!$E$9,$A$3:$A$203,DS3:DS203)-LOOKUP('Données projet'!$E$9,$A$3:$A$203,$H$3:$H$203))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1" t="e">
        <f>EM3+(EE3+EF3)*44/12</f>
        <v>#N/A</v>
      </c>
      <c r="EO3" s="61" t="e">
        <f ca="1">AVERAGE(OFFSET($EN$3,0,0,'Données projet'!$E$15+1,1))-AVERAGE(OFFSET($H$3,0,0,'Données projet'!$E$15+1,1))</f>
        <v>#N/A</v>
      </c>
      <c r="EP3" s="61" t="e">
        <f>IF('Données projet'!E15&gt;30,$EN$33-$H$33,LOOKUP('Données projet'!$E$9,$A$3:$A$203,EN3:EN203)-LOOKUP('Données projet'!$E$9,$A$3:$A$203,$H$3:$H$203))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1" t="e">
        <f>FH3+(EZ3+FA3)*44/12</f>
        <v>#N/A</v>
      </c>
      <c r="FJ3" s="61" t="e">
        <f ca="1">AVERAGE(OFFSET($FI$3,0,0,'Données projet'!$E$16+1,1))-AVERAGE(OFFSET($H$3,0,0,'Données projet'!$E$16+1,1))</f>
        <v>#N/A</v>
      </c>
      <c r="FK3" s="61" t="e">
        <f>IF('Données projet'!E16&gt;30,$FI$33-$H$33,LOOKUP('Données projet'!$E$9,$A$3:$A$203,FI3:FI203)-LOOKUP('Données projet'!$E$9,$A$3:$A$203,$H$3:$H$203))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1" t="e">
        <f>GC3+(FU3+FV3)*44/12</f>
        <v>#N/A</v>
      </c>
      <c r="GE3" s="61" t="e">
        <f ca="1">AVERAGE(OFFSET($GD$3,0,0,'Données projet'!$E$17+1,1))-AVERAGE(OFFSET($H$3,0,0,'Données projet'!$E$17+1,1))</f>
        <v>#N/A</v>
      </c>
      <c r="GF3" s="61" t="e">
        <f>IF('Données projet'!E17&gt;30,$GD$33-$H$33,LOOKUP('Données projet'!$E$9,$A$3:$A$203,GD3:GD203)-LOOKUP('Données projet'!$E$9,$A$3:$A$203,$H$3:$H$203))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1" t="e">
        <f>GX3+(GP3+GQ3)*44/12</f>
        <v>#N/A</v>
      </c>
      <c r="GZ3" s="61" t="e">
        <f ca="1">AVERAGE(OFFSET($GY$3,0,0,'Données projet'!$E$18+1,1))-AVERAGE(OFFSET($H$3,0,0,'Données projet'!$E$18+1,1))</f>
        <v>#N/A</v>
      </c>
      <c r="HA3" s="61" t="e">
        <f>IF('Données projet'!E18&gt;30,$GY$33-$H$33,LOOKUP('Données projet'!$E$9,$A$3:$A$203,GY3:GY203)-LOOKUP('Données projet'!$E$9,$A$3:$A$203,$H$3:$H$203))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45">
      <c r="A4" s="11">
        <f>A3+1</f>
        <v>1</v>
      </c>
      <c r="B4" s="76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9">
        <f t="shared" ref="H4:H67" si="1">(B4+E4+F4)*44/12+(C4+D4)*0.475*44/12</f>
        <v>183.33333333333334</v>
      </c>
      <c r="I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5.15</v>
      </c>
      <c r="N4" s="14">
        <f>IF('Données projet'!$A$36&gt;35,N3+M4-V3,IF(A4&lt;'Données projet'!$A$36,$K$205^A4,IF(A4='Données projet'!$A$36,'Données projet'!$B$36,N3+M4-V3)))</f>
        <v>1.26078740377576</v>
      </c>
      <c r="O4" s="14">
        <f>N4*VLOOKUP('Données projet'!$B$9,Paramètres!$A$1:$I$88,3,0)*VLOOKUP('Données projet'!$B$9,Paramètres!$A$1:$I$88,5,0)</f>
        <v>0.75395086745790452</v>
      </c>
      <c r="P4" s="14">
        <f>EXP(-1.0587+0.8836*LN(O4)+0.284)</f>
        <v>0.3590644257726861</v>
      </c>
      <c r="Q4" s="22">
        <f t="shared" ref="Q4:Q34" si="2">(O4+P4)*0.475*44/12</f>
        <v>1.9385016357099449</v>
      </c>
      <c r="R4" s="61">
        <f t="shared" si="0"/>
        <v>169.75093558863378</v>
      </c>
      <c r="S4" s="61">
        <f ca="1">AVERAGE(OFFSET($R$3,0,0,'Données projet'!$E$9+1,1))-AVERAGE(OFFSET($H$3,0,0,'Données projet'!$E$9+1,1))</f>
        <v>445.53168057836308</v>
      </c>
      <c r="T4" s="61">
        <f>$T$3</f>
        <v>326.78684646135241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projet'!$B$10,Paramètres!$A$1:$I$88,3,0)*VLOOKUP('Données projet'!$B$10,Paramètres!$A$1:$I$88,5,0)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1">
        <f t="shared" ref="AM4:AM67" si="5">AL4+(AD4+AE4)*44/12</f>
        <v>169.3518236467433</v>
      </c>
      <c r="AN4" s="61">
        <f ca="1">AVERAGE(OFFSET($AM$3,0,0,'Données projet'!$E$10+1,1))-AVERAGE(OFFSET($H$3,0,0,'Données projet'!$E$10+1,1))</f>
        <v>375.77859820466693</v>
      </c>
      <c r="AO4" s="61">
        <f>$AO$3</f>
        <v>242.84781402593856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6">SUM(AU4:AW4)</f>
        <v>0</v>
      </c>
      <c r="AY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1.8571428571428572</v>
      </c>
      <c r="BD4" s="13">
        <f>IF('Données projet'!$A$88&gt;35,BD3+BC4-BL3,IF(A4&lt;'Données projet'!$A$88,$BA$205^A4,IF(A4='Données projet'!$A$88,'Données projet'!$B$88,BD3+BC4-BL3)))</f>
        <v>1.8571428571428572</v>
      </c>
      <c r="BE4" s="14">
        <f>BD4*VLOOKUP('Données projet'!$B$11,Paramètres!$A$1:$I$88,3,0)*VLOOKUP('Données projet'!$B$11,Paramètres!$A$1:$I$88,5,0)</f>
        <v>1.8831428571428575</v>
      </c>
      <c r="BF4" s="14">
        <f>EXP(-1.0587+0.8836*LN(BE4)+0.284)</f>
        <v>0.80619280861047504</v>
      </c>
      <c r="BG4" s="22">
        <f t="shared" ref="BG4:BG67" si="7">(BE4+BF4)*0.475*44/12</f>
        <v>4.6839262845203864</v>
      </c>
      <c r="BH4" s="61">
        <f t="shared" ref="BH4:BH67" si="8">BG4+(AY4+AZ4)*44/12</f>
        <v>172.49636023744424</v>
      </c>
      <c r="BI4" s="61">
        <f ca="1">AVERAGE(OFFSET($BH$3,0,0,'Données projet'!$E$11+1,1))-AVERAGE(OFFSET($H$3,0,0,'Données projet'!$E$11+1,1))</f>
        <v>433.57989081194</v>
      </c>
      <c r="BJ4" s="61">
        <f>$BJ$3</f>
        <v>182.52060621271355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9">SUM(BP4:BR4)</f>
        <v>0</v>
      </c>
      <c r="BT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1" t="e">
        <f t="shared" ref="CC4:CC67" si="11">CB4+(BT4+BU4)*44/12</f>
        <v>#N/A</v>
      </c>
      <c r="CD4" s="61" t="e">
        <f ca="1">AVERAGE(OFFSET($CC$3,0,0,'Données projet'!$E$12+1,1))-AVERAGE(OFFSET($H$3,0,0,'Données projet'!$E$12+1,1))</f>
        <v>#N/A</v>
      </c>
      <c r="CE4" s="61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2">SUM(CK4:CM4)</f>
        <v>0</v>
      </c>
      <c r="CO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1" t="e">
        <f t="shared" ref="CX4:CX67" si="14">CW4+(CO4+CP4)*44/12</f>
        <v>#N/A</v>
      </c>
      <c r="CY4" s="61" t="e">
        <f ca="1">AVERAGE(OFFSET($CX$3,0,0,'Données projet'!$E$13+1,1))-AVERAGE(OFFSET($H$3,0,0,'Données projet'!$E$13+1,1))</f>
        <v>#N/A</v>
      </c>
      <c r="CZ4" s="61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15">SUM(DF4:DH4)</f>
        <v>0</v>
      </c>
      <c r="DJ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1" t="e">
        <f t="shared" ref="DS4:DS67" si="17">DR4+(DJ4+DK4)*44/12</f>
        <v>#N/A</v>
      </c>
      <c r="DT4" s="61" t="e">
        <f ca="1">AVERAGE(OFFSET($DS$3,0,0,'Données projet'!$E$14+1,1))-AVERAGE(OFFSET($H$3,0,0,'Données projet'!$E$14+1,1))</f>
        <v>#N/A</v>
      </c>
      <c r="DU4" s="61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18">SUM(EA4:EC4)</f>
        <v>0</v>
      </c>
      <c r="EE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1" t="e">
        <f t="shared" ref="EN4:EN67" si="20">EM4+(EE4+EF4)*44/12</f>
        <v>#N/A</v>
      </c>
      <c r="EO4" s="61" t="e">
        <f ca="1">AVERAGE(OFFSET($EN$3,0,0,'Données projet'!$E$15+1,1))-AVERAGE(OFFSET($H$3,0,0,'Données projet'!$E$15+1,1))</f>
        <v>#N/A</v>
      </c>
      <c r="EP4" s="61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1">SUM(EV4:EX4)</f>
        <v>0</v>
      </c>
      <c r="EZ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1" t="e">
        <f t="shared" ref="FI4:FI67" si="23">FH4+(EZ4+FA4)*44/12</f>
        <v>#N/A</v>
      </c>
      <c r="FJ4" s="61" t="e">
        <f ca="1">AVERAGE(OFFSET($FI$3,0,0,'Données projet'!$E$16+1,1))-AVERAGE(OFFSET($H$3,0,0,'Données projet'!$E$16+1,1))</f>
        <v>#N/A</v>
      </c>
      <c r="FK4" s="61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24">SUM(FQ4:FS4)</f>
        <v>0</v>
      </c>
      <c r="FU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1" t="e">
        <f t="shared" ref="GD4:GD67" si="26">GC4+(FU4+FV4)*44/12</f>
        <v>#N/A</v>
      </c>
      <c r="GE4" s="61" t="e">
        <f ca="1">AVERAGE(OFFSET($GD$3,0,0,'Données projet'!$E$17+1,1))-AVERAGE(OFFSET($H$3,0,0,'Données projet'!$E$17+1,1))</f>
        <v>#N/A</v>
      </c>
      <c r="GF4" s="61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27">SUM(GL4:GN4)</f>
        <v>0</v>
      </c>
      <c r="GP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1" t="e">
        <f t="shared" ref="GY4:GY67" si="29">GX4+(GP4+GQ4)*44/12</f>
        <v>#N/A</v>
      </c>
      <c r="GZ4" s="61" t="e">
        <f ca="1">AVERAGE(OFFSET($GY$3,0,0,'Données projet'!$E$18+1,1))-AVERAGE(OFFSET($H$3,0,0,'Données projet'!$E$18+1,1))</f>
        <v>#N/A</v>
      </c>
      <c r="HA4" s="61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30">SUM(HG4:HI4)</f>
        <v>0</v>
      </c>
    </row>
    <row r="5" spans="1:218" s="5" customFormat="1" x14ac:dyDescent="0.45">
      <c r="A5" s="11">
        <f t="shared" ref="A5:A68" si="31">A4+1</f>
        <v>2</v>
      </c>
      <c r="B5" s="76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9">
        <f t="shared" si="1"/>
        <v>183.33333333333334</v>
      </c>
      <c r="I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5.15</v>
      </c>
      <c r="N5" s="14">
        <f>IF('Données projet'!$A$36&gt;35,N4+M5-V4,IF(A5&lt;'Données projet'!$A$36,$K$205^A5,IF(A5='Données projet'!$A$36,'Données projet'!$B$36,N4+M5-V4)))</f>
        <v>1.5895848775196213</v>
      </c>
      <c r="O5" s="14">
        <f>N5*VLOOKUP('Données projet'!$B$9,Paramètres!$A$1:$I$88,3,0)*VLOOKUP('Données projet'!$B$9,Paramètres!$A$1:$I$88,5,0)</f>
        <v>0.95057175675673367</v>
      </c>
      <c r="P5" s="14">
        <f t="shared" ref="P5:P68" si="33">EXP(-1.0587+0.8836*LN(O5)+0.284)</f>
        <v>0.44065583799839358</v>
      </c>
      <c r="Q5" s="22">
        <f t="shared" si="2"/>
        <v>2.4230547275318464</v>
      </c>
      <c r="R5" s="61">
        <f t="shared" si="0"/>
        <v>173.02033601503268</v>
      </c>
      <c r="S5" s="61">
        <f ca="1">AVERAGE(OFFSET($R$3,0,0,'Données projet'!$E$9+1,1))-AVERAGE(OFFSET($H$3,0,0,'Données projet'!$E$9+1,1))</f>
        <v>445.53168057836308</v>
      </c>
      <c r="T5" s="61">
        <f t="shared" ref="T5:T68" si="34">$T$3</f>
        <v>326.78684646135241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projet'!$B$10,Paramètres!$A$1:$I$88,3,0)*VLOOKUP('Données projet'!$B$10,Paramètres!$A$1:$I$88,5,0)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1">
        <f t="shared" si="5"/>
        <v>172.5313742635588</v>
      </c>
      <c r="AN5" s="61">
        <f ca="1">AVERAGE(OFFSET($AM$3,0,0,'Données projet'!$E$10+1,1))-AVERAGE(OFFSET($H$3,0,0,'Données projet'!$E$10+1,1))</f>
        <v>375.77859820466693</v>
      </c>
      <c r="AO5" s="61">
        <f t="shared" ref="AO5:AO68" si="36">$AO$3</f>
        <v>242.84781402593856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6"/>
        <v>0</v>
      </c>
      <c r="AY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1.8571428571428572</v>
      </c>
      <c r="BD5" s="13">
        <f>IF('Données projet'!$A$88&gt;35,BD4+BC5-BL4,IF(A5&lt;'Données projet'!$A$88,$BA$205^A5,IF(A5='Données projet'!$A$88,'Données projet'!$B$88,BD4+BC5-BL4)))</f>
        <v>3.7142857142857144</v>
      </c>
      <c r="BE5" s="14">
        <f>BD5*VLOOKUP('Données projet'!$B$11,Paramètres!$A$1:$I$88,3,0)*VLOOKUP('Données projet'!$B$11,Paramètres!$A$1:$I$88,5,0)</f>
        <v>3.7662857142857149</v>
      </c>
      <c r="BF5" s="14">
        <f t="shared" ref="BF5:BF68" si="37">EXP(-1.0587+0.8836*LN(BE5)+0.284)</f>
        <v>1.4874042703475416</v>
      </c>
      <c r="BG5" s="22">
        <f t="shared" si="7"/>
        <v>9.150176723236255</v>
      </c>
      <c r="BH5" s="61">
        <f t="shared" si="8"/>
        <v>179.74745801073709</v>
      </c>
      <c r="BI5" s="61">
        <f ca="1">AVERAGE(OFFSET($BH$3,0,0,'Données projet'!$E$11+1,1))-AVERAGE(OFFSET($H$3,0,0,'Données projet'!$E$11+1,1))</f>
        <v>433.57989081194</v>
      </c>
      <c r="BJ5" s="61">
        <f t="shared" ref="BJ5:BJ68" si="38">$BJ$3</f>
        <v>182.52060621271355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9"/>
        <v>0</v>
      </c>
      <c r="BT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1" t="e">
        <f t="shared" si="11"/>
        <v>#N/A</v>
      </c>
      <c r="CD5" s="61" t="e">
        <f ca="1">AVERAGE(OFFSET($CC$3,0,0,'Données projet'!$E$12+1,1))-AVERAGE(OFFSET($H$3,0,0,'Données projet'!$E$12+1,1))</f>
        <v>#N/A</v>
      </c>
      <c r="CE5" s="61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2"/>
        <v>0</v>
      </c>
      <c r="CO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1" t="e">
        <f t="shared" si="14"/>
        <v>#N/A</v>
      </c>
      <c r="CY5" s="61" t="e">
        <f ca="1">AVERAGE(OFFSET($CX$3,0,0,'Données projet'!$E$13+1,1))-AVERAGE(OFFSET($H$3,0,0,'Données projet'!$E$13+1,1))</f>
        <v>#N/A</v>
      </c>
      <c r="CZ5" s="61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15"/>
        <v>0</v>
      </c>
      <c r="DJ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1" t="e">
        <f t="shared" si="17"/>
        <v>#N/A</v>
      </c>
      <c r="DT5" s="61" t="e">
        <f ca="1">AVERAGE(OFFSET($DS$3,0,0,'Données projet'!$E$14+1,1))-AVERAGE(OFFSET($H$3,0,0,'Données projet'!$E$14+1,1))</f>
        <v>#N/A</v>
      </c>
      <c r="DU5" s="61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18"/>
        <v>0</v>
      </c>
      <c r="EE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1" t="e">
        <f t="shared" si="20"/>
        <v>#N/A</v>
      </c>
      <c r="EO5" s="61" t="e">
        <f ca="1">AVERAGE(OFFSET($EN$3,0,0,'Données projet'!$E$15+1,1))-AVERAGE(OFFSET($H$3,0,0,'Données projet'!$E$15+1,1))</f>
        <v>#N/A</v>
      </c>
      <c r="EP5" s="61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1"/>
        <v>0</v>
      </c>
      <c r="EZ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1" t="e">
        <f t="shared" si="23"/>
        <v>#N/A</v>
      </c>
      <c r="FJ5" s="61" t="e">
        <f ca="1">AVERAGE(OFFSET($FI$3,0,0,'Données projet'!$E$16+1,1))-AVERAGE(OFFSET($H$3,0,0,'Données projet'!$E$16+1,1))</f>
        <v>#N/A</v>
      </c>
      <c r="FK5" s="61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24"/>
        <v>0</v>
      </c>
      <c r="FU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1" t="e">
        <f t="shared" si="26"/>
        <v>#N/A</v>
      </c>
      <c r="GE5" s="61" t="e">
        <f ca="1">AVERAGE(OFFSET($GD$3,0,0,'Données projet'!$E$17+1,1))-AVERAGE(OFFSET($H$3,0,0,'Données projet'!$E$17+1,1))</f>
        <v>#N/A</v>
      </c>
      <c r="GF5" s="61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27"/>
        <v>0</v>
      </c>
      <c r="GP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1" t="e">
        <f t="shared" si="29"/>
        <v>#N/A</v>
      </c>
      <c r="GZ5" s="61" t="e">
        <f ca="1">AVERAGE(OFFSET($GY$3,0,0,'Données projet'!$E$18+1,1))-AVERAGE(OFFSET($H$3,0,0,'Données projet'!$E$18+1,1))</f>
        <v>#N/A</v>
      </c>
      <c r="HA5" s="61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30"/>
        <v>0</v>
      </c>
    </row>
    <row r="6" spans="1:218" s="5" customFormat="1" x14ac:dyDescent="0.45">
      <c r="A6" s="11">
        <f t="shared" si="31"/>
        <v>3</v>
      </c>
      <c r="B6" s="76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9">
        <f t="shared" si="1"/>
        <v>183.33333333333334</v>
      </c>
      <c r="I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5.15</v>
      </c>
      <c r="N6" s="14">
        <f>IF('Données projet'!$A$36&gt;35,N5+M6-V5,IF(A6&lt;'Données projet'!$A$36,$K$205^A6,IF(A6='Données projet'!$A$36,'Données projet'!$B$36,N5+M6-V5)))</f>
        <v>2.0041285908091728</v>
      </c>
      <c r="O6" s="14">
        <f>N6*VLOOKUP('Données projet'!$B$9,Paramètres!$A$1:$I$88,3,0)*VLOOKUP('Données projet'!$B$9,Paramètres!$A$1:$I$88,5,0)</f>
        <v>1.1984688973038855</v>
      </c>
      <c r="P6" s="14">
        <f t="shared" si="33"/>
        <v>0.54078754013073693</v>
      </c>
      <c r="Q6" s="22">
        <f t="shared" si="2"/>
        <v>3.0292049618653007</v>
      </c>
      <c r="R6" s="61">
        <f t="shared" si="0"/>
        <v>176.38422553175019</v>
      </c>
      <c r="S6" s="61">
        <f ca="1">AVERAGE(OFFSET($R$3,0,0,'Données projet'!$E$9+1,1))-AVERAGE(OFFSET($H$3,0,0,'Données projet'!$E$9+1,1))</f>
        <v>445.53168057836308</v>
      </c>
      <c r="T6" s="61">
        <f t="shared" si="34"/>
        <v>326.78684646135241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projet'!$B$10,Paramètres!$A$1:$I$88,3,0)*VLOOKUP('Données projet'!$B$10,Paramètres!$A$1:$I$88,5,0)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1">
        <f t="shared" si="5"/>
        <v>175.78542475258246</v>
      </c>
      <c r="AN6" s="61">
        <f ca="1">AVERAGE(OFFSET($AM$3,0,0,'Données projet'!$E$10+1,1))-AVERAGE(OFFSET($H$3,0,0,'Données projet'!$E$10+1,1))</f>
        <v>375.77859820466693</v>
      </c>
      <c r="AO6" s="61">
        <f t="shared" si="36"/>
        <v>242.84781402593856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6"/>
        <v>0</v>
      </c>
      <c r="AY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1.8571428571428572</v>
      </c>
      <c r="BD6" s="13">
        <f>IF('Données projet'!$A$88&gt;35,BD5+BC6-BL5,IF(A6&lt;'Données projet'!$A$88,$BA$205^A6,IF(A6='Données projet'!$A$88,'Données projet'!$B$88,BD5+BC6-BL5)))</f>
        <v>5.5714285714285712</v>
      </c>
      <c r="BE6" s="14">
        <f>BD6*VLOOKUP('Données projet'!$B$11,Paramètres!$A$1:$I$88,3,0)*VLOOKUP('Données projet'!$B$11,Paramètres!$A$1:$I$88,5,0)</f>
        <v>5.6494285714285715</v>
      </c>
      <c r="BF6" s="14">
        <f t="shared" si="37"/>
        <v>2.1282530307156544</v>
      </c>
      <c r="BG6" s="22">
        <f t="shared" si="7"/>
        <v>13.546128790401191</v>
      </c>
      <c r="BH6" s="61">
        <f t="shared" si="8"/>
        <v>186.90114936028607</v>
      </c>
      <c r="BI6" s="61">
        <f ca="1">AVERAGE(OFFSET($BH$3,0,0,'Données projet'!$E$11+1,1))-AVERAGE(OFFSET($H$3,0,0,'Données projet'!$E$11+1,1))</f>
        <v>433.57989081194</v>
      </c>
      <c r="BJ6" s="61">
        <f t="shared" si="38"/>
        <v>182.52060621271355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9"/>
        <v>0</v>
      </c>
      <c r="BT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1" t="e">
        <f t="shared" si="11"/>
        <v>#N/A</v>
      </c>
      <c r="CD6" s="61" t="e">
        <f ca="1">AVERAGE(OFFSET($CC$3,0,0,'Données projet'!$E$12+1,1))-AVERAGE(OFFSET($H$3,0,0,'Données projet'!$E$12+1,1))</f>
        <v>#N/A</v>
      </c>
      <c r="CE6" s="61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2"/>
        <v>0</v>
      </c>
      <c r="CO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1" t="e">
        <f t="shared" si="14"/>
        <v>#N/A</v>
      </c>
      <c r="CY6" s="61" t="e">
        <f ca="1">AVERAGE(OFFSET($CX$3,0,0,'Données projet'!$E$13+1,1))-AVERAGE(OFFSET($H$3,0,0,'Données projet'!$E$13+1,1))</f>
        <v>#N/A</v>
      </c>
      <c r="CZ6" s="61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15"/>
        <v>0</v>
      </c>
      <c r="DJ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1" t="e">
        <f t="shared" si="17"/>
        <v>#N/A</v>
      </c>
      <c r="DT6" s="61" t="e">
        <f ca="1">AVERAGE(OFFSET($DS$3,0,0,'Données projet'!$E$14+1,1))-AVERAGE(OFFSET($H$3,0,0,'Données projet'!$E$14+1,1))</f>
        <v>#N/A</v>
      </c>
      <c r="DU6" s="61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18"/>
        <v>0</v>
      </c>
      <c r="EE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1" t="e">
        <f t="shared" si="20"/>
        <v>#N/A</v>
      </c>
      <c r="EO6" s="61" t="e">
        <f ca="1">AVERAGE(OFFSET($EN$3,0,0,'Données projet'!$E$15+1,1))-AVERAGE(OFFSET($H$3,0,0,'Données projet'!$E$15+1,1))</f>
        <v>#N/A</v>
      </c>
      <c r="EP6" s="61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1"/>
        <v>0</v>
      </c>
      <c r="EZ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1" t="e">
        <f t="shared" si="23"/>
        <v>#N/A</v>
      </c>
      <c r="FJ6" s="61" t="e">
        <f ca="1">AVERAGE(OFFSET($FI$3,0,0,'Données projet'!$E$16+1,1))-AVERAGE(OFFSET($H$3,0,0,'Données projet'!$E$16+1,1))</f>
        <v>#N/A</v>
      </c>
      <c r="FK6" s="61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24"/>
        <v>0</v>
      </c>
      <c r="FU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1" t="e">
        <f t="shared" si="26"/>
        <v>#N/A</v>
      </c>
      <c r="GE6" s="61" t="e">
        <f ca="1">AVERAGE(OFFSET($GD$3,0,0,'Données projet'!$E$17+1,1))-AVERAGE(OFFSET($H$3,0,0,'Données projet'!$E$17+1,1))</f>
        <v>#N/A</v>
      </c>
      <c r="GF6" s="61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27"/>
        <v>0</v>
      </c>
      <c r="GP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1" t="e">
        <f t="shared" si="29"/>
        <v>#N/A</v>
      </c>
      <c r="GZ6" s="61" t="e">
        <f ca="1">AVERAGE(OFFSET($GY$3,0,0,'Données projet'!$E$18+1,1))-AVERAGE(OFFSET($H$3,0,0,'Données projet'!$E$18+1,1))</f>
        <v>#N/A</v>
      </c>
      <c r="HA6" s="61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30"/>
        <v>0</v>
      </c>
    </row>
    <row r="7" spans="1:218" s="5" customFormat="1" x14ac:dyDescent="0.45">
      <c r="A7" s="11">
        <f t="shared" si="31"/>
        <v>4</v>
      </c>
      <c r="B7" s="76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9">
        <f t="shared" si="1"/>
        <v>183.33333333333334</v>
      </c>
      <c r="I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5.15</v>
      </c>
      <c r="N7" s="14">
        <f>IF('Données projet'!$A$36&gt;35,N6+M7-V6,IF(A7&lt;'Données projet'!$A$36,$K$205^A7,IF(A7='Données projet'!$A$36,'Données projet'!$B$36,N6+M7-V6)))</f>
        <v>2.5267800828390694</v>
      </c>
      <c r="O7" s="14">
        <f>N7*VLOOKUP('Données projet'!$B$9,Paramètres!$A$1:$I$88,3,0)*VLOOKUP('Données projet'!$B$9,Paramètres!$A$1:$I$88,5,0)</f>
        <v>1.5110144895377635</v>
      </c>
      <c r="P7" s="14">
        <f t="shared" si="33"/>
        <v>0.66367250434957237</v>
      </c>
      <c r="Q7" s="22">
        <f t="shared" si="2"/>
        <v>3.7875798476871094</v>
      </c>
      <c r="R7" s="61">
        <f t="shared" si="0"/>
        <v>179.87370191186406</v>
      </c>
      <c r="S7" s="61">
        <f ca="1">AVERAGE(OFFSET($R$3,0,0,'Données projet'!$E$9+1,1))-AVERAGE(OFFSET($H$3,0,0,'Données projet'!$E$9+1,1))</f>
        <v>445.53168057836308</v>
      </c>
      <c r="T7" s="61">
        <f t="shared" si="34"/>
        <v>326.78684646135241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projet'!$B$10,Paramètres!$A$1:$I$88,3,0)*VLOOKUP('Données projet'!$B$10,Paramètres!$A$1:$I$88,5,0)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1">
        <f t="shared" si="5"/>
        <v>179.14070081262093</v>
      </c>
      <c r="AN7" s="61">
        <f ca="1">AVERAGE(OFFSET($AM$3,0,0,'Données projet'!$E$10+1,1))-AVERAGE(OFFSET($H$3,0,0,'Données projet'!$E$10+1,1))</f>
        <v>375.77859820466693</v>
      </c>
      <c r="AO7" s="61">
        <f t="shared" si="36"/>
        <v>242.84781402593856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6"/>
        <v>0</v>
      </c>
      <c r="AY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1.8571428571428572</v>
      </c>
      <c r="BD7" s="13">
        <f>IF('Données projet'!$A$88&gt;35,BD6+BC7-BL6,IF(A7&lt;'Données projet'!$A$88,$BA$205^A7,IF(A7='Données projet'!$A$88,'Données projet'!$B$88,BD6+BC7-BL6)))</f>
        <v>7.4285714285714288</v>
      </c>
      <c r="BE7" s="14">
        <f>BD7*VLOOKUP('Données projet'!$B$11,Paramètres!$A$1:$I$88,3,0)*VLOOKUP('Données projet'!$B$11,Paramètres!$A$1:$I$88,5,0)</f>
        <v>7.5325714285714298</v>
      </c>
      <c r="BF7" s="14">
        <f t="shared" si="37"/>
        <v>2.744221282823482</v>
      </c>
      <c r="BG7" s="22">
        <f t="shared" si="7"/>
        <v>17.898747305679471</v>
      </c>
      <c r="BH7" s="61">
        <f t="shared" si="8"/>
        <v>193.98486936985643</v>
      </c>
      <c r="BI7" s="61">
        <f ca="1">AVERAGE(OFFSET($BH$3,0,0,'Données projet'!$E$11+1,1))-AVERAGE(OFFSET($H$3,0,0,'Données projet'!$E$11+1,1))</f>
        <v>433.57989081194</v>
      </c>
      <c r="BJ7" s="61">
        <f t="shared" si="38"/>
        <v>182.52060621271355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9"/>
        <v>0</v>
      </c>
      <c r="BT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1" t="e">
        <f t="shared" si="11"/>
        <v>#N/A</v>
      </c>
      <c r="CD7" s="61" t="e">
        <f ca="1">AVERAGE(OFFSET($CC$3,0,0,'Données projet'!$E$12+1,1))-AVERAGE(OFFSET($H$3,0,0,'Données projet'!$E$12+1,1))</f>
        <v>#N/A</v>
      </c>
      <c r="CE7" s="61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2"/>
        <v>0</v>
      </c>
      <c r="CO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1" t="e">
        <f t="shared" si="14"/>
        <v>#N/A</v>
      </c>
      <c r="CY7" s="61" t="e">
        <f ca="1">AVERAGE(OFFSET($CX$3,0,0,'Données projet'!$E$13+1,1))-AVERAGE(OFFSET($H$3,0,0,'Données projet'!$E$13+1,1))</f>
        <v>#N/A</v>
      </c>
      <c r="CZ7" s="61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15"/>
        <v>0</v>
      </c>
      <c r="DJ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1" t="e">
        <f t="shared" si="17"/>
        <v>#N/A</v>
      </c>
      <c r="DT7" s="61" t="e">
        <f ca="1">AVERAGE(OFFSET($DS$3,0,0,'Données projet'!$E$14+1,1))-AVERAGE(OFFSET($H$3,0,0,'Données projet'!$E$14+1,1))</f>
        <v>#N/A</v>
      </c>
      <c r="DU7" s="61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18"/>
        <v>0</v>
      </c>
      <c r="EE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1" t="e">
        <f t="shared" si="20"/>
        <v>#N/A</v>
      </c>
      <c r="EO7" s="61" t="e">
        <f ca="1">AVERAGE(OFFSET($EN$3,0,0,'Données projet'!$E$15+1,1))-AVERAGE(OFFSET($H$3,0,0,'Données projet'!$E$15+1,1))</f>
        <v>#N/A</v>
      </c>
      <c r="EP7" s="61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1"/>
        <v>0</v>
      </c>
      <c r="EZ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1" t="e">
        <f t="shared" si="23"/>
        <v>#N/A</v>
      </c>
      <c r="FJ7" s="61" t="e">
        <f ca="1">AVERAGE(OFFSET($FI$3,0,0,'Données projet'!$E$16+1,1))-AVERAGE(OFFSET($H$3,0,0,'Données projet'!$E$16+1,1))</f>
        <v>#N/A</v>
      </c>
      <c r="FK7" s="61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24"/>
        <v>0</v>
      </c>
      <c r="FU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1" t="e">
        <f t="shared" si="26"/>
        <v>#N/A</v>
      </c>
      <c r="GE7" s="61" t="e">
        <f ca="1">AVERAGE(OFFSET($GD$3,0,0,'Données projet'!$E$17+1,1))-AVERAGE(OFFSET($H$3,0,0,'Données projet'!$E$17+1,1))</f>
        <v>#N/A</v>
      </c>
      <c r="GF7" s="61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27"/>
        <v>0</v>
      </c>
      <c r="GP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1" t="e">
        <f t="shared" si="29"/>
        <v>#N/A</v>
      </c>
      <c r="GZ7" s="61" t="e">
        <f ca="1">AVERAGE(OFFSET($GY$3,0,0,'Données projet'!$E$18+1,1))-AVERAGE(OFFSET($H$3,0,0,'Données projet'!$E$18+1,1))</f>
        <v>#N/A</v>
      </c>
      <c r="HA7" s="61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30"/>
        <v>0</v>
      </c>
    </row>
    <row r="8" spans="1:218" s="5" customFormat="1" x14ac:dyDescent="0.45">
      <c r="A8" s="11">
        <f t="shared" si="31"/>
        <v>5</v>
      </c>
      <c r="B8" s="76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9">
        <f t="shared" si="1"/>
        <v>183.33333333333334</v>
      </c>
      <c r="I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5.15</v>
      </c>
      <c r="N8" s="14">
        <f>IF('Données projet'!$A$36&gt;35,N7+M8-V7,IF(A8&lt;'Données projet'!$A$36,$K$205^A8,IF(A8='Données projet'!$A$36,'Données projet'!$B$36,N7+M8-V7)))</f>
        <v>3.1857325005549701</v>
      </c>
      <c r="O8" s="14">
        <f>N8*VLOOKUP('Données projet'!$B$9,Paramètres!$A$1:$I$88,3,0)*VLOOKUP('Données projet'!$B$9,Paramètres!$A$1:$I$88,5,0)</f>
        <v>1.9050680353318723</v>
      </c>
      <c r="P8" s="14">
        <f t="shared" si="33"/>
        <v>0.81448103061536969</v>
      </c>
      <c r="Q8" s="22">
        <f t="shared" si="2"/>
        <v>4.7365479565247801</v>
      </c>
      <c r="R8" s="61">
        <f t="shared" si="0"/>
        <v>183.52759583297214</v>
      </c>
      <c r="S8" s="61">
        <f ca="1">AVERAGE(OFFSET($R$3,0,0,'Données projet'!$E$9+1,1))-AVERAGE(OFFSET($H$3,0,0,'Données projet'!$E$9+1,1))</f>
        <v>445.53168057836308</v>
      </c>
      <c r="T8" s="61">
        <f t="shared" si="34"/>
        <v>326.78684646135241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projet'!$B$10,Paramètres!$A$1:$I$88,3,0)*VLOOKUP('Données projet'!$B$10,Paramètres!$A$1:$I$88,5,0)</f>
        <v>1.5325699758511209</v>
      </c>
      <c r="AK8" s="14">
        <f t="shared" si="35"/>
        <v>0.67203122680395833</v>
      </c>
      <c r="AL8" s="22">
        <f t="shared" si="4"/>
        <v>3.839680427957596</v>
      </c>
      <c r="AM8" s="61">
        <f t="shared" si="5"/>
        <v>182.63072830440495</v>
      </c>
      <c r="AN8" s="61">
        <f ca="1">AVERAGE(OFFSET($AM$3,0,0,'Données projet'!$E$10+1,1))-AVERAGE(OFFSET($H$3,0,0,'Données projet'!$E$10+1,1))</f>
        <v>375.77859820466693</v>
      </c>
      <c r="AO8" s="61">
        <f t="shared" si="36"/>
        <v>242.84781402593856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6"/>
        <v>0</v>
      </c>
      <c r="AY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1.8571428571428572</v>
      </c>
      <c r="BD8" s="13">
        <f>IF('Données projet'!$A$88&gt;35,BD7+BC8-BL7,IF(A8&lt;'Données projet'!$A$88,$BA$205^A8,IF(A8='Données projet'!$A$88,'Données projet'!$B$88,BD7+BC8-BL7)))</f>
        <v>9.2857142857142865</v>
      </c>
      <c r="BE8" s="14">
        <f>BD8*VLOOKUP('Données projet'!$B$11,Paramètres!$A$1:$I$88,3,0)*VLOOKUP('Données projet'!$B$11,Paramètres!$A$1:$I$88,5,0)</f>
        <v>9.4157142857142873</v>
      </c>
      <c r="BF8" s="14">
        <f t="shared" si="37"/>
        <v>3.3423260641277204</v>
      </c>
      <c r="BG8" s="22">
        <f t="shared" si="7"/>
        <v>22.220253609308163</v>
      </c>
      <c r="BH8" s="61">
        <f t="shared" si="8"/>
        <v>201.01130148575552</v>
      </c>
      <c r="BI8" s="61">
        <f ca="1">AVERAGE(OFFSET($BH$3,0,0,'Données projet'!$E$11+1,1))-AVERAGE(OFFSET($H$3,0,0,'Données projet'!$E$11+1,1))</f>
        <v>433.57989081194</v>
      </c>
      <c r="BJ8" s="61">
        <f t="shared" si="38"/>
        <v>182.52060621271355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9"/>
        <v>0</v>
      </c>
      <c r="BT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1" t="e">
        <f t="shared" si="11"/>
        <v>#N/A</v>
      </c>
      <c r="CD8" s="61" t="e">
        <f ca="1">AVERAGE(OFFSET($CC$3,0,0,'Données projet'!$E$12+1,1))-AVERAGE(OFFSET($H$3,0,0,'Données projet'!$E$12+1,1))</f>
        <v>#N/A</v>
      </c>
      <c r="CE8" s="61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2"/>
        <v>0</v>
      </c>
      <c r="CO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1" t="e">
        <f t="shared" si="14"/>
        <v>#N/A</v>
      </c>
      <c r="CY8" s="61" t="e">
        <f ca="1">AVERAGE(OFFSET($CX$3,0,0,'Données projet'!$E$13+1,1))-AVERAGE(OFFSET($H$3,0,0,'Données projet'!$E$13+1,1))</f>
        <v>#N/A</v>
      </c>
      <c r="CZ8" s="61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15"/>
        <v>0</v>
      </c>
      <c r="DJ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1" t="e">
        <f t="shared" si="17"/>
        <v>#N/A</v>
      </c>
      <c r="DT8" s="61" t="e">
        <f ca="1">AVERAGE(OFFSET($DS$3,0,0,'Données projet'!$E$14+1,1))-AVERAGE(OFFSET($H$3,0,0,'Données projet'!$E$14+1,1))</f>
        <v>#N/A</v>
      </c>
      <c r="DU8" s="61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18"/>
        <v>0</v>
      </c>
      <c r="EE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1" t="e">
        <f t="shared" si="20"/>
        <v>#N/A</v>
      </c>
      <c r="EO8" s="61" t="e">
        <f ca="1">AVERAGE(OFFSET($EN$3,0,0,'Données projet'!$E$15+1,1))-AVERAGE(OFFSET($H$3,0,0,'Données projet'!$E$15+1,1))</f>
        <v>#N/A</v>
      </c>
      <c r="EP8" s="61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1"/>
        <v>0</v>
      </c>
      <c r="EZ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1" t="e">
        <f t="shared" si="23"/>
        <v>#N/A</v>
      </c>
      <c r="FJ8" s="61" t="e">
        <f ca="1">AVERAGE(OFFSET($FI$3,0,0,'Données projet'!$E$16+1,1))-AVERAGE(OFFSET($H$3,0,0,'Données projet'!$E$16+1,1))</f>
        <v>#N/A</v>
      </c>
      <c r="FK8" s="61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24"/>
        <v>0</v>
      </c>
      <c r="FU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1" t="e">
        <f t="shared" si="26"/>
        <v>#N/A</v>
      </c>
      <c r="GE8" s="61" t="e">
        <f ca="1">AVERAGE(OFFSET($GD$3,0,0,'Données projet'!$E$17+1,1))-AVERAGE(OFFSET($H$3,0,0,'Données projet'!$E$17+1,1))</f>
        <v>#N/A</v>
      </c>
      <c r="GF8" s="61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27"/>
        <v>0</v>
      </c>
      <c r="GP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1" t="e">
        <f t="shared" si="29"/>
        <v>#N/A</v>
      </c>
      <c r="GZ8" s="61" t="e">
        <f ca="1">AVERAGE(OFFSET($GY$3,0,0,'Données projet'!$E$18+1,1))-AVERAGE(OFFSET($H$3,0,0,'Données projet'!$E$18+1,1))</f>
        <v>#N/A</v>
      </c>
      <c r="HA8" s="61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30"/>
        <v>0</v>
      </c>
    </row>
    <row r="9" spans="1:218" s="5" customFormat="1" x14ac:dyDescent="0.45">
      <c r="A9" s="11">
        <f t="shared" si="31"/>
        <v>6</v>
      </c>
      <c r="B9" s="76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9">
        <f t="shared" si="1"/>
        <v>183.33333333333334</v>
      </c>
      <c r="I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5.15</v>
      </c>
      <c r="N9" s="14">
        <f>IF('Données projet'!$A$36&gt;35,N8+M9-V8,IF(A9&lt;'Données projet'!$A$36,$K$205^A9,IF(A9='Données projet'!$A$36,'Données projet'!$B$36,N8+M9-V8)))</f>
        <v>4.0165314084987607</v>
      </c>
      <c r="O9" s="14">
        <f>N9*VLOOKUP('Données projet'!$B$9,Paramètres!$A$1:$I$88,3,0)*VLOOKUP('Données projet'!$B$9,Paramètres!$A$1:$I$88,5,0)</f>
        <v>2.401885782282259</v>
      </c>
      <c r="P9" s="14">
        <f t="shared" si="33"/>
        <v>0.99955828346755937</v>
      </c>
      <c r="Q9" s="22">
        <f t="shared" si="2"/>
        <v>5.9241817478476007</v>
      </c>
      <c r="R9" s="61">
        <f t="shared" si="0"/>
        <v>187.39443384410657</v>
      </c>
      <c r="S9" s="61">
        <f ca="1">AVERAGE(OFFSET($R$3,0,0,'Données projet'!$E$9+1,1))-AVERAGE(OFFSET($H$3,0,0,'Données projet'!$E$9+1,1))</f>
        <v>445.53168057836308</v>
      </c>
      <c r="T9" s="61">
        <f t="shared" si="34"/>
        <v>326.78684646135241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projet'!$B$10,Paramètres!$A$1:$I$88,3,0)*VLOOKUP('Données projet'!$B$10,Paramètres!$A$1:$I$88,5,0)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1">
        <f t="shared" si="5"/>
        <v>186.29760464646887</v>
      </c>
      <c r="AN9" s="61">
        <f ca="1">AVERAGE(OFFSET($AM$3,0,0,'Données projet'!$E$10+1,1))-AVERAGE(OFFSET($H$3,0,0,'Données projet'!$E$10+1,1))</f>
        <v>375.77859820466693</v>
      </c>
      <c r="AO9" s="61">
        <f t="shared" si="36"/>
        <v>242.84781402593856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6"/>
        <v>0</v>
      </c>
      <c r="AY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1.8571428571428572</v>
      </c>
      <c r="BD9" s="13">
        <f>IF('Données projet'!$A$88&gt;35,BD8+BC9-BL8,IF(A9&lt;'Données projet'!$A$88,$BA$205^A9,IF(A9='Données projet'!$A$88,'Données projet'!$B$88,BD8+BC9-BL8)))</f>
        <v>11.142857142857144</v>
      </c>
      <c r="BE9" s="14">
        <f>BD9*VLOOKUP('Données projet'!$B$11,Paramètres!$A$1:$I$88,3,0)*VLOOKUP('Données projet'!$B$11,Paramètres!$A$1:$I$88,5,0)</f>
        <v>11.298857142857145</v>
      </c>
      <c r="BF9" s="14">
        <f t="shared" si="37"/>
        <v>3.9265701857631674</v>
      </c>
      <c r="BG9" s="22">
        <f t="shared" si="7"/>
        <v>26.517619264013714</v>
      </c>
      <c r="BH9" s="61">
        <f t="shared" si="8"/>
        <v>207.98787136027269</v>
      </c>
      <c r="BI9" s="61">
        <f ca="1">AVERAGE(OFFSET($BH$3,0,0,'Données projet'!$E$11+1,1))-AVERAGE(OFFSET($H$3,0,0,'Données projet'!$E$11+1,1))</f>
        <v>433.57989081194</v>
      </c>
      <c r="BJ9" s="61">
        <f t="shared" si="38"/>
        <v>182.52060621271355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9"/>
        <v>0</v>
      </c>
      <c r="BT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1" t="e">
        <f t="shared" si="11"/>
        <v>#N/A</v>
      </c>
      <c r="CD9" s="61" t="e">
        <f ca="1">AVERAGE(OFFSET($CC$3,0,0,'Données projet'!$E$12+1,1))-AVERAGE(OFFSET($H$3,0,0,'Données projet'!$E$12+1,1))</f>
        <v>#N/A</v>
      </c>
      <c r="CE9" s="61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2"/>
        <v>0</v>
      </c>
      <c r="CO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1" t="e">
        <f t="shared" si="14"/>
        <v>#N/A</v>
      </c>
      <c r="CY9" s="61" t="e">
        <f ca="1">AVERAGE(OFFSET($CX$3,0,0,'Données projet'!$E$13+1,1))-AVERAGE(OFFSET($H$3,0,0,'Données projet'!$E$13+1,1))</f>
        <v>#N/A</v>
      </c>
      <c r="CZ9" s="61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15"/>
        <v>0</v>
      </c>
      <c r="DJ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1" t="e">
        <f t="shared" si="17"/>
        <v>#N/A</v>
      </c>
      <c r="DT9" s="61" t="e">
        <f ca="1">AVERAGE(OFFSET($DS$3,0,0,'Données projet'!$E$14+1,1))-AVERAGE(OFFSET($H$3,0,0,'Données projet'!$E$14+1,1))</f>
        <v>#N/A</v>
      </c>
      <c r="DU9" s="61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18"/>
        <v>0</v>
      </c>
      <c r="EE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1" t="e">
        <f t="shared" si="20"/>
        <v>#N/A</v>
      </c>
      <c r="EO9" s="61" t="e">
        <f ca="1">AVERAGE(OFFSET($EN$3,0,0,'Données projet'!$E$15+1,1))-AVERAGE(OFFSET($H$3,0,0,'Données projet'!$E$15+1,1))</f>
        <v>#N/A</v>
      </c>
      <c r="EP9" s="61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1"/>
        <v>0</v>
      </c>
      <c r="EZ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1" t="e">
        <f t="shared" si="23"/>
        <v>#N/A</v>
      </c>
      <c r="FJ9" s="61" t="e">
        <f ca="1">AVERAGE(OFFSET($FI$3,0,0,'Données projet'!$E$16+1,1))-AVERAGE(OFFSET($H$3,0,0,'Données projet'!$E$16+1,1))</f>
        <v>#N/A</v>
      </c>
      <c r="FK9" s="61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24"/>
        <v>0</v>
      </c>
      <c r="FU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1" t="e">
        <f t="shared" si="26"/>
        <v>#N/A</v>
      </c>
      <c r="GE9" s="61" t="e">
        <f ca="1">AVERAGE(OFFSET($GD$3,0,0,'Données projet'!$E$17+1,1))-AVERAGE(OFFSET($H$3,0,0,'Données projet'!$E$17+1,1))</f>
        <v>#N/A</v>
      </c>
      <c r="GF9" s="61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27"/>
        <v>0</v>
      </c>
      <c r="GP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1" t="e">
        <f t="shared" si="29"/>
        <v>#N/A</v>
      </c>
      <c r="GZ9" s="61" t="e">
        <f ca="1">AVERAGE(OFFSET($GY$3,0,0,'Données projet'!$E$18+1,1))-AVERAGE(OFFSET($H$3,0,0,'Données projet'!$E$18+1,1))</f>
        <v>#N/A</v>
      </c>
      <c r="HA9" s="61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30"/>
        <v>0</v>
      </c>
    </row>
    <row r="10" spans="1:218" s="5" customFormat="1" x14ac:dyDescent="0.45">
      <c r="A10" s="11">
        <f t="shared" si="31"/>
        <v>7</v>
      </c>
      <c r="B10" s="76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9">
        <f t="shared" si="1"/>
        <v>183.33333333333334</v>
      </c>
      <c r="I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5.15</v>
      </c>
      <c r="N10" s="14">
        <f>IF('Données projet'!$A$36&gt;35,N9+M10-V9,IF(A10&lt;'Données projet'!$A$36,$K$205^A10,IF(A10='Données projet'!$A$36,'Données projet'!$B$36,N9+M10-V9)))</f>
        <v>5.063992206704949</v>
      </c>
      <c r="O10" s="14">
        <f>N10*VLOOKUP('Données projet'!$B$9,Paramètres!$A$1:$I$88,3,0)*VLOOKUP('Données projet'!$B$9,Paramètres!$A$1:$I$88,5,0)</f>
        <v>3.0282673396095596</v>
      </c>
      <c r="P10" s="14">
        <f t="shared" si="33"/>
        <v>1.2266912604382512</v>
      </c>
      <c r="Q10" s="22">
        <f t="shared" si="2"/>
        <v>7.4107195617499366</v>
      </c>
      <c r="R10" s="61">
        <f t="shared" si="0"/>
        <v>191.53490049748618</v>
      </c>
      <c r="S10" s="61">
        <f ca="1">AVERAGE(OFFSET($R$3,0,0,'Données projet'!$E$9+1,1))-AVERAGE(OFFSET($H$3,0,0,'Données projet'!$E$9+1,1))</f>
        <v>445.53168057836308</v>
      </c>
      <c r="T10" s="61">
        <f t="shared" si="34"/>
        <v>326.78684646135241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projet'!$B$10,Paramètres!$A$1:$I$88,3,0)*VLOOKUP('Données projet'!$B$10,Paramètres!$A$1:$I$88,5,0)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1">
        <f t="shared" si="5"/>
        <v>190.19423241120458</v>
      </c>
      <c r="AN10" s="61">
        <f ca="1">AVERAGE(OFFSET($AM$3,0,0,'Données projet'!$E$10+1,1))-AVERAGE(OFFSET($H$3,0,0,'Données projet'!$E$10+1,1))</f>
        <v>375.77859820466693</v>
      </c>
      <c r="AO10" s="61">
        <f t="shared" si="36"/>
        <v>242.84781402593856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6"/>
        <v>0</v>
      </c>
      <c r="AY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1.8571428571428572</v>
      </c>
      <c r="BD10" s="13">
        <f>IF('Données projet'!$A$88&gt;35,BD9+BC10-BL9,IF(A10&lt;'Données projet'!$A$88,$BA$205^A10,IF(A10='Données projet'!$A$88,'Données projet'!$B$88,BD9+BC10-BL9)))</f>
        <v>13.000000000000002</v>
      </c>
      <c r="BE10" s="14">
        <f>BD10*VLOOKUP('Données projet'!$B$11,Paramètres!$A$1:$I$88,3,0)*VLOOKUP('Données projet'!$B$11,Paramètres!$A$1:$I$88,5,0)</f>
        <v>13.182000000000002</v>
      </c>
      <c r="BF10" s="14">
        <f t="shared" si="37"/>
        <v>4.4995341052974798</v>
      </c>
      <c r="BG10" s="22">
        <f t="shared" si="7"/>
        <v>30.795338566726443</v>
      </c>
      <c r="BH10" s="61">
        <f t="shared" si="8"/>
        <v>214.91951950246266</v>
      </c>
      <c r="BI10" s="61">
        <f ca="1">AVERAGE(OFFSET($BH$3,0,0,'Données projet'!$E$11+1,1))-AVERAGE(OFFSET($H$3,0,0,'Données projet'!$E$11+1,1))</f>
        <v>433.57989081194</v>
      </c>
      <c r="BJ10" s="61">
        <f t="shared" si="38"/>
        <v>182.52060621271355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9"/>
        <v>0</v>
      </c>
      <c r="BT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1" t="e">
        <f t="shared" si="11"/>
        <v>#N/A</v>
      </c>
      <c r="CD10" s="61" t="e">
        <f ca="1">AVERAGE(OFFSET($CC$3,0,0,'Données projet'!$E$12+1,1))-AVERAGE(OFFSET($H$3,0,0,'Données projet'!$E$12+1,1))</f>
        <v>#N/A</v>
      </c>
      <c r="CE10" s="61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2"/>
        <v>0</v>
      </c>
      <c r="CO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1" t="e">
        <f t="shared" si="14"/>
        <v>#N/A</v>
      </c>
      <c r="CY10" s="61" t="e">
        <f ca="1">AVERAGE(OFFSET($CX$3,0,0,'Données projet'!$E$13+1,1))-AVERAGE(OFFSET($H$3,0,0,'Données projet'!$E$13+1,1))</f>
        <v>#N/A</v>
      </c>
      <c r="CZ10" s="61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15"/>
        <v>0</v>
      </c>
      <c r="DJ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1" t="e">
        <f t="shared" si="17"/>
        <v>#N/A</v>
      </c>
      <c r="DT10" s="61" t="e">
        <f ca="1">AVERAGE(OFFSET($DS$3,0,0,'Données projet'!$E$14+1,1))-AVERAGE(OFFSET($H$3,0,0,'Données projet'!$E$14+1,1))</f>
        <v>#N/A</v>
      </c>
      <c r="DU10" s="61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18"/>
        <v>0</v>
      </c>
      <c r="EE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1" t="e">
        <f t="shared" si="20"/>
        <v>#N/A</v>
      </c>
      <c r="EO10" s="61" t="e">
        <f ca="1">AVERAGE(OFFSET($EN$3,0,0,'Données projet'!$E$15+1,1))-AVERAGE(OFFSET($H$3,0,0,'Données projet'!$E$15+1,1))</f>
        <v>#N/A</v>
      </c>
      <c r="EP10" s="61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1"/>
        <v>0</v>
      </c>
      <c r="EZ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1" t="e">
        <f t="shared" si="23"/>
        <v>#N/A</v>
      </c>
      <c r="FJ10" s="61" t="e">
        <f ca="1">AVERAGE(OFFSET($FI$3,0,0,'Données projet'!$E$16+1,1))-AVERAGE(OFFSET($H$3,0,0,'Données projet'!$E$16+1,1))</f>
        <v>#N/A</v>
      </c>
      <c r="FK10" s="61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24"/>
        <v>0</v>
      </c>
      <c r="FU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1" t="e">
        <f t="shared" si="26"/>
        <v>#N/A</v>
      </c>
      <c r="GE10" s="61" t="e">
        <f ca="1">AVERAGE(OFFSET($GD$3,0,0,'Données projet'!$E$17+1,1))-AVERAGE(OFFSET($H$3,0,0,'Données projet'!$E$17+1,1))</f>
        <v>#N/A</v>
      </c>
      <c r="GF10" s="61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27"/>
        <v>0</v>
      </c>
      <c r="GP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1" t="e">
        <f t="shared" si="29"/>
        <v>#N/A</v>
      </c>
      <c r="GZ10" s="61" t="e">
        <f ca="1">AVERAGE(OFFSET($GY$3,0,0,'Données projet'!$E$18+1,1))-AVERAGE(OFFSET($H$3,0,0,'Données projet'!$E$18+1,1))</f>
        <v>#N/A</v>
      </c>
      <c r="HA10" s="61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30"/>
        <v>0</v>
      </c>
    </row>
    <row r="11" spans="1:218" s="5" customFormat="1" x14ac:dyDescent="0.45">
      <c r="A11" s="11">
        <f t="shared" si="31"/>
        <v>8</v>
      </c>
      <c r="B11" s="76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9">
        <f t="shared" si="1"/>
        <v>183.33333333333334</v>
      </c>
      <c r="I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5.15</v>
      </c>
      <c r="N11" s="14">
        <f>IF('Données projet'!$A$36&gt;35,N10+M11-V10,IF(A11&lt;'Données projet'!$A$36,$K$205^A11,IF(A11='Données projet'!$A$36,'Données projet'!$B$36,N10+M11-V10)))</f>
        <v>6.3846175870322144</v>
      </c>
      <c r="O11" s="14">
        <f>N11*VLOOKUP('Données projet'!$B$9,Paramètres!$A$1:$I$88,3,0)*VLOOKUP('Données projet'!$B$9,Paramètres!$A$1:$I$88,5,0)</f>
        <v>3.8180013170452645</v>
      </c>
      <c r="P11" s="14">
        <f t="shared" si="33"/>
        <v>1.5054364245928662</v>
      </c>
      <c r="Q11" s="22">
        <f t="shared" si="2"/>
        <v>9.2716540666864109</v>
      </c>
      <c r="R11" s="61">
        <f t="shared" si="0"/>
        <v>196.02492693290696</v>
      </c>
      <c r="S11" s="61">
        <f ca="1">AVERAGE(OFFSET($R$3,0,0,'Données projet'!$E$9+1,1))-AVERAGE(OFFSET($H$3,0,0,'Données projet'!$E$9+1,1))</f>
        <v>445.53168057836308</v>
      </c>
      <c r="T11" s="61">
        <f t="shared" si="34"/>
        <v>326.78684646135241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projet'!$B$10,Paramètres!$A$1:$I$88,3,0)*VLOOKUP('Données projet'!$B$10,Paramètres!$A$1:$I$88,5,0)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1">
        <f t="shared" si="5"/>
        <v>194.38713606555996</v>
      </c>
      <c r="AN11" s="61">
        <f ca="1">AVERAGE(OFFSET($AM$3,0,0,'Données projet'!$E$10+1,1))-AVERAGE(OFFSET($H$3,0,0,'Données projet'!$E$10+1,1))</f>
        <v>375.77859820466693</v>
      </c>
      <c r="AO11" s="61">
        <f t="shared" si="36"/>
        <v>242.84781402593856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6"/>
        <v>0</v>
      </c>
      <c r="AY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1.8571428571428572</v>
      </c>
      <c r="BD11" s="13">
        <f>IF('Données projet'!$A$88&gt;35,BD10+BC11-BL10,IF(A11&lt;'Données projet'!$A$88,$BA$205^A11,IF(A11='Données projet'!$A$88,'Données projet'!$B$88,BD10+BC11-BL10)))</f>
        <v>14.857142857142859</v>
      </c>
      <c r="BE11" s="14">
        <f>BD11*VLOOKUP('Données projet'!$B$11,Paramètres!$A$1:$I$88,3,0)*VLOOKUP('Données projet'!$B$11,Paramètres!$A$1:$I$88,5,0)</f>
        <v>15.06514285714286</v>
      </c>
      <c r="BF11" s="14">
        <f t="shared" si="37"/>
        <v>5.0630152133029336</v>
      </c>
      <c r="BG11" s="22">
        <f t="shared" si="7"/>
        <v>35.05654197269309</v>
      </c>
      <c r="BH11" s="61">
        <f t="shared" si="8"/>
        <v>221.80981483891364</v>
      </c>
      <c r="BI11" s="61">
        <f ca="1">AVERAGE(OFFSET($BH$3,0,0,'Données projet'!$E$11+1,1))-AVERAGE(OFFSET($H$3,0,0,'Données projet'!$E$11+1,1))</f>
        <v>433.57989081194</v>
      </c>
      <c r="BJ11" s="61">
        <f t="shared" si="38"/>
        <v>182.52060621271355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9"/>
        <v>0</v>
      </c>
      <c r="BT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1" t="e">
        <f t="shared" si="11"/>
        <v>#N/A</v>
      </c>
      <c r="CD11" s="61" t="e">
        <f ca="1">AVERAGE(OFFSET($CC$3,0,0,'Données projet'!$E$12+1,1))-AVERAGE(OFFSET($H$3,0,0,'Données projet'!$E$12+1,1))</f>
        <v>#N/A</v>
      </c>
      <c r="CE11" s="61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2"/>
        <v>0</v>
      </c>
      <c r="CO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1" t="e">
        <f t="shared" si="14"/>
        <v>#N/A</v>
      </c>
      <c r="CY11" s="61" t="e">
        <f ca="1">AVERAGE(OFFSET($CX$3,0,0,'Données projet'!$E$13+1,1))-AVERAGE(OFFSET($H$3,0,0,'Données projet'!$E$13+1,1))</f>
        <v>#N/A</v>
      </c>
      <c r="CZ11" s="61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15"/>
        <v>0</v>
      </c>
      <c r="DJ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1" t="e">
        <f t="shared" si="17"/>
        <v>#N/A</v>
      </c>
      <c r="DT11" s="61" t="e">
        <f ca="1">AVERAGE(OFFSET($DS$3,0,0,'Données projet'!$E$14+1,1))-AVERAGE(OFFSET($H$3,0,0,'Données projet'!$E$14+1,1))</f>
        <v>#N/A</v>
      </c>
      <c r="DU11" s="61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18"/>
        <v>0</v>
      </c>
      <c r="EE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1" t="e">
        <f t="shared" si="20"/>
        <v>#N/A</v>
      </c>
      <c r="EO11" s="61" t="e">
        <f ca="1">AVERAGE(OFFSET($EN$3,0,0,'Données projet'!$E$15+1,1))-AVERAGE(OFFSET($H$3,0,0,'Données projet'!$E$15+1,1))</f>
        <v>#N/A</v>
      </c>
      <c r="EP11" s="61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1"/>
        <v>0</v>
      </c>
      <c r="EZ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1" t="e">
        <f t="shared" si="23"/>
        <v>#N/A</v>
      </c>
      <c r="FJ11" s="61" t="e">
        <f ca="1">AVERAGE(OFFSET($FI$3,0,0,'Données projet'!$E$16+1,1))-AVERAGE(OFFSET($H$3,0,0,'Données projet'!$E$16+1,1))</f>
        <v>#N/A</v>
      </c>
      <c r="FK11" s="61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24"/>
        <v>0</v>
      </c>
      <c r="FU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1" t="e">
        <f t="shared" si="26"/>
        <v>#N/A</v>
      </c>
      <c r="GE11" s="61" t="e">
        <f ca="1">AVERAGE(OFFSET($GD$3,0,0,'Données projet'!$E$17+1,1))-AVERAGE(OFFSET($H$3,0,0,'Données projet'!$E$17+1,1))</f>
        <v>#N/A</v>
      </c>
      <c r="GF11" s="61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27"/>
        <v>0</v>
      </c>
      <c r="GP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1" t="e">
        <f t="shared" si="29"/>
        <v>#N/A</v>
      </c>
      <c r="GZ11" s="61" t="e">
        <f ca="1">AVERAGE(OFFSET($GY$3,0,0,'Données projet'!$E$18+1,1))-AVERAGE(OFFSET($H$3,0,0,'Données projet'!$E$18+1,1))</f>
        <v>#N/A</v>
      </c>
      <c r="HA11" s="61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30"/>
        <v>0</v>
      </c>
    </row>
    <row r="12" spans="1:218" s="5" customFormat="1" x14ac:dyDescent="0.45">
      <c r="A12" s="11">
        <f t="shared" si="31"/>
        <v>9</v>
      </c>
      <c r="B12" s="76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9">
        <f t="shared" si="1"/>
        <v>183.33333333333334</v>
      </c>
      <c r="I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5.15</v>
      </c>
      <c r="N12" s="14">
        <f>IF('Données projet'!$A$36&gt;35,N11+M12-V11,IF(A12&lt;'Données projet'!$A$36,$K$205^A12,IF(A12='Données projet'!$A$36,'Données projet'!$B$36,N11+M12-V11)))</f>
        <v>8.0496454316554029</v>
      </c>
      <c r="O12" s="14">
        <f>N12*VLOOKUP('Données projet'!$B$9,Paramètres!$A$1:$I$88,3,0)*VLOOKUP('Données projet'!$B$9,Paramètres!$A$1:$I$88,5,0)</f>
        <v>4.8136879681299316</v>
      </c>
      <c r="P12" s="14">
        <f t="shared" si="33"/>
        <v>1.8475217861104467</v>
      </c>
      <c r="Q12" s="22">
        <f t="shared" si="2"/>
        <v>11.601606988635325</v>
      </c>
      <c r="R12" s="61">
        <f t="shared" si="0"/>
        <v>200.9595657411914</v>
      </c>
      <c r="S12" s="61">
        <f ca="1">AVERAGE(OFFSET($R$3,0,0,'Données projet'!$E$9+1,1))-AVERAGE(OFFSET($H$3,0,0,'Données projet'!$E$9+1,1))</f>
        <v>445.53168057836308</v>
      </c>
      <c r="T12" s="61">
        <f t="shared" si="34"/>
        <v>326.78684646135241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projet'!$B$10,Paramètres!$A$1:$I$88,3,0)*VLOOKUP('Données projet'!$B$10,Paramètres!$A$1:$I$88,5,0)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1">
        <f t="shared" si="5"/>
        <v>198.96001452834184</v>
      </c>
      <c r="AN12" s="61">
        <f ca="1">AVERAGE(OFFSET($AM$3,0,0,'Données projet'!$E$10+1,1))-AVERAGE(OFFSET($H$3,0,0,'Données projet'!$E$10+1,1))</f>
        <v>375.77859820466693</v>
      </c>
      <c r="AO12" s="61">
        <f t="shared" si="36"/>
        <v>242.84781402593856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6"/>
        <v>0</v>
      </c>
      <c r="AY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1.8571428571428572</v>
      </c>
      <c r="BD12" s="13">
        <f>IF('Données projet'!$A$88&gt;35,BD11+BC12-BL11,IF(A12&lt;'Données projet'!$A$88,$BA$205^A12,IF(A12='Données projet'!$A$88,'Données projet'!$B$88,BD11+BC12-BL11)))</f>
        <v>16.714285714285715</v>
      </c>
      <c r="BE12" s="14">
        <f>BD12*VLOOKUP('Données projet'!$B$11,Paramètres!$A$1:$I$88,3,0)*VLOOKUP('Données projet'!$B$11,Paramètres!$A$1:$I$88,5,0)</f>
        <v>16.948285714285717</v>
      </c>
      <c r="BF12" s="14">
        <f t="shared" si="37"/>
        <v>5.6183346147147937</v>
      </c>
      <c r="BG12" s="22">
        <f t="shared" si="7"/>
        <v>39.303530406342553</v>
      </c>
      <c r="BH12" s="61">
        <f t="shared" si="8"/>
        <v>228.66148915889863</v>
      </c>
      <c r="BI12" s="61">
        <f ca="1">AVERAGE(OFFSET($BH$3,0,0,'Données projet'!$E$11+1,1))-AVERAGE(OFFSET($H$3,0,0,'Données projet'!$E$11+1,1))</f>
        <v>433.57989081194</v>
      </c>
      <c r="BJ12" s="61">
        <f t="shared" si="38"/>
        <v>182.52060621271355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9"/>
        <v>0</v>
      </c>
      <c r="BT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1" t="e">
        <f t="shared" si="11"/>
        <v>#N/A</v>
      </c>
      <c r="CD12" s="61" t="e">
        <f ca="1">AVERAGE(OFFSET($CC$3,0,0,'Données projet'!$E$12+1,1))-AVERAGE(OFFSET($H$3,0,0,'Données projet'!$E$12+1,1))</f>
        <v>#N/A</v>
      </c>
      <c r="CE12" s="61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2"/>
        <v>0</v>
      </c>
      <c r="CO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1" t="e">
        <f t="shared" si="14"/>
        <v>#N/A</v>
      </c>
      <c r="CY12" s="61" t="e">
        <f ca="1">AVERAGE(OFFSET($CX$3,0,0,'Données projet'!$E$13+1,1))-AVERAGE(OFFSET($H$3,0,0,'Données projet'!$E$13+1,1))</f>
        <v>#N/A</v>
      </c>
      <c r="CZ12" s="61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15"/>
        <v>0</v>
      </c>
      <c r="DJ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1" t="e">
        <f t="shared" si="17"/>
        <v>#N/A</v>
      </c>
      <c r="DT12" s="61" t="e">
        <f ca="1">AVERAGE(OFFSET($DS$3,0,0,'Données projet'!$E$14+1,1))-AVERAGE(OFFSET($H$3,0,0,'Données projet'!$E$14+1,1))</f>
        <v>#N/A</v>
      </c>
      <c r="DU12" s="61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18"/>
        <v>0</v>
      </c>
      <c r="EE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1" t="e">
        <f t="shared" si="20"/>
        <v>#N/A</v>
      </c>
      <c r="EO12" s="61" t="e">
        <f ca="1">AVERAGE(OFFSET($EN$3,0,0,'Données projet'!$E$15+1,1))-AVERAGE(OFFSET($H$3,0,0,'Données projet'!$E$15+1,1))</f>
        <v>#N/A</v>
      </c>
      <c r="EP12" s="61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1"/>
        <v>0</v>
      </c>
      <c r="EZ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1" t="e">
        <f t="shared" si="23"/>
        <v>#N/A</v>
      </c>
      <c r="FJ12" s="61" t="e">
        <f ca="1">AVERAGE(OFFSET($FI$3,0,0,'Données projet'!$E$16+1,1))-AVERAGE(OFFSET($H$3,0,0,'Données projet'!$E$16+1,1))</f>
        <v>#N/A</v>
      </c>
      <c r="FK12" s="61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24"/>
        <v>0</v>
      </c>
      <c r="FU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1" t="e">
        <f t="shared" si="26"/>
        <v>#N/A</v>
      </c>
      <c r="GE12" s="61" t="e">
        <f ca="1">AVERAGE(OFFSET($GD$3,0,0,'Données projet'!$E$17+1,1))-AVERAGE(OFFSET($H$3,0,0,'Données projet'!$E$17+1,1))</f>
        <v>#N/A</v>
      </c>
      <c r="GF12" s="61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27"/>
        <v>0</v>
      </c>
      <c r="GP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1" t="e">
        <f t="shared" si="29"/>
        <v>#N/A</v>
      </c>
      <c r="GZ12" s="61" t="e">
        <f ca="1">AVERAGE(OFFSET($GY$3,0,0,'Données projet'!$E$18+1,1))-AVERAGE(OFFSET($H$3,0,0,'Données projet'!$E$18+1,1))</f>
        <v>#N/A</v>
      </c>
      <c r="HA12" s="61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30"/>
        <v>0</v>
      </c>
    </row>
    <row r="13" spans="1:218" s="5" customFormat="1" x14ac:dyDescent="0.45">
      <c r="A13" s="11">
        <f t="shared" si="31"/>
        <v>10</v>
      </c>
      <c r="B13" s="76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9">
        <f t="shared" si="1"/>
        <v>183.33333333333334</v>
      </c>
      <c r="I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5.15</v>
      </c>
      <c r="N13" s="14">
        <f>IF('Données projet'!$A$36&gt;35,N12+M13-V12,IF(A13&lt;'Données projet'!$A$36,$K$205^A13,IF(A13='Données projet'!$A$36,'Données projet'!$B$36,N12+M13-V12)))</f>
        <v>10.148891565092223</v>
      </c>
      <c r="O13" s="14">
        <f>N13*VLOOKUP('Données projet'!$B$9,Paramètres!$A$1:$I$88,3,0)*VLOOKUP('Données projet'!$B$9,Paramètres!$A$1:$I$88,5,0)</f>
        <v>6.069037155925149</v>
      </c>
      <c r="P13" s="14">
        <f t="shared" si="33"/>
        <v>2.2673403502083098</v>
      </c>
      <c r="Q13" s="22">
        <f t="shared" si="2"/>
        <v>14.519190823182441</v>
      </c>
      <c r="R13" s="61">
        <f t="shared" si="0"/>
        <v>206.45785280822733</v>
      </c>
      <c r="S13" s="61">
        <f ca="1">AVERAGE(OFFSET($R$3,0,0,'Données projet'!$E$9+1,1))-AVERAGE(OFFSET($H$3,0,0,'Données projet'!$E$9+1,1))</f>
        <v>445.53168057836308</v>
      </c>
      <c r="T13" s="61">
        <f t="shared" si="34"/>
        <v>326.78684646135241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projet'!$B$10,Paramètres!$A$1:$I$88,3,0)*VLOOKUP('Données projet'!$B$10,Paramètres!$A$1:$I$88,5,0)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1">
        <f t="shared" si="5"/>
        <v>204.01822228576515</v>
      </c>
      <c r="AN13" s="61">
        <f ca="1">AVERAGE(OFFSET($AM$3,0,0,'Données projet'!$E$10+1,1))-AVERAGE(OFFSET($H$3,0,0,'Données projet'!$E$10+1,1))</f>
        <v>375.77859820466693</v>
      </c>
      <c r="AO13" s="61">
        <f t="shared" si="36"/>
        <v>242.84781402593856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6"/>
        <v>0</v>
      </c>
      <c r="AY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1.8571428571428572</v>
      </c>
      <c r="BD13" s="13">
        <f>IF('Données projet'!$A$88&gt;35,BD12+BC13-BL12,IF(A13&lt;'Données projet'!$A$88,$BA$205^A13,IF(A13='Données projet'!$A$88,'Données projet'!$B$88,BD12+BC13-BL12)))</f>
        <v>18.571428571428573</v>
      </c>
      <c r="BE13" s="14">
        <f>BD13*VLOOKUP('Données projet'!$B$11,Paramètres!$A$1:$I$88,3,0)*VLOOKUP('Données projet'!$B$11,Paramètres!$A$1:$I$88,5,0)</f>
        <v>18.831428571428575</v>
      </c>
      <c r="BF13" s="14">
        <f t="shared" si="37"/>
        <v>6.1665026127508789</v>
      </c>
      <c r="BG13" s="22">
        <f t="shared" si="7"/>
        <v>43.538063479112544</v>
      </c>
      <c r="BH13" s="61">
        <f t="shared" si="8"/>
        <v>235.47672546415743</v>
      </c>
      <c r="BI13" s="61">
        <f ca="1">AVERAGE(OFFSET($BH$3,0,0,'Données projet'!$E$11+1,1))-AVERAGE(OFFSET($H$3,0,0,'Données projet'!$E$11+1,1))</f>
        <v>433.57989081194</v>
      </c>
      <c r="BJ13" s="61">
        <f t="shared" si="38"/>
        <v>182.52060621271355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9"/>
        <v>0</v>
      </c>
      <c r="BT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1" t="e">
        <f t="shared" si="11"/>
        <v>#N/A</v>
      </c>
      <c r="CD13" s="61" t="e">
        <f ca="1">AVERAGE(OFFSET($CC$3,0,0,'Données projet'!$E$12+1,1))-AVERAGE(OFFSET($H$3,0,0,'Données projet'!$E$12+1,1))</f>
        <v>#N/A</v>
      </c>
      <c r="CE13" s="61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2"/>
        <v>0</v>
      </c>
      <c r="CO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1" t="e">
        <f t="shared" si="14"/>
        <v>#N/A</v>
      </c>
      <c r="CY13" s="61" t="e">
        <f ca="1">AVERAGE(OFFSET($CX$3,0,0,'Données projet'!$E$13+1,1))-AVERAGE(OFFSET($H$3,0,0,'Données projet'!$E$13+1,1))</f>
        <v>#N/A</v>
      </c>
      <c r="CZ13" s="61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15"/>
        <v>0</v>
      </c>
      <c r="DJ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1" t="e">
        <f t="shared" si="17"/>
        <v>#N/A</v>
      </c>
      <c r="DT13" s="61" t="e">
        <f ca="1">AVERAGE(OFFSET($DS$3,0,0,'Données projet'!$E$14+1,1))-AVERAGE(OFFSET($H$3,0,0,'Données projet'!$E$14+1,1))</f>
        <v>#N/A</v>
      </c>
      <c r="DU13" s="61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18"/>
        <v>0</v>
      </c>
      <c r="EE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1" t="e">
        <f t="shared" si="20"/>
        <v>#N/A</v>
      </c>
      <c r="EO13" s="61" t="e">
        <f ca="1">AVERAGE(OFFSET($EN$3,0,0,'Données projet'!$E$15+1,1))-AVERAGE(OFFSET($H$3,0,0,'Données projet'!$E$15+1,1))</f>
        <v>#N/A</v>
      </c>
      <c r="EP13" s="61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1"/>
        <v>0</v>
      </c>
      <c r="EZ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1" t="e">
        <f t="shared" si="23"/>
        <v>#N/A</v>
      </c>
      <c r="FJ13" s="61" t="e">
        <f ca="1">AVERAGE(OFFSET($FI$3,0,0,'Données projet'!$E$16+1,1))-AVERAGE(OFFSET($H$3,0,0,'Données projet'!$E$16+1,1))</f>
        <v>#N/A</v>
      </c>
      <c r="FK13" s="61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24"/>
        <v>0</v>
      </c>
      <c r="FU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1" t="e">
        <f t="shared" si="26"/>
        <v>#N/A</v>
      </c>
      <c r="GE13" s="61" t="e">
        <f ca="1">AVERAGE(OFFSET($GD$3,0,0,'Données projet'!$E$17+1,1))-AVERAGE(OFFSET($H$3,0,0,'Données projet'!$E$17+1,1))</f>
        <v>#N/A</v>
      </c>
      <c r="GF13" s="61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27"/>
        <v>0</v>
      </c>
      <c r="GP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1" t="e">
        <f t="shared" si="29"/>
        <v>#N/A</v>
      </c>
      <c r="GZ13" s="61" t="e">
        <f ca="1">AVERAGE(OFFSET($GY$3,0,0,'Données projet'!$E$18+1,1))-AVERAGE(OFFSET($H$3,0,0,'Données projet'!$E$18+1,1))</f>
        <v>#N/A</v>
      </c>
      <c r="HA13" s="61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30"/>
        <v>0</v>
      </c>
    </row>
    <row r="14" spans="1:218" s="5" customFormat="1" x14ac:dyDescent="0.45">
      <c r="A14" s="11">
        <f t="shared" si="31"/>
        <v>11</v>
      </c>
      <c r="B14" s="76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9">
        <f t="shared" si="1"/>
        <v>183.33333333333334</v>
      </c>
      <c r="I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5.15</v>
      </c>
      <c r="N14" s="14">
        <f>IF('Données projet'!$A$36&gt;35,N13+M14-V13,IF(A14&lt;'Données projet'!$A$36,$K$205^A14,IF(A14='Données projet'!$A$36,'Données projet'!$B$36,N13+M14-V13)))</f>
        <v>12.795594647554333</v>
      </c>
      <c r="O14" s="14">
        <f>N14*VLOOKUP('Données projet'!$B$9,Paramètres!$A$1:$I$88,3,0)*VLOOKUP('Données projet'!$B$9,Paramètres!$A$1:$I$88,5,0)</f>
        <v>7.6517655992374918</v>
      </c>
      <c r="P14" s="14">
        <f t="shared" si="33"/>
        <v>2.7825556928915245</v>
      </c>
      <c r="Q14" s="22">
        <f t="shared" si="2"/>
        <v>18.173109583791369</v>
      </c>
      <c r="R14" s="61">
        <f t="shared" si="0"/>
        <v>212.66890819290549</v>
      </c>
      <c r="S14" s="61">
        <f ca="1">AVERAGE(OFFSET($R$3,0,0,'Données projet'!$E$9+1,1))-AVERAGE(OFFSET($H$3,0,0,'Données projet'!$E$9+1,1))</f>
        <v>445.53168057836308</v>
      </c>
      <c r="T14" s="61">
        <f t="shared" si="34"/>
        <v>326.78684646135241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projet'!$B$10,Paramètres!$A$1:$I$88,3,0)*VLOOKUP('Données projet'!$B$10,Paramètres!$A$1:$I$88,5,0)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1">
        <f t="shared" si="5"/>
        <v>209.69442241675455</v>
      </c>
      <c r="AN14" s="61">
        <f ca="1">AVERAGE(OFFSET($AM$3,0,0,'Données projet'!$E$10+1,1))-AVERAGE(OFFSET($H$3,0,0,'Données projet'!$E$10+1,1))</f>
        <v>375.77859820466693</v>
      </c>
      <c r="AO14" s="61">
        <f t="shared" si="36"/>
        <v>242.84781402593856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6"/>
        <v>0</v>
      </c>
      <c r="AY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1.8571428571428572</v>
      </c>
      <c r="BD14" s="13">
        <f>IF('Données projet'!$A$88&gt;35,BD13+BC14-BL13,IF(A14&lt;'Données projet'!$A$88,$BA$205^A14,IF(A14='Données projet'!$A$88,'Données projet'!$B$88,BD13+BC14-BL13)))</f>
        <v>20.428571428571431</v>
      </c>
      <c r="BE14" s="14">
        <f>BD14*VLOOKUP('Données projet'!$B$11,Paramètres!$A$1:$I$88,3,0)*VLOOKUP('Données projet'!$B$11,Paramètres!$A$1:$I$88,5,0)</f>
        <v>20.714571428571432</v>
      </c>
      <c r="BF14" s="14">
        <f t="shared" si="37"/>
        <v>6.7083157572760435</v>
      </c>
      <c r="BG14" s="22">
        <f t="shared" si="7"/>
        <v>47.761528515351017</v>
      </c>
      <c r="BH14" s="61">
        <f t="shared" si="8"/>
        <v>242.25732712446515</v>
      </c>
      <c r="BI14" s="61">
        <f ca="1">AVERAGE(OFFSET($BH$3,0,0,'Données projet'!$E$11+1,1))-AVERAGE(OFFSET($H$3,0,0,'Données projet'!$E$11+1,1))</f>
        <v>433.57989081194</v>
      </c>
      <c r="BJ14" s="61">
        <f t="shared" si="38"/>
        <v>182.52060621271355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9"/>
        <v>0</v>
      </c>
      <c r="BT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1" t="e">
        <f t="shared" si="11"/>
        <v>#N/A</v>
      </c>
      <c r="CD14" s="61" t="e">
        <f ca="1">AVERAGE(OFFSET($CC$3,0,0,'Données projet'!$E$12+1,1))-AVERAGE(OFFSET($H$3,0,0,'Données projet'!$E$12+1,1))</f>
        <v>#N/A</v>
      </c>
      <c r="CE14" s="61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2"/>
        <v>0</v>
      </c>
      <c r="CO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1" t="e">
        <f t="shared" si="14"/>
        <v>#N/A</v>
      </c>
      <c r="CY14" s="61" t="e">
        <f ca="1">AVERAGE(OFFSET($CX$3,0,0,'Données projet'!$E$13+1,1))-AVERAGE(OFFSET($H$3,0,0,'Données projet'!$E$13+1,1))</f>
        <v>#N/A</v>
      </c>
      <c r="CZ14" s="61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15"/>
        <v>0</v>
      </c>
      <c r="DJ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1" t="e">
        <f t="shared" si="17"/>
        <v>#N/A</v>
      </c>
      <c r="DT14" s="61" t="e">
        <f ca="1">AVERAGE(OFFSET($DS$3,0,0,'Données projet'!$E$14+1,1))-AVERAGE(OFFSET($H$3,0,0,'Données projet'!$E$14+1,1))</f>
        <v>#N/A</v>
      </c>
      <c r="DU14" s="61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18"/>
        <v>0</v>
      </c>
      <c r="EE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1" t="e">
        <f t="shared" si="20"/>
        <v>#N/A</v>
      </c>
      <c r="EO14" s="61" t="e">
        <f ca="1">AVERAGE(OFFSET($EN$3,0,0,'Données projet'!$E$15+1,1))-AVERAGE(OFFSET($H$3,0,0,'Données projet'!$E$15+1,1))</f>
        <v>#N/A</v>
      </c>
      <c r="EP14" s="61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1"/>
        <v>0</v>
      </c>
      <c r="EZ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1" t="e">
        <f t="shared" si="23"/>
        <v>#N/A</v>
      </c>
      <c r="FJ14" s="61" t="e">
        <f ca="1">AVERAGE(OFFSET($FI$3,0,0,'Données projet'!$E$16+1,1))-AVERAGE(OFFSET($H$3,0,0,'Données projet'!$E$16+1,1))</f>
        <v>#N/A</v>
      </c>
      <c r="FK14" s="61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24"/>
        <v>0</v>
      </c>
      <c r="FU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1" t="e">
        <f t="shared" si="26"/>
        <v>#N/A</v>
      </c>
      <c r="GE14" s="61" t="e">
        <f ca="1">AVERAGE(OFFSET($GD$3,0,0,'Données projet'!$E$17+1,1))-AVERAGE(OFFSET($H$3,0,0,'Données projet'!$E$17+1,1))</f>
        <v>#N/A</v>
      </c>
      <c r="GF14" s="61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27"/>
        <v>0</v>
      </c>
      <c r="GP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1" t="e">
        <f t="shared" si="29"/>
        <v>#N/A</v>
      </c>
      <c r="GZ14" s="61" t="e">
        <f ca="1">AVERAGE(OFFSET($GY$3,0,0,'Données projet'!$E$18+1,1))-AVERAGE(OFFSET($H$3,0,0,'Données projet'!$E$18+1,1))</f>
        <v>#N/A</v>
      </c>
      <c r="HA14" s="61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30"/>
        <v>0</v>
      </c>
    </row>
    <row r="15" spans="1:218" s="5" customFormat="1" x14ac:dyDescent="0.45">
      <c r="A15" s="11">
        <f t="shared" si="31"/>
        <v>12</v>
      </c>
      <c r="B15" s="76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9">
        <f t="shared" si="1"/>
        <v>183.33333333333334</v>
      </c>
      <c r="I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5.15</v>
      </c>
      <c r="N15" s="14">
        <f>IF('Données projet'!$A$36&gt;35,N14+M15-V14,IF(A15&lt;'Données projet'!$A$36,$K$205^A15,IF(A15='Données projet'!$A$36,'Données projet'!$B$36,N14+M15-V14)))</f>
        <v>16.132524555457039</v>
      </c>
      <c r="O15" s="14">
        <f>N15*VLOOKUP('Données projet'!$B$9,Paramètres!$A$1:$I$88,3,0)*VLOOKUP('Données projet'!$B$9,Paramètres!$A$1:$I$88,5,0)</f>
        <v>9.6472496841633095</v>
      </c>
      <c r="P15" s="14">
        <f t="shared" si="33"/>
        <v>3.4148451437084351</v>
      </c>
      <c r="Q15" s="22">
        <f t="shared" si="2"/>
        <v>22.749815158543289</v>
      </c>
      <c r="R15" s="61">
        <f t="shared" si="0"/>
        <v>219.77959261127617</v>
      </c>
      <c r="S15" s="61">
        <f ca="1">AVERAGE(OFFSET($R$3,0,0,'Données projet'!$E$9+1,1))-AVERAGE(OFFSET($H$3,0,0,'Données projet'!$E$9+1,1))</f>
        <v>445.53168057836308</v>
      </c>
      <c r="T15" s="61">
        <f t="shared" si="34"/>
        <v>326.78684646135241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projet'!$B$10,Paramètres!$A$1:$I$88,3,0)*VLOOKUP('Données projet'!$B$10,Paramètres!$A$1:$I$88,5,0)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1">
        <f t="shared" si="5"/>
        <v>216.1557188077249</v>
      </c>
      <c r="AN15" s="61">
        <f ca="1">AVERAGE(OFFSET($AM$3,0,0,'Données projet'!$E$10+1,1))-AVERAGE(OFFSET($H$3,0,0,'Données projet'!$E$10+1,1))</f>
        <v>375.77859820466693</v>
      </c>
      <c r="AO15" s="61">
        <f t="shared" si="36"/>
        <v>242.84781402593856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6"/>
        <v>0</v>
      </c>
      <c r="AY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1.8571428571428572</v>
      </c>
      <c r="BD15" s="13">
        <f>IF('Données projet'!$A$88&gt;35,BD14+BC15-BL14,IF(A15&lt;'Données projet'!$A$88,$BA$205^A15,IF(A15='Données projet'!$A$88,'Données projet'!$B$88,BD14+BC15-BL14)))</f>
        <v>22.285714285714288</v>
      </c>
      <c r="BE15" s="14">
        <f>BD15*VLOOKUP('Données projet'!$B$11,Paramètres!$A$1:$I$88,3,0)*VLOOKUP('Données projet'!$B$11,Paramètres!$A$1:$I$88,5,0)</f>
        <v>22.597714285714289</v>
      </c>
      <c r="BF15" s="14">
        <f t="shared" si="37"/>
        <v>7.2444174640924599</v>
      </c>
      <c r="BG15" s="22">
        <f t="shared" si="7"/>
        <v>51.97504613091342</v>
      </c>
      <c r="BH15" s="61">
        <f t="shared" si="8"/>
        <v>249.0048235836463</v>
      </c>
      <c r="BI15" s="61">
        <f ca="1">AVERAGE(OFFSET($BH$3,0,0,'Données projet'!$E$11+1,1))-AVERAGE(OFFSET($H$3,0,0,'Données projet'!$E$11+1,1))</f>
        <v>433.57989081194</v>
      </c>
      <c r="BJ15" s="61">
        <f t="shared" si="38"/>
        <v>182.52060621271355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9"/>
        <v>0</v>
      </c>
      <c r="BT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1" t="e">
        <f t="shared" si="11"/>
        <v>#N/A</v>
      </c>
      <c r="CD15" s="61" t="e">
        <f ca="1">AVERAGE(OFFSET($CC$3,0,0,'Données projet'!$E$12+1,1))-AVERAGE(OFFSET($H$3,0,0,'Données projet'!$E$12+1,1))</f>
        <v>#N/A</v>
      </c>
      <c r="CE15" s="61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2"/>
        <v>0</v>
      </c>
      <c r="CO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1" t="e">
        <f t="shared" si="14"/>
        <v>#N/A</v>
      </c>
      <c r="CY15" s="61" t="e">
        <f ca="1">AVERAGE(OFFSET($CX$3,0,0,'Données projet'!$E$13+1,1))-AVERAGE(OFFSET($H$3,0,0,'Données projet'!$E$13+1,1))</f>
        <v>#N/A</v>
      </c>
      <c r="CZ15" s="61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15"/>
        <v>0</v>
      </c>
      <c r="DJ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1" t="e">
        <f t="shared" si="17"/>
        <v>#N/A</v>
      </c>
      <c r="DT15" s="61" t="e">
        <f ca="1">AVERAGE(OFFSET($DS$3,0,0,'Données projet'!$E$14+1,1))-AVERAGE(OFFSET($H$3,0,0,'Données projet'!$E$14+1,1))</f>
        <v>#N/A</v>
      </c>
      <c r="DU15" s="61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18"/>
        <v>0</v>
      </c>
      <c r="EE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1" t="e">
        <f t="shared" si="20"/>
        <v>#N/A</v>
      </c>
      <c r="EO15" s="61" t="e">
        <f ca="1">AVERAGE(OFFSET($EN$3,0,0,'Données projet'!$E$15+1,1))-AVERAGE(OFFSET($H$3,0,0,'Données projet'!$E$15+1,1))</f>
        <v>#N/A</v>
      </c>
      <c r="EP15" s="61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1"/>
        <v>0</v>
      </c>
      <c r="EZ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1" t="e">
        <f t="shared" si="23"/>
        <v>#N/A</v>
      </c>
      <c r="FJ15" s="61" t="e">
        <f ca="1">AVERAGE(OFFSET($FI$3,0,0,'Données projet'!$E$16+1,1))-AVERAGE(OFFSET($H$3,0,0,'Données projet'!$E$16+1,1))</f>
        <v>#N/A</v>
      </c>
      <c r="FK15" s="61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24"/>
        <v>0</v>
      </c>
      <c r="FU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1" t="e">
        <f t="shared" si="26"/>
        <v>#N/A</v>
      </c>
      <c r="GE15" s="61" t="e">
        <f ca="1">AVERAGE(OFFSET($GD$3,0,0,'Données projet'!$E$17+1,1))-AVERAGE(OFFSET($H$3,0,0,'Données projet'!$E$17+1,1))</f>
        <v>#N/A</v>
      </c>
      <c r="GF15" s="61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27"/>
        <v>0</v>
      </c>
      <c r="GP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1" t="e">
        <f t="shared" si="29"/>
        <v>#N/A</v>
      </c>
      <c r="GZ15" s="61" t="e">
        <f ca="1">AVERAGE(OFFSET($GY$3,0,0,'Données projet'!$E$18+1,1))-AVERAGE(OFFSET($H$3,0,0,'Données projet'!$E$18+1,1))</f>
        <v>#N/A</v>
      </c>
      <c r="HA15" s="61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30"/>
        <v>0</v>
      </c>
    </row>
    <row r="16" spans="1:218" s="5" customFormat="1" x14ac:dyDescent="0.45">
      <c r="A16" s="11">
        <f t="shared" si="31"/>
        <v>13</v>
      </c>
      <c r="B16" s="76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9">
        <f t="shared" si="1"/>
        <v>183.33333333333334</v>
      </c>
      <c r="I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5.15</v>
      </c>
      <c r="N16" s="14">
        <f>IF('Données projet'!$A$36&gt;35,N15+M16-V15,IF(A16&lt;'Données projet'!$A$36,$K$205^A16,IF(A16='Données projet'!$A$36,'Données projet'!$B$36,N15+M16-V15)))</f>
        <v>20.339683750623376</v>
      </c>
      <c r="O16" s="14">
        <f>N16*VLOOKUP('Données projet'!$B$9,Paramètres!$A$1:$I$88,3,0)*VLOOKUP('Données projet'!$B$9,Paramètres!$A$1:$I$88,5,0)</f>
        <v>12.163130882872778</v>
      </c>
      <c r="P16" s="14">
        <f t="shared" si="33"/>
        <v>4.1908118444131688</v>
      </c>
      <c r="Q16" s="22">
        <f t="shared" si="2"/>
        <v>28.483116916689692</v>
      </c>
      <c r="R16" s="61">
        <f t="shared" si="0"/>
        <v>228.02411716830849</v>
      </c>
      <c r="S16" s="61">
        <f ca="1">AVERAGE(OFFSET($R$3,0,0,'Données projet'!$E$9+1,1))-AVERAGE(OFFSET($H$3,0,0,'Données projet'!$E$9+1,1))</f>
        <v>445.53168057836308</v>
      </c>
      <c r="T16" s="61">
        <f t="shared" si="34"/>
        <v>326.78684646135241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projet'!$B$10,Paramètres!$A$1:$I$88,3,0)*VLOOKUP('Données projet'!$B$10,Paramètres!$A$1:$I$88,5,0)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1">
        <f t="shared" si="5"/>
        <v>223.61265559493503</v>
      </c>
      <c r="AN16" s="61">
        <f ca="1">AVERAGE(OFFSET($AM$3,0,0,'Données projet'!$E$10+1,1))-AVERAGE(OFFSET($H$3,0,0,'Données projet'!$E$10+1,1))</f>
        <v>375.77859820466693</v>
      </c>
      <c r="AO16" s="61">
        <f t="shared" si="36"/>
        <v>242.84781402593856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6"/>
        <v>0</v>
      </c>
      <c r="AY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1.8571428571428572</v>
      </c>
      <c r="BD16" s="13">
        <f>IF('Données projet'!$A$88&gt;35,BD15+BC16-BL15,IF(A16&lt;'Données projet'!$A$88,$BA$205^A16,IF(A16='Données projet'!$A$88,'Données projet'!$B$88,BD15+BC16-BL15)))</f>
        <v>24.142857142857146</v>
      </c>
      <c r="BE16" s="14">
        <f>BD16*VLOOKUP('Données projet'!$B$11,Paramètres!$A$1:$I$88,3,0)*VLOOKUP('Données projet'!$B$11,Paramètres!$A$1:$I$88,5,0)</f>
        <v>24.480857142857147</v>
      </c>
      <c r="BF16" s="14">
        <f t="shared" si="37"/>
        <v>7.775337797987973</v>
      </c>
      <c r="BG16" s="22">
        <f t="shared" si="7"/>
        <v>56.179539521971918</v>
      </c>
      <c r="BH16" s="61">
        <f t="shared" si="8"/>
        <v>255.72053977359073</v>
      </c>
      <c r="BI16" s="61">
        <f ca="1">AVERAGE(OFFSET($BH$3,0,0,'Données projet'!$E$11+1,1))-AVERAGE(OFFSET($H$3,0,0,'Données projet'!$E$11+1,1))</f>
        <v>433.57989081194</v>
      </c>
      <c r="BJ16" s="61">
        <f t="shared" si="38"/>
        <v>182.52060621271355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9"/>
        <v>0</v>
      </c>
      <c r="BT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1" t="e">
        <f t="shared" si="11"/>
        <v>#N/A</v>
      </c>
      <c r="CD16" s="61" t="e">
        <f ca="1">AVERAGE(OFFSET($CC$3,0,0,'Données projet'!$E$12+1,1))-AVERAGE(OFFSET($H$3,0,0,'Données projet'!$E$12+1,1))</f>
        <v>#N/A</v>
      </c>
      <c r="CE16" s="61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2"/>
        <v>0</v>
      </c>
      <c r="CO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1" t="e">
        <f t="shared" si="14"/>
        <v>#N/A</v>
      </c>
      <c r="CY16" s="61" t="e">
        <f ca="1">AVERAGE(OFFSET($CX$3,0,0,'Données projet'!$E$13+1,1))-AVERAGE(OFFSET($H$3,0,0,'Données projet'!$E$13+1,1))</f>
        <v>#N/A</v>
      </c>
      <c r="CZ16" s="61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15"/>
        <v>0</v>
      </c>
      <c r="DJ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1" t="e">
        <f t="shared" si="17"/>
        <v>#N/A</v>
      </c>
      <c r="DT16" s="61" t="e">
        <f ca="1">AVERAGE(OFFSET($DS$3,0,0,'Données projet'!$E$14+1,1))-AVERAGE(OFFSET($H$3,0,0,'Données projet'!$E$14+1,1))</f>
        <v>#N/A</v>
      </c>
      <c r="DU16" s="61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18"/>
        <v>0</v>
      </c>
      <c r="EE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1" t="e">
        <f t="shared" si="20"/>
        <v>#N/A</v>
      </c>
      <c r="EO16" s="61" t="e">
        <f ca="1">AVERAGE(OFFSET($EN$3,0,0,'Données projet'!$E$15+1,1))-AVERAGE(OFFSET($H$3,0,0,'Données projet'!$E$15+1,1))</f>
        <v>#N/A</v>
      </c>
      <c r="EP16" s="61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1"/>
        <v>0</v>
      </c>
      <c r="EZ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1" t="e">
        <f t="shared" si="23"/>
        <v>#N/A</v>
      </c>
      <c r="FJ16" s="61" t="e">
        <f ca="1">AVERAGE(OFFSET($FI$3,0,0,'Données projet'!$E$16+1,1))-AVERAGE(OFFSET($H$3,0,0,'Données projet'!$E$16+1,1))</f>
        <v>#N/A</v>
      </c>
      <c r="FK16" s="61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24"/>
        <v>0</v>
      </c>
      <c r="FU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1" t="e">
        <f t="shared" si="26"/>
        <v>#N/A</v>
      </c>
      <c r="GE16" s="61" t="e">
        <f ca="1">AVERAGE(OFFSET($GD$3,0,0,'Données projet'!$E$17+1,1))-AVERAGE(OFFSET($H$3,0,0,'Données projet'!$E$17+1,1))</f>
        <v>#N/A</v>
      </c>
      <c r="GF16" s="61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27"/>
        <v>0</v>
      </c>
      <c r="GP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1" t="e">
        <f t="shared" si="29"/>
        <v>#N/A</v>
      </c>
      <c r="GZ16" s="61" t="e">
        <f ca="1">AVERAGE(OFFSET($GY$3,0,0,'Données projet'!$E$18+1,1))-AVERAGE(OFFSET($H$3,0,0,'Données projet'!$E$18+1,1))</f>
        <v>#N/A</v>
      </c>
      <c r="HA16" s="61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30"/>
        <v>0</v>
      </c>
    </row>
    <row r="17" spans="1:218" s="5" customFormat="1" x14ac:dyDescent="0.45">
      <c r="A17" s="11">
        <f t="shared" si="31"/>
        <v>14</v>
      </c>
      <c r="B17" s="76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9">
        <f t="shared" si="1"/>
        <v>183.33333333333334</v>
      </c>
      <c r="I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5.15</v>
      </c>
      <c r="N17" s="14">
        <f>IF('Données projet'!$A$36&gt;35,N16+M17-V16,IF(A17&lt;'Données projet'!$A$36,$K$205^A17,IF(A17='Données projet'!$A$36,'Données projet'!$B$36,N16+M17-V16)))</f>
        <v>25.644017069568459</v>
      </c>
      <c r="O17" s="14">
        <f>N17*VLOOKUP('Données projet'!$B$9,Paramètres!$A$1:$I$88,3,0)*VLOOKUP('Données projet'!$B$9,Paramètres!$A$1:$I$88,5,0)</f>
        <v>15.335122207601941</v>
      </c>
      <c r="P17" s="14">
        <f t="shared" si="33"/>
        <v>5.1431040577731224</v>
      </c>
      <c r="Q17" s="22">
        <f t="shared" si="2"/>
        <v>35.666244078861567</v>
      </c>
      <c r="R17" s="61">
        <f t="shared" si="0"/>
        <v>237.69610585113475</v>
      </c>
      <c r="S17" s="61">
        <f ca="1">AVERAGE(OFFSET($R$3,0,0,'Données projet'!$E$9+1,1))-AVERAGE(OFFSET($H$3,0,0,'Données projet'!$E$9+1,1))</f>
        <v>445.53168057836308</v>
      </c>
      <c r="T17" s="61">
        <f t="shared" si="34"/>
        <v>326.78684646135241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projet'!$B$10,Paramètres!$A$1:$I$88,3,0)*VLOOKUP('Données projet'!$B$10,Paramètres!$A$1:$I$88,5,0)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1">
        <f t="shared" si="5"/>
        <v>232.33057390045244</v>
      </c>
      <c r="AN17" s="61">
        <f ca="1">AVERAGE(OFFSET($AM$3,0,0,'Données projet'!$E$10+1,1))-AVERAGE(OFFSET($H$3,0,0,'Données projet'!$E$10+1,1))</f>
        <v>375.77859820466693</v>
      </c>
      <c r="AO17" s="61">
        <f t="shared" si="36"/>
        <v>242.84781402593856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6"/>
        <v>0</v>
      </c>
      <c r="AY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1.8571428571428572</v>
      </c>
      <c r="BD17" s="13">
        <f>IF('Données projet'!$A$88&gt;35,BD16+BC17-BL16,IF(A17&lt;'Données projet'!$A$88,$BA$205^A17,IF(A17='Données projet'!$A$88,'Données projet'!$B$88,BD16+BC17-BL16)))</f>
        <v>26.000000000000004</v>
      </c>
      <c r="BE17" s="14">
        <f>BD17*VLOOKUP('Données projet'!$B$11,Paramètres!$A$1:$I$88,3,0)*VLOOKUP('Données projet'!$B$11,Paramètres!$A$1:$I$88,5,0)</f>
        <v>26.364000000000004</v>
      </c>
      <c r="BF17" s="14">
        <f t="shared" si="37"/>
        <v>8.3015206428460289</v>
      </c>
      <c r="BG17" s="22">
        <f t="shared" si="7"/>
        <v>60.375781786290162</v>
      </c>
      <c r="BH17" s="61">
        <f t="shared" si="8"/>
        <v>262.40564355856338</v>
      </c>
      <c r="BI17" s="61">
        <f ca="1">AVERAGE(OFFSET($BH$3,0,0,'Données projet'!$E$11+1,1))-AVERAGE(OFFSET($H$3,0,0,'Données projet'!$E$11+1,1))</f>
        <v>433.57989081194</v>
      </c>
      <c r="BJ17" s="61">
        <f t="shared" si="38"/>
        <v>182.52060621271355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9"/>
        <v>0</v>
      </c>
      <c r="BT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1" t="e">
        <f t="shared" si="11"/>
        <v>#N/A</v>
      </c>
      <c r="CD17" s="61" t="e">
        <f ca="1">AVERAGE(OFFSET($CC$3,0,0,'Données projet'!$E$12+1,1))-AVERAGE(OFFSET($H$3,0,0,'Données projet'!$E$12+1,1))</f>
        <v>#N/A</v>
      </c>
      <c r="CE17" s="61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2"/>
        <v>0</v>
      </c>
      <c r="CO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1" t="e">
        <f t="shared" si="14"/>
        <v>#N/A</v>
      </c>
      <c r="CY17" s="61" t="e">
        <f ca="1">AVERAGE(OFFSET($CX$3,0,0,'Données projet'!$E$13+1,1))-AVERAGE(OFFSET($H$3,0,0,'Données projet'!$E$13+1,1))</f>
        <v>#N/A</v>
      </c>
      <c r="CZ17" s="61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15"/>
        <v>0</v>
      </c>
      <c r="DJ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1" t="e">
        <f t="shared" si="17"/>
        <v>#N/A</v>
      </c>
      <c r="DT17" s="61" t="e">
        <f ca="1">AVERAGE(OFFSET($DS$3,0,0,'Données projet'!$E$14+1,1))-AVERAGE(OFFSET($H$3,0,0,'Données projet'!$E$14+1,1))</f>
        <v>#N/A</v>
      </c>
      <c r="DU17" s="61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18"/>
        <v>0</v>
      </c>
      <c r="EE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1" t="e">
        <f t="shared" si="20"/>
        <v>#N/A</v>
      </c>
      <c r="EO17" s="61" t="e">
        <f ca="1">AVERAGE(OFFSET($EN$3,0,0,'Données projet'!$E$15+1,1))-AVERAGE(OFFSET($H$3,0,0,'Données projet'!$E$15+1,1))</f>
        <v>#N/A</v>
      </c>
      <c r="EP17" s="61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1"/>
        <v>0</v>
      </c>
      <c r="EZ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1" t="e">
        <f t="shared" si="23"/>
        <v>#N/A</v>
      </c>
      <c r="FJ17" s="61" t="e">
        <f ca="1">AVERAGE(OFFSET($FI$3,0,0,'Données projet'!$E$16+1,1))-AVERAGE(OFFSET($H$3,0,0,'Données projet'!$E$16+1,1))</f>
        <v>#N/A</v>
      </c>
      <c r="FK17" s="61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24"/>
        <v>0</v>
      </c>
      <c r="FU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1" t="e">
        <f t="shared" si="26"/>
        <v>#N/A</v>
      </c>
      <c r="GE17" s="61" t="e">
        <f ca="1">AVERAGE(OFFSET($GD$3,0,0,'Données projet'!$E$17+1,1))-AVERAGE(OFFSET($H$3,0,0,'Données projet'!$E$17+1,1))</f>
        <v>#N/A</v>
      </c>
      <c r="GF17" s="61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27"/>
        <v>0</v>
      </c>
      <c r="GP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1" t="e">
        <f t="shared" si="29"/>
        <v>#N/A</v>
      </c>
      <c r="GZ17" s="61" t="e">
        <f ca="1">AVERAGE(OFFSET($GY$3,0,0,'Données projet'!$E$18+1,1))-AVERAGE(OFFSET($H$3,0,0,'Données projet'!$E$18+1,1))</f>
        <v>#N/A</v>
      </c>
      <c r="HA17" s="61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30"/>
        <v>0</v>
      </c>
    </row>
    <row r="18" spans="1:218" s="5" customFormat="1" x14ac:dyDescent="0.45">
      <c r="A18" s="11">
        <f t="shared" si="31"/>
        <v>15</v>
      </c>
      <c r="B18" s="76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9">
        <f t="shared" si="1"/>
        <v>183.33333333333334</v>
      </c>
      <c r="I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5.15</v>
      </c>
      <c r="N18" s="14">
        <f>IF('Données projet'!$A$36&gt;35,N17+M18-V17,IF(A18&lt;'Données projet'!$A$36,$K$205^A18,IF(A18='Données projet'!$A$36,'Données projet'!$B$36,N17+M18-V17)))</f>
        <v>32.331653703522491</v>
      </c>
      <c r="O18" s="14">
        <f>N18*VLOOKUP('Données projet'!$B$9,Paramètres!$A$1:$I$88,3,0)*VLOOKUP('Données projet'!$B$9,Paramètres!$A$1:$I$88,5,0)</f>
        <v>19.33432891470645</v>
      </c>
      <c r="P18" s="14">
        <f t="shared" si="33"/>
        <v>6.3117888206661563</v>
      </c>
      <c r="Q18" s="22">
        <f t="shared" si="2"/>
        <v>44.666988389107281</v>
      </c>
      <c r="R18" s="61">
        <f t="shared" si="0"/>
        <v>249.16373832198832</v>
      </c>
      <c r="S18" s="61">
        <f ca="1">AVERAGE(OFFSET($R$3,0,0,'Données projet'!$E$9+1,1))-AVERAGE(OFFSET($H$3,0,0,'Données projet'!$E$9+1,1))</f>
        <v>445.53168057836308</v>
      </c>
      <c r="T18" s="61">
        <f t="shared" si="34"/>
        <v>326.78684646135241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projet'!$B$10,Paramètres!$A$1:$I$88,3,0)*VLOOKUP('Données projet'!$B$10,Paramètres!$A$1:$I$88,5,0)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1">
        <f t="shared" si="5"/>
        <v>242.64394483778028</v>
      </c>
      <c r="AN18" s="61">
        <f ca="1">AVERAGE(OFFSET($AM$3,0,0,'Données projet'!$E$10+1,1))-AVERAGE(OFFSET($H$3,0,0,'Données projet'!$E$10+1,1))</f>
        <v>375.77859820466693</v>
      </c>
      <c r="AO18" s="61">
        <f t="shared" si="36"/>
        <v>242.84781402593856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6"/>
        <v>0</v>
      </c>
      <c r="AY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1.8571428571428572</v>
      </c>
      <c r="BD18" s="13">
        <f>IF('Données projet'!$A$88&gt;35,BD17+BC18-BL17,IF(A18&lt;'Données projet'!$A$88,$BA$205^A18,IF(A18='Données projet'!$A$88,'Données projet'!$B$88,BD17+BC18-BL17)))</f>
        <v>27.857142857142861</v>
      </c>
      <c r="BE18" s="14">
        <f>BD18*VLOOKUP('Données projet'!$B$11,Paramètres!$A$1:$I$88,3,0)*VLOOKUP('Données projet'!$B$11,Paramètres!$A$1:$I$88,5,0)</f>
        <v>28.247142857142865</v>
      </c>
      <c r="BF18" s="14">
        <f t="shared" si="37"/>
        <v>8.8233428773446914</v>
      </c>
      <c r="BG18" s="22">
        <f t="shared" si="7"/>
        <v>64.564429320899151</v>
      </c>
      <c r="BH18" s="61">
        <f t="shared" si="8"/>
        <v>269.06117925378021</v>
      </c>
      <c r="BI18" s="61">
        <f ca="1">AVERAGE(OFFSET($BH$3,0,0,'Données projet'!$E$11+1,1))-AVERAGE(OFFSET($H$3,0,0,'Données projet'!$E$11+1,1))</f>
        <v>433.57989081194</v>
      </c>
      <c r="BJ18" s="61">
        <f t="shared" si="38"/>
        <v>182.52060621271355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9"/>
        <v>0</v>
      </c>
      <c r="BT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1" t="e">
        <f t="shared" si="11"/>
        <v>#N/A</v>
      </c>
      <c r="CD18" s="61" t="e">
        <f ca="1">AVERAGE(OFFSET($CC$3,0,0,'Données projet'!$E$12+1,1))-AVERAGE(OFFSET($H$3,0,0,'Données projet'!$E$12+1,1))</f>
        <v>#N/A</v>
      </c>
      <c r="CE18" s="61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2"/>
        <v>0</v>
      </c>
      <c r="CO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1" t="e">
        <f t="shared" si="14"/>
        <v>#N/A</v>
      </c>
      <c r="CY18" s="61" t="e">
        <f ca="1">AVERAGE(OFFSET($CX$3,0,0,'Données projet'!$E$13+1,1))-AVERAGE(OFFSET($H$3,0,0,'Données projet'!$E$13+1,1))</f>
        <v>#N/A</v>
      </c>
      <c r="CZ18" s="61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15"/>
        <v>0</v>
      </c>
      <c r="DJ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1" t="e">
        <f t="shared" si="17"/>
        <v>#N/A</v>
      </c>
      <c r="DT18" s="61" t="e">
        <f ca="1">AVERAGE(OFFSET($DS$3,0,0,'Données projet'!$E$14+1,1))-AVERAGE(OFFSET($H$3,0,0,'Données projet'!$E$14+1,1))</f>
        <v>#N/A</v>
      </c>
      <c r="DU18" s="61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18"/>
        <v>0</v>
      </c>
      <c r="EE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1" t="e">
        <f t="shared" si="20"/>
        <v>#N/A</v>
      </c>
      <c r="EO18" s="61" t="e">
        <f ca="1">AVERAGE(OFFSET($EN$3,0,0,'Données projet'!$E$15+1,1))-AVERAGE(OFFSET($H$3,0,0,'Données projet'!$E$15+1,1))</f>
        <v>#N/A</v>
      </c>
      <c r="EP18" s="61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1"/>
        <v>0</v>
      </c>
      <c r="EZ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1" t="e">
        <f t="shared" si="23"/>
        <v>#N/A</v>
      </c>
      <c r="FJ18" s="61" t="e">
        <f ca="1">AVERAGE(OFFSET($FI$3,0,0,'Données projet'!$E$16+1,1))-AVERAGE(OFFSET($H$3,0,0,'Données projet'!$E$16+1,1))</f>
        <v>#N/A</v>
      </c>
      <c r="FK18" s="61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24"/>
        <v>0</v>
      </c>
      <c r="FU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1" t="e">
        <f t="shared" si="26"/>
        <v>#N/A</v>
      </c>
      <c r="GE18" s="61" t="e">
        <f ca="1">AVERAGE(OFFSET($GD$3,0,0,'Données projet'!$E$17+1,1))-AVERAGE(OFFSET($H$3,0,0,'Données projet'!$E$17+1,1))</f>
        <v>#N/A</v>
      </c>
      <c r="GF18" s="61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27"/>
        <v>0</v>
      </c>
      <c r="GP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1" t="e">
        <f t="shared" si="29"/>
        <v>#N/A</v>
      </c>
      <c r="GZ18" s="61" t="e">
        <f ca="1">AVERAGE(OFFSET($GY$3,0,0,'Données projet'!$E$18+1,1))-AVERAGE(OFFSET($H$3,0,0,'Données projet'!$E$18+1,1))</f>
        <v>#N/A</v>
      </c>
      <c r="HA18" s="61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30"/>
        <v>0</v>
      </c>
    </row>
    <row r="19" spans="1:218" s="5" customFormat="1" x14ac:dyDescent="0.45">
      <c r="A19" s="11">
        <f t="shared" si="31"/>
        <v>16</v>
      </c>
      <c r="B19" s="76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9">
        <f t="shared" si="1"/>
        <v>183.33333333333334</v>
      </c>
      <c r="I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5.15</v>
      </c>
      <c r="N19" s="14">
        <f>IF('Données projet'!$A$36&gt;35,N18+M19-V18,IF(A19&lt;'Données projet'!$A$36,$K$205^A19,IF(A19='Données projet'!$A$36,'Données projet'!$B$36,N18+M19-V18)))</f>
        <v>40.763341732641052</v>
      </c>
      <c r="O19" s="14">
        <f>N19*VLOOKUP('Données projet'!$B$9,Paramètres!$A$1:$I$88,3,0)*VLOOKUP('Données projet'!$B$9,Paramètres!$A$1:$I$88,5,0)</f>
        <v>24.37647835611935</v>
      </c>
      <c r="P19" s="14">
        <f t="shared" si="33"/>
        <v>7.7460377369723581</v>
      </c>
      <c r="Q19" s="22">
        <f t="shared" si="2"/>
        <v>55.946715528801384</v>
      </c>
      <c r="R19" s="61">
        <f t="shared" si="0"/>
        <v>262.88876145091547</v>
      </c>
      <c r="S19" s="61">
        <f ca="1">AVERAGE(OFFSET($R$3,0,0,'Données projet'!$E$9+1,1))-AVERAGE(OFFSET($H$3,0,0,'Données projet'!$E$9+1,1))</f>
        <v>445.53168057836308</v>
      </c>
      <c r="T19" s="61">
        <f t="shared" si="34"/>
        <v>326.78684646135241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projet'!$B$10,Paramètres!$A$1:$I$88,3,0)*VLOOKUP('Données projet'!$B$10,Paramètres!$A$1:$I$88,5,0)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1">
        <f t="shared" si="5"/>
        <v>254.97446065131192</v>
      </c>
      <c r="AN19" s="61">
        <f ca="1">AVERAGE(OFFSET($AM$3,0,0,'Données projet'!$E$10+1,1))-AVERAGE(OFFSET($H$3,0,0,'Données projet'!$E$10+1,1))</f>
        <v>375.77859820466693</v>
      </c>
      <c r="AO19" s="61">
        <f t="shared" si="36"/>
        <v>242.84781402593856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6"/>
        <v>0</v>
      </c>
      <c r="AY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1.8571428571428572</v>
      </c>
      <c r="BD19" s="13">
        <f>IF('Données projet'!$A$88&gt;35,BD18+BC19-BL18,IF(A19&lt;'Données projet'!$A$88,$BA$205^A19,IF(A19='Données projet'!$A$88,'Données projet'!$B$88,BD18+BC19-BL18)))</f>
        <v>29.714285714285719</v>
      </c>
      <c r="BE19" s="14">
        <f>BD19*VLOOKUP('Données projet'!$B$11,Paramètres!$A$1:$I$88,3,0)*VLOOKUP('Données projet'!$B$11,Paramètres!$A$1:$I$88,5,0)</f>
        <v>30.130285714285719</v>
      </c>
      <c r="BF19" s="14">
        <f t="shared" si="37"/>
        <v>9.3411282867693686</v>
      </c>
      <c r="BG19" s="22">
        <f t="shared" si="7"/>
        <v>68.74604605183761</v>
      </c>
      <c r="BH19" s="61">
        <f t="shared" si="8"/>
        <v>275.68809197395166</v>
      </c>
      <c r="BI19" s="61">
        <f ca="1">AVERAGE(OFFSET($BH$3,0,0,'Données projet'!$E$11+1,1))-AVERAGE(OFFSET($H$3,0,0,'Données projet'!$E$11+1,1))</f>
        <v>433.57989081194</v>
      </c>
      <c r="BJ19" s="61">
        <f t="shared" si="38"/>
        <v>182.52060621271355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9"/>
        <v>0</v>
      </c>
      <c r="BT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1" t="e">
        <f t="shared" si="11"/>
        <v>#N/A</v>
      </c>
      <c r="CD19" s="61" t="e">
        <f ca="1">AVERAGE(OFFSET($CC$3,0,0,'Données projet'!$E$12+1,1))-AVERAGE(OFFSET($H$3,0,0,'Données projet'!$E$12+1,1))</f>
        <v>#N/A</v>
      </c>
      <c r="CE19" s="61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2"/>
        <v>0</v>
      </c>
      <c r="CO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1" t="e">
        <f t="shared" si="14"/>
        <v>#N/A</v>
      </c>
      <c r="CY19" s="61" t="e">
        <f ca="1">AVERAGE(OFFSET($CX$3,0,0,'Données projet'!$E$13+1,1))-AVERAGE(OFFSET($H$3,0,0,'Données projet'!$E$13+1,1))</f>
        <v>#N/A</v>
      </c>
      <c r="CZ19" s="61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15"/>
        <v>0</v>
      </c>
      <c r="DJ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1" t="e">
        <f t="shared" si="17"/>
        <v>#N/A</v>
      </c>
      <c r="DT19" s="61" t="e">
        <f ca="1">AVERAGE(OFFSET($DS$3,0,0,'Données projet'!$E$14+1,1))-AVERAGE(OFFSET($H$3,0,0,'Données projet'!$E$14+1,1))</f>
        <v>#N/A</v>
      </c>
      <c r="DU19" s="61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18"/>
        <v>0</v>
      </c>
      <c r="EE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1" t="e">
        <f t="shared" si="20"/>
        <v>#N/A</v>
      </c>
      <c r="EO19" s="61" t="e">
        <f ca="1">AVERAGE(OFFSET($EN$3,0,0,'Données projet'!$E$15+1,1))-AVERAGE(OFFSET($H$3,0,0,'Données projet'!$E$15+1,1))</f>
        <v>#N/A</v>
      </c>
      <c r="EP19" s="61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1"/>
        <v>0</v>
      </c>
      <c r="EZ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1" t="e">
        <f t="shared" si="23"/>
        <v>#N/A</v>
      </c>
      <c r="FJ19" s="61" t="e">
        <f ca="1">AVERAGE(OFFSET($FI$3,0,0,'Données projet'!$E$16+1,1))-AVERAGE(OFFSET($H$3,0,0,'Données projet'!$E$16+1,1))</f>
        <v>#N/A</v>
      </c>
      <c r="FK19" s="61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24"/>
        <v>0</v>
      </c>
      <c r="FU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1" t="e">
        <f t="shared" si="26"/>
        <v>#N/A</v>
      </c>
      <c r="GE19" s="61" t="e">
        <f ca="1">AVERAGE(OFFSET($GD$3,0,0,'Données projet'!$E$17+1,1))-AVERAGE(OFFSET($H$3,0,0,'Données projet'!$E$17+1,1))</f>
        <v>#N/A</v>
      </c>
      <c r="GF19" s="61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27"/>
        <v>0</v>
      </c>
      <c r="GP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1" t="e">
        <f t="shared" si="29"/>
        <v>#N/A</v>
      </c>
      <c r="GZ19" s="61" t="e">
        <f ca="1">AVERAGE(OFFSET($GY$3,0,0,'Données projet'!$E$18+1,1))-AVERAGE(OFFSET($H$3,0,0,'Données projet'!$E$18+1,1))</f>
        <v>#N/A</v>
      </c>
      <c r="HA19" s="61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30"/>
        <v>0</v>
      </c>
    </row>
    <row r="20" spans="1:218" s="5" customFormat="1" x14ac:dyDescent="0.45">
      <c r="A20" s="11">
        <f t="shared" si="31"/>
        <v>17</v>
      </c>
      <c r="B20" s="76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9">
        <f t="shared" si="1"/>
        <v>183.33333333333334</v>
      </c>
      <c r="I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5.15</v>
      </c>
      <c r="N20" s="14">
        <f>IF('Données projet'!$A$36&gt;35,N19+M20-V19,IF(A20&lt;'Données projet'!$A$36,$K$205^A20,IF(A20='Données projet'!$A$36,'Données projet'!$B$36,N19+M20-V19)))</f>
        <v>51.393907792320604</v>
      </c>
      <c r="O20" s="14">
        <f>N20*VLOOKUP('Données projet'!$B$9,Paramètres!$A$1:$I$88,3,0)*VLOOKUP('Données projet'!$B$9,Paramètres!$A$1:$I$88,5,0)</f>
        <v>30.733556859807727</v>
      </c>
      <c r="P20" s="14">
        <f t="shared" si="33"/>
        <v>9.5061958388315109</v>
      </c>
      <c r="Q20" s="22">
        <f t="shared" si="2"/>
        <v>70.084235950130008</v>
      </c>
      <c r="R20" s="61">
        <f t="shared" si="0"/>
        <v>279.45036026600275</v>
      </c>
      <c r="S20" s="61">
        <f ca="1">AVERAGE(OFFSET($R$3,0,0,'Données projet'!$E$9+1,1))-AVERAGE(OFFSET($H$3,0,0,'Données projet'!$E$9+1,1))</f>
        <v>445.53168057836308</v>
      </c>
      <c r="T20" s="61">
        <f t="shared" si="34"/>
        <v>326.78684646135241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projet'!$B$10,Paramètres!$A$1:$I$88,3,0)*VLOOKUP('Données projet'!$B$10,Paramètres!$A$1:$I$88,5,0)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1">
        <f t="shared" si="5"/>
        <v>269.85387169226249</v>
      </c>
      <c r="AN20" s="61">
        <f ca="1">AVERAGE(OFFSET($AM$3,0,0,'Données projet'!$E$10+1,1))-AVERAGE(OFFSET($H$3,0,0,'Données projet'!$E$10+1,1))</f>
        <v>375.77859820466693</v>
      </c>
      <c r="AO20" s="61">
        <f t="shared" si="36"/>
        <v>242.84781402593856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6"/>
        <v>0</v>
      </c>
      <c r="AY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1.8571428571428572</v>
      </c>
      <c r="BD20" s="13">
        <f>IF('Données projet'!$A$88&gt;35,BD19+BC20-BL19,IF(A20&lt;'Données projet'!$A$88,$BA$205^A20,IF(A20='Données projet'!$A$88,'Données projet'!$B$88,BD19+BC20-BL19)))</f>
        <v>31.571428571428577</v>
      </c>
      <c r="BE20" s="14">
        <f>BD20*VLOOKUP('Données projet'!$B$11,Paramètres!$A$1:$I$88,3,0)*VLOOKUP('Données projet'!$B$11,Paramètres!$A$1:$I$88,5,0)</f>
        <v>32.013428571428577</v>
      </c>
      <c r="BF20" s="14">
        <f t="shared" si="37"/>
        <v>9.8551578956943953</v>
      </c>
      <c r="BG20" s="22">
        <f t="shared" si="7"/>
        <v>72.921121430239182</v>
      </c>
      <c r="BH20" s="61">
        <f t="shared" si="8"/>
        <v>282.28724574611192</v>
      </c>
      <c r="BI20" s="61">
        <f ca="1">AVERAGE(OFFSET($BH$3,0,0,'Données projet'!$E$11+1,1))-AVERAGE(OFFSET($H$3,0,0,'Données projet'!$E$11+1,1))</f>
        <v>433.57989081194</v>
      </c>
      <c r="BJ20" s="61">
        <f t="shared" si="38"/>
        <v>182.52060621271355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9"/>
        <v>0</v>
      </c>
      <c r="BT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1" t="e">
        <f t="shared" si="11"/>
        <v>#N/A</v>
      </c>
      <c r="CD20" s="61" t="e">
        <f ca="1">AVERAGE(OFFSET($CC$3,0,0,'Données projet'!$E$12+1,1))-AVERAGE(OFFSET($H$3,0,0,'Données projet'!$E$12+1,1))</f>
        <v>#N/A</v>
      </c>
      <c r="CE20" s="61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2"/>
        <v>0</v>
      </c>
      <c r="CO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1" t="e">
        <f t="shared" si="14"/>
        <v>#N/A</v>
      </c>
      <c r="CY20" s="61" t="e">
        <f ca="1">AVERAGE(OFFSET($CX$3,0,0,'Données projet'!$E$13+1,1))-AVERAGE(OFFSET($H$3,0,0,'Données projet'!$E$13+1,1))</f>
        <v>#N/A</v>
      </c>
      <c r="CZ20" s="61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15"/>
        <v>0</v>
      </c>
      <c r="DJ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1" t="e">
        <f t="shared" si="17"/>
        <v>#N/A</v>
      </c>
      <c r="DT20" s="61" t="e">
        <f ca="1">AVERAGE(OFFSET($DS$3,0,0,'Données projet'!$E$14+1,1))-AVERAGE(OFFSET($H$3,0,0,'Données projet'!$E$14+1,1))</f>
        <v>#N/A</v>
      </c>
      <c r="DU20" s="61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18"/>
        <v>0</v>
      </c>
      <c r="EE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1" t="e">
        <f t="shared" si="20"/>
        <v>#N/A</v>
      </c>
      <c r="EO20" s="61" t="e">
        <f ca="1">AVERAGE(OFFSET($EN$3,0,0,'Données projet'!$E$15+1,1))-AVERAGE(OFFSET($H$3,0,0,'Données projet'!$E$15+1,1))</f>
        <v>#N/A</v>
      </c>
      <c r="EP20" s="61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1"/>
        <v>0</v>
      </c>
      <c r="EZ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1" t="e">
        <f t="shared" si="23"/>
        <v>#N/A</v>
      </c>
      <c r="FJ20" s="61" t="e">
        <f ca="1">AVERAGE(OFFSET($FI$3,0,0,'Données projet'!$E$16+1,1))-AVERAGE(OFFSET($H$3,0,0,'Données projet'!$E$16+1,1))</f>
        <v>#N/A</v>
      </c>
      <c r="FK20" s="61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24"/>
        <v>0</v>
      </c>
      <c r="FU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1" t="e">
        <f t="shared" si="26"/>
        <v>#N/A</v>
      </c>
      <c r="GE20" s="61" t="e">
        <f ca="1">AVERAGE(OFFSET($GD$3,0,0,'Données projet'!$E$17+1,1))-AVERAGE(OFFSET($H$3,0,0,'Données projet'!$E$17+1,1))</f>
        <v>#N/A</v>
      </c>
      <c r="GF20" s="61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27"/>
        <v>0</v>
      </c>
      <c r="GP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1" t="e">
        <f t="shared" si="29"/>
        <v>#N/A</v>
      </c>
      <c r="GZ20" s="61" t="e">
        <f ca="1">AVERAGE(OFFSET($GY$3,0,0,'Données projet'!$E$18+1,1))-AVERAGE(OFFSET($H$3,0,0,'Données projet'!$E$18+1,1))</f>
        <v>#N/A</v>
      </c>
      <c r="HA20" s="61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30"/>
        <v>0</v>
      </c>
    </row>
    <row r="21" spans="1:218" s="5" customFormat="1" x14ac:dyDescent="0.45">
      <c r="A21" s="11">
        <f t="shared" si="31"/>
        <v>18</v>
      </c>
      <c r="B21" s="76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9">
        <f t="shared" si="1"/>
        <v>183.33333333333334</v>
      </c>
      <c r="I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5.15</v>
      </c>
      <c r="N21" s="14">
        <f>IF('Données projet'!$A$36&gt;35,N20+M21-V20,IF(A21&lt;'Données projet'!$A$36,$K$205^A21,IF(A21='Données projet'!$A$36,'Données projet'!$B$36,N20+M21-V20)))</f>
        <v>64.79679157537069</v>
      </c>
      <c r="O21" s="14">
        <f>N21*VLOOKUP('Données projet'!$B$9,Paramètres!$A$1:$I$88,3,0)*VLOOKUP('Données projet'!$B$9,Paramètres!$A$1:$I$88,5,0)</f>
        <v>38.748481362071679</v>
      </c>
      <c r="P21" s="14">
        <f t="shared" si="33"/>
        <v>11.66632056217415</v>
      </c>
      <c r="Q21" s="22">
        <f t="shared" si="2"/>
        <v>87.805780018061469</v>
      </c>
      <c r="R21" s="61">
        <f t="shared" si="0"/>
        <v>299.57513321006456</v>
      </c>
      <c r="S21" s="61">
        <f ca="1">AVERAGE(OFFSET($R$3,0,0,'Données projet'!$E$9+1,1))-AVERAGE(OFFSET($H$3,0,0,'Données projet'!$E$9+1,1))</f>
        <v>445.53168057836308</v>
      </c>
      <c r="T21" s="61">
        <f t="shared" si="34"/>
        <v>326.78684646135241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projet'!$B$10,Paramètres!$A$1:$I$88,3,0)*VLOOKUP('Données projet'!$B$10,Paramètres!$A$1:$I$88,5,0)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1">
        <f t="shared" si="5"/>
        <v>287.95281706796129</v>
      </c>
      <c r="AN21" s="61">
        <f ca="1">AVERAGE(OFFSET($AM$3,0,0,'Données projet'!$E$10+1,1))-AVERAGE(OFFSET($H$3,0,0,'Données projet'!$E$10+1,1))</f>
        <v>375.77859820466693</v>
      </c>
      <c r="AO21" s="61">
        <f t="shared" si="36"/>
        <v>242.84781402593856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6"/>
        <v>0</v>
      </c>
      <c r="AY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1.8571428571428572</v>
      </c>
      <c r="BD21" s="13">
        <f>IF('Données projet'!$A$88&gt;35,BD20+BC21-BL20,IF(A21&lt;'Données projet'!$A$88,$BA$205^A21,IF(A21='Données projet'!$A$88,'Données projet'!$B$88,BD20+BC21-BL20)))</f>
        <v>33.428571428571431</v>
      </c>
      <c r="BE21" s="14">
        <f>BD21*VLOOKUP('Données projet'!$B$11,Paramètres!$A$1:$I$88,3,0)*VLOOKUP('Données projet'!$B$11,Paramètres!$A$1:$I$88,5,0)</f>
        <v>33.896571428571434</v>
      </c>
      <c r="BF21" s="14">
        <f t="shared" si="37"/>
        <v>10.365677799299105</v>
      </c>
      <c r="BG21" s="22">
        <f t="shared" si="7"/>
        <v>77.090084071874529</v>
      </c>
      <c r="BH21" s="61">
        <f t="shared" si="8"/>
        <v>288.85943726387762</v>
      </c>
      <c r="BI21" s="61">
        <f ca="1">AVERAGE(OFFSET($BH$3,0,0,'Données projet'!$E$11+1,1))-AVERAGE(OFFSET($H$3,0,0,'Données projet'!$E$11+1,1))</f>
        <v>433.57989081194</v>
      </c>
      <c r="BJ21" s="61">
        <f t="shared" si="38"/>
        <v>182.52060621271355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9"/>
        <v>0</v>
      </c>
      <c r="BT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1" t="e">
        <f t="shared" si="11"/>
        <v>#N/A</v>
      </c>
      <c r="CD21" s="61" t="e">
        <f ca="1">AVERAGE(OFFSET($CC$3,0,0,'Données projet'!$E$12+1,1))-AVERAGE(OFFSET($H$3,0,0,'Données projet'!$E$12+1,1))</f>
        <v>#N/A</v>
      </c>
      <c r="CE21" s="61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2"/>
        <v>0</v>
      </c>
      <c r="CO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1" t="e">
        <f t="shared" si="14"/>
        <v>#N/A</v>
      </c>
      <c r="CY21" s="61" t="e">
        <f ca="1">AVERAGE(OFFSET($CX$3,0,0,'Données projet'!$E$13+1,1))-AVERAGE(OFFSET($H$3,0,0,'Données projet'!$E$13+1,1))</f>
        <v>#N/A</v>
      </c>
      <c r="CZ21" s="61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15"/>
        <v>0</v>
      </c>
      <c r="DJ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1" t="e">
        <f t="shared" si="17"/>
        <v>#N/A</v>
      </c>
      <c r="DT21" s="61" t="e">
        <f ca="1">AVERAGE(OFFSET($DS$3,0,0,'Données projet'!$E$14+1,1))-AVERAGE(OFFSET($H$3,0,0,'Données projet'!$E$14+1,1))</f>
        <v>#N/A</v>
      </c>
      <c r="DU21" s="61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18"/>
        <v>0</v>
      </c>
      <c r="EE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1" t="e">
        <f t="shared" si="20"/>
        <v>#N/A</v>
      </c>
      <c r="EO21" s="61" t="e">
        <f ca="1">AVERAGE(OFFSET($EN$3,0,0,'Données projet'!$E$15+1,1))-AVERAGE(OFFSET($H$3,0,0,'Données projet'!$E$15+1,1))</f>
        <v>#N/A</v>
      </c>
      <c r="EP21" s="61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1"/>
        <v>0</v>
      </c>
      <c r="EZ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1" t="e">
        <f t="shared" si="23"/>
        <v>#N/A</v>
      </c>
      <c r="FJ21" s="61" t="e">
        <f ca="1">AVERAGE(OFFSET($FI$3,0,0,'Données projet'!$E$16+1,1))-AVERAGE(OFFSET($H$3,0,0,'Données projet'!$E$16+1,1))</f>
        <v>#N/A</v>
      </c>
      <c r="FK21" s="61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24"/>
        <v>0</v>
      </c>
      <c r="FU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1" t="e">
        <f t="shared" si="26"/>
        <v>#N/A</v>
      </c>
      <c r="GE21" s="61" t="e">
        <f ca="1">AVERAGE(OFFSET($GD$3,0,0,'Données projet'!$E$17+1,1))-AVERAGE(OFFSET($H$3,0,0,'Données projet'!$E$17+1,1))</f>
        <v>#N/A</v>
      </c>
      <c r="GF21" s="61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27"/>
        <v>0</v>
      </c>
      <c r="GP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1" t="e">
        <f t="shared" si="29"/>
        <v>#N/A</v>
      </c>
      <c r="GZ21" s="61" t="e">
        <f ca="1">AVERAGE(OFFSET($GY$3,0,0,'Données projet'!$E$18+1,1))-AVERAGE(OFFSET($H$3,0,0,'Données projet'!$E$18+1,1))</f>
        <v>#N/A</v>
      </c>
      <c r="HA21" s="61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30"/>
        <v>0</v>
      </c>
    </row>
    <row r="22" spans="1:218" s="5" customFormat="1" x14ac:dyDescent="0.45">
      <c r="A22" s="11">
        <f t="shared" si="31"/>
        <v>19</v>
      </c>
      <c r="B22" s="76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9">
        <f t="shared" si="1"/>
        <v>183.33333333333334</v>
      </c>
      <c r="I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5.15</v>
      </c>
      <c r="N22" s="14">
        <f>IF('Données projet'!$A$36&gt;35,N21+M22-V21,IF(A22&lt;'Données projet'!$A$36,$K$205^A22,IF(A22='Données projet'!$A$36,'Données projet'!$B$36,N21+M22-V21)))</f>
        <v>81.694978623310661</v>
      </c>
      <c r="O22" s="14">
        <f>N22*VLOOKUP('Données projet'!$B$9,Paramètres!$A$1:$I$88,3,0)*VLOOKUP('Données projet'!$B$9,Paramètres!$A$1:$I$88,5,0)</f>
        <v>48.853597216739779</v>
      </c>
      <c r="P22" s="14">
        <f t="shared" si="33"/>
        <v>14.317297662167348</v>
      </c>
      <c r="Q22" s="22">
        <f t="shared" si="2"/>
        <v>110.02264191409658</v>
      </c>
      <c r="R22" s="61">
        <f t="shared" si="0"/>
        <v>324.17473615712009</v>
      </c>
      <c r="S22" s="61">
        <f ca="1">AVERAGE(OFFSET($R$3,0,0,'Données projet'!$E$9+1,1))-AVERAGE(OFFSET($H$3,0,0,'Données projet'!$E$9+1,1))</f>
        <v>445.53168057836308</v>
      </c>
      <c r="T22" s="61">
        <f t="shared" si="34"/>
        <v>326.78684646135241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projet'!$B$10,Paramètres!$A$1:$I$88,3,0)*VLOOKUP('Données projet'!$B$10,Paramètres!$A$1:$I$88,5,0)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1">
        <f t="shared" si="5"/>
        <v>310.11722557841688</v>
      </c>
      <c r="AN22" s="61">
        <f ca="1">AVERAGE(OFFSET($AM$3,0,0,'Données projet'!$E$10+1,1))-AVERAGE(OFFSET($H$3,0,0,'Données projet'!$E$10+1,1))</f>
        <v>375.77859820466693</v>
      </c>
      <c r="AO22" s="61">
        <f t="shared" si="36"/>
        <v>242.84781402593856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6"/>
        <v>0</v>
      </c>
      <c r="AY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1.8571428571428572</v>
      </c>
      <c r="BD22" s="13">
        <f>IF('Données projet'!$A$88&gt;35,BD21+BC22-BL21,IF(A22&lt;'Données projet'!$A$88,$BA$205^A22,IF(A22='Données projet'!$A$88,'Données projet'!$B$88,BD21+BC22-BL21)))</f>
        <v>35.285714285714285</v>
      </c>
      <c r="BE22" s="14">
        <f>BD22*VLOOKUP('Données projet'!$B$11,Paramètres!$A$1:$I$88,3,0)*VLOOKUP('Données projet'!$B$11,Paramètres!$A$1:$I$88,5,0)</f>
        <v>35.779714285714292</v>
      </c>
      <c r="BF22" s="14">
        <f t="shared" si="37"/>
        <v>10.872905204498869</v>
      </c>
      <c r="BG22" s="22">
        <f t="shared" si="7"/>
        <v>81.253312278787931</v>
      </c>
      <c r="BH22" s="61">
        <f t="shared" si="8"/>
        <v>295.40540652181147</v>
      </c>
      <c r="BI22" s="61">
        <f ca="1">AVERAGE(OFFSET($BH$3,0,0,'Données projet'!$E$11+1,1))-AVERAGE(OFFSET($H$3,0,0,'Données projet'!$E$11+1,1))</f>
        <v>433.57989081194</v>
      </c>
      <c r="BJ22" s="61">
        <f t="shared" si="38"/>
        <v>182.52060621271355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9"/>
        <v>0</v>
      </c>
      <c r="BT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1" t="e">
        <f t="shared" si="11"/>
        <v>#N/A</v>
      </c>
      <c r="CD22" s="61" t="e">
        <f ca="1">AVERAGE(OFFSET($CC$3,0,0,'Données projet'!$E$12+1,1))-AVERAGE(OFFSET($H$3,0,0,'Données projet'!$E$12+1,1))</f>
        <v>#N/A</v>
      </c>
      <c r="CE22" s="61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2"/>
        <v>0</v>
      </c>
      <c r="CO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1" t="e">
        <f t="shared" si="14"/>
        <v>#N/A</v>
      </c>
      <c r="CY22" s="61" t="e">
        <f ca="1">AVERAGE(OFFSET($CX$3,0,0,'Données projet'!$E$13+1,1))-AVERAGE(OFFSET($H$3,0,0,'Données projet'!$E$13+1,1))</f>
        <v>#N/A</v>
      </c>
      <c r="CZ22" s="61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15"/>
        <v>0</v>
      </c>
      <c r="DJ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1" t="e">
        <f t="shared" si="17"/>
        <v>#N/A</v>
      </c>
      <c r="DT22" s="61" t="e">
        <f ca="1">AVERAGE(OFFSET($DS$3,0,0,'Données projet'!$E$14+1,1))-AVERAGE(OFFSET($H$3,0,0,'Données projet'!$E$14+1,1))</f>
        <v>#N/A</v>
      </c>
      <c r="DU22" s="61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18"/>
        <v>0</v>
      </c>
      <c r="EE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1" t="e">
        <f t="shared" si="20"/>
        <v>#N/A</v>
      </c>
      <c r="EO22" s="61" t="e">
        <f ca="1">AVERAGE(OFFSET($EN$3,0,0,'Données projet'!$E$15+1,1))-AVERAGE(OFFSET($H$3,0,0,'Données projet'!$E$15+1,1))</f>
        <v>#N/A</v>
      </c>
      <c r="EP22" s="61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1"/>
        <v>0</v>
      </c>
      <c r="EZ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1" t="e">
        <f t="shared" si="23"/>
        <v>#N/A</v>
      </c>
      <c r="FJ22" s="61" t="e">
        <f ca="1">AVERAGE(OFFSET($FI$3,0,0,'Données projet'!$E$16+1,1))-AVERAGE(OFFSET($H$3,0,0,'Données projet'!$E$16+1,1))</f>
        <v>#N/A</v>
      </c>
      <c r="FK22" s="61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24"/>
        <v>0</v>
      </c>
      <c r="FU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1" t="e">
        <f t="shared" si="26"/>
        <v>#N/A</v>
      </c>
      <c r="GE22" s="61" t="e">
        <f ca="1">AVERAGE(OFFSET($GD$3,0,0,'Données projet'!$E$17+1,1))-AVERAGE(OFFSET($H$3,0,0,'Données projet'!$E$17+1,1))</f>
        <v>#N/A</v>
      </c>
      <c r="GF22" s="61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27"/>
        <v>0</v>
      </c>
      <c r="GP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1" t="e">
        <f t="shared" si="29"/>
        <v>#N/A</v>
      </c>
      <c r="GZ22" s="61" t="e">
        <f ca="1">AVERAGE(OFFSET($GY$3,0,0,'Données projet'!$E$18+1,1))-AVERAGE(OFFSET($H$3,0,0,'Données projet'!$E$18+1,1))</f>
        <v>#N/A</v>
      </c>
      <c r="HA22" s="61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30"/>
        <v>0</v>
      </c>
    </row>
    <row r="23" spans="1:218" s="5" customFormat="1" x14ac:dyDescent="0.45">
      <c r="A23" s="11">
        <f t="shared" si="31"/>
        <v>20</v>
      </c>
      <c r="B23" s="76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9">
        <f t="shared" si="1"/>
        <v>183.33333333333334</v>
      </c>
      <c r="I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103</v>
      </c>
      <c r="L23" s="13">
        <f>VLOOKUP(A23,'Données projet'!$A$35:$I$55,9,0)</f>
        <v>5.15</v>
      </c>
      <c r="M23" s="13">
        <f t="array" ref="M23">INDEX(L:L,MIN(IF(ISNUMBER(L23:L219),ROW(L23:L219),"")))</f>
        <v>5.15</v>
      </c>
      <c r="N23" s="14">
        <f>IF('Données projet'!$A$36&gt;35,N22+M23-V22,IF(A23&lt;'Données projet'!$A$36,$K$205^A23,IF(A23='Données projet'!$A$36,'Données projet'!$B$36,N22+M23-V22)))</f>
        <v>103</v>
      </c>
      <c r="O23" s="14">
        <f>N23*VLOOKUP('Données projet'!$B$9,Paramètres!$A$1:$I$88,3,0)*VLOOKUP('Données projet'!$B$9,Paramètres!$A$1:$I$88,5,0)</f>
        <v>61.594000000000008</v>
      </c>
      <c r="P23" s="14">
        <f t="shared" si="33"/>
        <v>17.570665168564613</v>
      </c>
      <c r="Q23" s="22">
        <f t="shared" si="2"/>
        <v>137.8784585019167</v>
      </c>
      <c r="R23" s="61">
        <f t="shared" si="0"/>
        <v>354.39316138881242</v>
      </c>
      <c r="S23" s="61">
        <f ca="1">AVERAGE(OFFSET($R$3,0,0,'Données projet'!$E$9+1,1))-AVERAGE(OFFSET($H$3,0,0,'Données projet'!$E$9+1,1))</f>
        <v>445.53168057836308</v>
      </c>
      <c r="T23" s="61">
        <f t="shared" si="34"/>
        <v>326.78684646135241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16</v>
      </c>
      <c r="W23" s="17">
        <f>IF(ISNA(VLOOKUP(A23,'Données projet'!$A$35:$I$55,5,0)),0%,VLOOKUP(A23,'Données projet'!$A$35:$I$55,5,0)*VLOOKUP('Données projet'!$B$9,Paramètres!$A$1:$I$88,7,0))</f>
        <v>0</v>
      </c>
      <c r="X23" s="77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projet'!$B$10,Paramètres!$A$1:$I$88,3,0)*VLOOKUP('Données projet'!$B$10,Paramètres!$A$1:$I$88,5,0)</f>
        <v>53.82</v>
      </c>
      <c r="AK23" s="14">
        <f t="shared" si="35"/>
        <v>15.596024630246266</v>
      </c>
      <c r="AL23" s="22">
        <f t="shared" si="4"/>
        <v>120.89957623101225</v>
      </c>
      <c r="AM23" s="61">
        <f t="shared" si="5"/>
        <v>337.41427911790799</v>
      </c>
      <c r="AN23" s="61">
        <f ca="1">AVERAGE(OFFSET($AM$3,0,0,'Données projet'!$E$10+1,1))-AVERAGE(OFFSET($H$3,0,0,'Données projet'!$E$10+1,1))</f>
        <v>375.77859820466693</v>
      </c>
      <c r="AO23" s="61">
        <f t="shared" si="36"/>
        <v>242.84781402593856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19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6"/>
        <v>0</v>
      </c>
      <c r="AY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1.8571428571428572</v>
      </c>
      <c r="BD23" s="13">
        <f>IF('Données projet'!$A$88&gt;35,BD22+BC23-BL22,IF(A23&lt;'Données projet'!$A$88,$BA$205^A23,IF(A23='Données projet'!$A$88,'Données projet'!$B$88,BD22+BC23-BL22)))</f>
        <v>37.142857142857139</v>
      </c>
      <c r="BE23" s="14">
        <f>BD23*VLOOKUP('Données projet'!$B$11,Paramètres!$A$1:$I$88,3,0)*VLOOKUP('Données projet'!$B$11,Paramètres!$A$1:$I$88,5,0)</f>
        <v>37.662857142857142</v>
      </c>
      <c r="BF23" s="14">
        <f t="shared" si="37"/>
        <v>11.377033162976977</v>
      </c>
      <c r="BG23" s="22">
        <f t="shared" si="7"/>
        <v>85.411142282661089</v>
      </c>
      <c r="BH23" s="61">
        <f t="shared" si="8"/>
        <v>301.92584516955679</v>
      </c>
      <c r="BI23" s="61">
        <f ca="1">AVERAGE(OFFSET($BH$3,0,0,'Données projet'!$E$11+1,1))-AVERAGE(OFFSET($H$3,0,0,'Données projet'!$E$11+1,1))</f>
        <v>433.57989081194</v>
      </c>
      <c r="BJ23" s="61">
        <f t="shared" si="38"/>
        <v>182.52060621271355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9"/>
        <v>0</v>
      </c>
      <c r="BT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1" t="e">
        <f t="shared" si="11"/>
        <v>#N/A</v>
      </c>
      <c r="CD23" s="61" t="e">
        <f ca="1">AVERAGE(OFFSET($CC$3,0,0,'Données projet'!$E$12+1,1))-AVERAGE(OFFSET($H$3,0,0,'Données projet'!$E$12+1,1))</f>
        <v>#N/A</v>
      </c>
      <c r="CE23" s="61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2"/>
        <v>0</v>
      </c>
      <c r="CO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1" t="e">
        <f t="shared" si="14"/>
        <v>#N/A</v>
      </c>
      <c r="CY23" s="61" t="e">
        <f ca="1">AVERAGE(OFFSET($CX$3,0,0,'Données projet'!$E$13+1,1))-AVERAGE(OFFSET($H$3,0,0,'Données projet'!$E$13+1,1))</f>
        <v>#N/A</v>
      </c>
      <c r="CZ23" s="61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15"/>
        <v>0</v>
      </c>
      <c r="DJ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1" t="e">
        <f t="shared" si="17"/>
        <v>#N/A</v>
      </c>
      <c r="DT23" s="61" t="e">
        <f ca="1">AVERAGE(OFFSET($DS$3,0,0,'Données projet'!$E$14+1,1))-AVERAGE(OFFSET($H$3,0,0,'Données projet'!$E$14+1,1))</f>
        <v>#N/A</v>
      </c>
      <c r="DU23" s="61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18"/>
        <v>0</v>
      </c>
      <c r="EE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1" t="e">
        <f t="shared" si="20"/>
        <v>#N/A</v>
      </c>
      <c r="EO23" s="61" t="e">
        <f ca="1">AVERAGE(OFFSET($EN$3,0,0,'Données projet'!$E$15+1,1))-AVERAGE(OFFSET($H$3,0,0,'Données projet'!$E$15+1,1))</f>
        <v>#N/A</v>
      </c>
      <c r="EP23" s="61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1"/>
        <v>0</v>
      </c>
      <c r="EZ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1" t="e">
        <f t="shared" si="23"/>
        <v>#N/A</v>
      </c>
      <c r="FJ23" s="61" t="e">
        <f ca="1">AVERAGE(OFFSET($FI$3,0,0,'Données projet'!$E$16+1,1))-AVERAGE(OFFSET($H$3,0,0,'Données projet'!$E$16+1,1))</f>
        <v>#N/A</v>
      </c>
      <c r="FK23" s="61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24"/>
        <v>0</v>
      </c>
      <c r="FU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1" t="e">
        <f t="shared" si="26"/>
        <v>#N/A</v>
      </c>
      <c r="GE23" s="61" t="e">
        <f ca="1">AVERAGE(OFFSET($GD$3,0,0,'Données projet'!$E$17+1,1))-AVERAGE(OFFSET($H$3,0,0,'Données projet'!$E$17+1,1))</f>
        <v>#N/A</v>
      </c>
      <c r="GF23" s="61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27"/>
        <v>0</v>
      </c>
      <c r="GP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1" t="e">
        <f t="shared" si="29"/>
        <v>#N/A</v>
      </c>
      <c r="GZ23" s="61" t="e">
        <f ca="1">AVERAGE(OFFSET($GY$3,0,0,'Données projet'!$E$18+1,1))-AVERAGE(OFFSET($H$3,0,0,'Données projet'!$E$18+1,1))</f>
        <v>#N/A</v>
      </c>
      <c r="HA23" s="61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30"/>
        <v>0</v>
      </c>
    </row>
    <row r="24" spans="1:218" s="5" customFormat="1" x14ac:dyDescent="0.45">
      <c r="A24" s="11">
        <f t="shared" si="31"/>
        <v>21</v>
      </c>
      <c r="B24" s="76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9">
        <f t="shared" si="1"/>
        <v>183.33333333333334</v>
      </c>
      <c r="I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13.6</v>
      </c>
      <c r="N24" s="14">
        <f>IF('Données projet'!$A$36&gt;35,N23+M24-V23,IF(A24&lt;'Données projet'!$A$36,$K$205^A24,IF(A24='Données projet'!$A$36,'Données projet'!$B$36,N23+M24-V23)))</f>
        <v>100.6</v>
      </c>
      <c r="O24" s="14">
        <f>N24*VLOOKUP('Données projet'!$B$9,Paramètres!$A$1:$I$88,3,0)*VLOOKUP('Données projet'!$B$9,Paramètres!$A$1:$I$88,5,0)</f>
        <v>60.158799999999999</v>
      </c>
      <c r="P24" s="14">
        <f t="shared" si="33"/>
        <v>17.208412456441273</v>
      </c>
      <c r="Q24" s="22">
        <f t="shared" si="2"/>
        <v>134.74789502830188</v>
      </c>
      <c r="R24" s="61">
        <f t="shared" si="0"/>
        <v>353.60542340417624</v>
      </c>
      <c r="S24" s="61">
        <f ca="1">AVERAGE(OFFSET($R$3,0,0,'Données projet'!$E$9+1,1))-AVERAGE(OFFSET($H$3,0,0,'Données projet'!$E$9+1,1))</f>
        <v>445.53168057836308</v>
      </c>
      <c r="T24" s="61">
        <f t="shared" si="34"/>
        <v>326.78684646135241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8.4</v>
      </c>
      <c r="AI24" s="14">
        <f>IF('Données projet'!$A$62&gt;35,AI23+AH24-AQ23,IF(A24&lt;'Données projet'!$A$62,$AF$205^A24,IF(A24='Données projet'!$A$62,'Données projet'!$B$62,AI23+AH24-AQ23)))</f>
        <v>104.4</v>
      </c>
      <c r="AJ24" s="14">
        <f>AI24*VLOOKUP('Données projet'!$B$10,Paramètres!$A$1:$I$88,3,0)*VLOOKUP('Données projet'!$B$10,Paramètres!$A$1:$I$88,5,0)</f>
        <v>48.859200000000008</v>
      </c>
      <c r="AK24" s="14">
        <f t="shared" si="35"/>
        <v>14.318748507569314</v>
      </c>
      <c r="AL24" s="22">
        <f t="shared" si="4"/>
        <v>110.03492698401658</v>
      </c>
      <c r="AM24" s="61">
        <f t="shared" si="5"/>
        <v>328.89245535989096</v>
      </c>
      <c r="AN24" s="61">
        <f ca="1">AVERAGE(OFFSET($AM$3,0,0,'Données projet'!$E$10+1,1))-AVERAGE(OFFSET($H$3,0,0,'Données projet'!$E$10+1,1))</f>
        <v>375.77859820466693</v>
      </c>
      <c r="AO24" s="61">
        <f t="shared" si="36"/>
        <v>242.84781402593856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6"/>
        <v>0</v>
      </c>
      <c r="AY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1.8571428571428572</v>
      </c>
      <c r="BD24" s="13">
        <f>IF('Données projet'!$A$88&gt;35,BD23+BC24-BL23,IF(A24&lt;'Données projet'!$A$88,$BA$205^A24,IF(A24='Données projet'!$A$88,'Données projet'!$B$88,BD23+BC24-BL23)))</f>
        <v>38.999999999999993</v>
      </c>
      <c r="BE24" s="14">
        <f>BD24*VLOOKUP('Données projet'!$B$11,Paramètres!$A$1:$I$88,3,0)*VLOOKUP('Données projet'!$B$11,Paramètres!$A$1:$I$88,5,0)</f>
        <v>39.545999999999999</v>
      </c>
      <c r="BF24" s="14">
        <f t="shared" si="37"/>
        <v>11.878234330709192</v>
      </c>
      <c r="BG24" s="22">
        <f t="shared" si="7"/>
        <v>89.563874792651845</v>
      </c>
      <c r="BH24" s="61">
        <f t="shared" si="8"/>
        <v>308.42140316852624</v>
      </c>
      <c r="BI24" s="61">
        <f ca="1">AVERAGE(OFFSET($BH$3,0,0,'Données projet'!$E$11+1,1))-AVERAGE(OFFSET($H$3,0,0,'Données projet'!$E$11+1,1))</f>
        <v>433.57989081194</v>
      </c>
      <c r="BJ24" s="61">
        <f t="shared" si="38"/>
        <v>182.52060621271355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9"/>
        <v>0</v>
      </c>
      <c r="BT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1" t="e">
        <f t="shared" si="11"/>
        <v>#N/A</v>
      </c>
      <c r="CD24" s="61" t="e">
        <f ca="1">AVERAGE(OFFSET($CC$3,0,0,'Données projet'!$E$12+1,1))-AVERAGE(OFFSET($H$3,0,0,'Données projet'!$E$12+1,1))</f>
        <v>#N/A</v>
      </c>
      <c r="CE24" s="61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2"/>
        <v>0</v>
      </c>
      <c r="CO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1" t="e">
        <f t="shared" si="14"/>
        <v>#N/A</v>
      </c>
      <c r="CY24" s="61" t="e">
        <f ca="1">AVERAGE(OFFSET($CX$3,0,0,'Données projet'!$E$13+1,1))-AVERAGE(OFFSET($H$3,0,0,'Données projet'!$E$13+1,1))</f>
        <v>#N/A</v>
      </c>
      <c r="CZ24" s="61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15"/>
        <v>0</v>
      </c>
      <c r="DJ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1" t="e">
        <f t="shared" si="17"/>
        <v>#N/A</v>
      </c>
      <c r="DT24" s="61" t="e">
        <f ca="1">AVERAGE(OFFSET($DS$3,0,0,'Données projet'!$E$14+1,1))-AVERAGE(OFFSET($H$3,0,0,'Données projet'!$E$14+1,1))</f>
        <v>#N/A</v>
      </c>
      <c r="DU24" s="61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18"/>
        <v>0</v>
      </c>
      <c r="EE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1" t="e">
        <f t="shared" si="20"/>
        <v>#N/A</v>
      </c>
      <c r="EO24" s="61" t="e">
        <f ca="1">AVERAGE(OFFSET($EN$3,0,0,'Données projet'!$E$15+1,1))-AVERAGE(OFFSET($H$3,0,0,'Données projet'!$E$15+1,1))</f>
        <v>#N/A</v>
      </c>
      <c r="EP24" s="61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1"/>
        <v>0</v>
      </c>
      <c r="EZ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1" t="e">
        <f t="shared" si="23"/>
        <v>#N/A</v>
      </c>
      <c r="FJ24" s="61" t="e">
        <f ca="1">AVERAGE(OFFSET($FI$3,0,0,'Données projet'!$E$16+1,1))-AVERAGE(OFFSET($H$3,0,0,'Données projet'!$E$16+1,1))</f>
        <v>#N/A</v>
      </c>
      <c r="FK24" s="61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24"/>
        <v>0</v>
      </c>
      <c r="FU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1" t="e">
        <f t="shared" si="26"/>
        <v>#N/A</v>
      </c>
      <c r="GE24" s="61" t="e">
        <f ca="1">AVERAGE(OFFSET($GD$3,0,0,'Données projet'!$E$17+1,1))-AVERAGE(OFFSET($H$3,0,0,'Données projet'!$E$17+1,1))</f>
        <v>#N/A</v>
      </c>
      <c r="GF24" s="61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27"/>
        <v>0</v>
      </c>
      <c r="GP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1" t="e">
        <f t="shared" si="29"/>
        <v>#N/A</v>
      </c>
      <c r="GZ24" s="61" t="e">
        <f ca="1">AVERAGE(OFFSET($GY$3,0,0,'Données projet'!$E$18+1,1))-AVERAGE(OFFSET($H$3,0,0,'Données projet'!$E$18+1,1))</f>
        <v>#N/A</v>
      </c>
      <c r="HA24" s="61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30"/>
        <v>0</v>
      </c>
    </row>
    <row r="25" spans="1:218" s="5" customFormat="1" x14ac:dyDescent="0.45">
      <c r="A25" s="11">
        <f t="shared" si="31"/>
        <v>22</v>
      </c>
      <c r="B25" s="76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9">
        <f t="shared" si="1"/>
        <v>183.33333333333334</v>
      </c>
      <c r="I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13.6</v>
      </c>
      <c r="N25" s="14">
        <f>IF('Données projet'!$A$36&gt;35,N24+M25-V24,IF(A25&lt;'Données projet'!$A$36,$K$205^A25,IF(A25='Données projet'!$A$36,'Données projet'!$B$36,N24+M25-V24)))</f>
        <v>114.19999999999999</v>
      </c>
      <c r="O25" s="14">
        <f>N25*VLOOKUP('Données projet'!$B$9,Paramètres!$A$1:$I$88,3,0)*VLOOKUP('Données projet'!$B$9,Paramètres!$A$1:$I$88,5,0)</f>
        <v>68.291600000000003</v>
      </c>
      <c r="P25" s="14">
        <f t="shared" si="33"/>
        <v>19.248593476479869</v>
      </c>
      <c r="Q25" s="22">
        <f t="shared" si="2"/>
        <v>152.46583697153577</v>
      </c>
      <c r="R25" s="61">
        <f t="shared" si="0"/>
        <v>373.64675087500416</v>
      </c>
      <c r="S25" s="61">
        <f ca="1">AVERAGE(OFFSET($R$3,0,0,'Données projet'!$E$9+1,1))-AVERAGE(OFFSET($H$3,0,0,'Données projet'!$E$9+1,1))</f>
        <v>445.53168057836308</v>
      </c>
      <c r="T25" s="61">
        <f t="shared" si="34"/>
        <v>326.78684646135241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8.4</v>
      </c>
      <c r="AI25" s="14">
        <f>IF('Données projet'!$A$62&gt;35,AI24+AH25-AQ24,IF(A25&lt;'Données projet'!$A$62,$AF$205^A25,IF(A25='Données projet'!$A$62,'Données projet'!$B$62,AI24+AH25-AQ24)))</f>
        <v>112.80000000000001</v>
      </c>
      <c r="AJ25" s="14">
        <f>AI25*VLOOKUP('Données projet'!$B$10,Paramètres!$A$1:$I$88,3,0)*VLOOKUP('Données projet'!$B$10,Paramètres!$A$1:$I$88,5,0)</f>
        <v>52.790400000000005</v>
      </c>
      <c r="AK25" s="14">
        <f t="shared" si="35"/>
        <v>15.332099220482389</v>
      </c>
      <c r="AL25" s="22">
        <f t="shared" si="4"/>
        <v>118.64668614234017</v>
      </c>
      <c r="AM25" s="61">
        <f t="shared" si="5"/>
        <v>339.82760004580859</v>
      </c>
      <c r="AN25" s="61">
        <f ca="1">AVERAGE(OFFSET($AM$3,0,0,'Données projet'!$E$10+1,1))-AVERAGE(OFFSET($H$3,0,0,'Données projet'!$E$10+1,1))</f>
        <v>375.77859820466693</v>
      </c>
      <c r="AO25" s="61">
        <f t="shared" si="36"/>
        <v>242.84781402593856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6"/>
        <v>0</v>
      </c>
      <c r="AY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1.8571428571428572</v>
      </c>
      <c r="BD25" s="13">
        <f>IF('Données projet'!$A$88&gt;35,BD24+BC25-BL24,IF(A25&lt;'Données projet'!$A$88,$BA$205^A25,IF(A25='Données projet'!$A$88,'Données projet'!$B$88,BD24+BC25-BL24)))</f>
        <v>40.857142857142847</v>
      </c>
      <c r="BE25" s="14">
        <f>BD25*VLOOKUP('Données projet'!$B$11,Paramètres!$A$1:$I$88,3,0)*VLOOKUP('Données projet'!$B$11,Paramètres!$A$1:$I$88,5,0)</f>
        <v>41.42914285714285</v>
      </c>
      <c r="BF25" s="14">
        <f t="shared" si="37"/>
        <v>12.376663991098814</v>
      </c>
      <c r="BG25" s="22">
        <f t="shared" si="7"/>
        <v>93.711780260687576</v>
      </c>
      <c r="BH25" s="61">
        <f t="shared" si="8"/>
        <v>314.89269416415596</v>
      </c>
      <c r="BI25" s="61">
        <f ca="1">AVERAGE(OFFSET($BH$3,0,0,'Données projet'!$E$11+1,1))-AVERAGE(OFFSET($H$3,0,0,'Données projet'!$E$11+1,1))</f>
        <v>433.57989081194</v>
      </c>
      <c r="BJ25" s="61">
        <f t="shared" si="38"/>
        <v>182.52060621271355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9"/>
        <v>0</v>
      </c>
      <c r="BT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1" t="e">
        <f t="shared" si="11"/>
        <v>#N/A</v>
      </c>
      <c r="CD25" s="61" t="e">
        <f ca="1">AVERAGE(OFFSET($CC$3,0,0,'Données projet'!$E$12+1,1))-AVERAGE(OFFSET($H$3,0,0,'Données projet'!$E$12+1,1))</f>
        <v>#N/A</v>
      </c>
      <c r="CE25" s="61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2"/>
        <v>0</v>
      </c>
      <c r="CO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1" t="e">
        <f t="shared" si="14"/>
        <v>#N/A</v>
      </c>
      <c r="CY25" s="61" t="e">
        <f ca="1">AVERAGE(OFFSET($CX$3,0,0,'Données projet'!$E$13+1,1))-AVERAGE(OFFSET($H$3,0,0,'Données projet'!$E$13+1,1))</f>
        <v>#N/A</v>
      </c>
      <c r="CZ25" s="61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15"/>
        <v>0</v>
      </c>
      <c r="DJ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1" t="e">
        <f t="shared" si="17"/>
        <v>#N/A</v>
      </c>
      <c r="DT25" s="61" t="e">
        <f ca="1">AVERAGE(OFFSET($DS$3,0,0,'Données projet'!$E$14+1,1))-AVERAGE(OFFSET($H$3,0,0,'Données projet'!$E$14+1,1))</f>
        <v>#N/A</v>
      </c>
      <c r="DU25" s="61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18"/>
        <v>0</v>
      </c>
      <c r="EE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1" t="e">
        <f t="shared" si="20"/>
        <v>#N/A</v>
      </c>
      <c r="EO25" s="61" t="e">
        <f ca="1">AVERAGE(OFFSET($EN$3,0,0,'Données projet'!$E$15+1,1))-AVERAGE(OFFSET($H$3,0,0,'Données projet'!$E$15+1,1))</f>
        <v>#N/A</v>
      </c>
      <c r="EP25" s="61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1"/>
        <v>0</v>
      </c>
      <c r="EZ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1" t="e">
        <f t="shared" si="23"/>
        <v>#N/A</v>
      </c>
      <c r="FJ25" s="61" t="e">
        <f ca="1">AVERAGE(OFFSET($FI$3,0,0,'Données projet'!$E$16+1,1))-AVERAGE(OFFSET($H$3,0,0,'Données projet'!$E$16+1,1))</f>
        <v>#N/A</v>
      </c>
      <c r="FK25" s="61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24"/>
        <v>0</v>
      </c>
      <c r="FU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1" t="e">
        <f t="shared" si="26"/>
        <v>#N/A</v>
      </c>
      <c r="GE25" s="61" t="e">
        <f ca="1">AVERAGE(OFFSET($GD$3,0,0,'Données projet'!$E$17+1,1))-AVERAGE(OFFSET($H$3,0,0,'Données projet'!$E$17+1,1))</f>
        <v>#N/A</v>
      </c>
      <c r="GF25" s="61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27"/>
        <v>0</v>
      </c>
      <c r="GP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1" t="e">
        <f t="shared" si="29"/>
        <v>#N/A</v>
      </c>
      <c r="GZ25" s="61" t="e">
        <f ca="1">AVERAGE(OFFSET($GY$3,0,0,'Données projet'!$E$18+1,1))-AVERAGE(OFFSET($H$3,0,0,'Données projet'!$E$18+1,1))</f>
        <v>#N/A</v>
      </c>
      <c r="HA25" s="61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30"/>
        <v>0</v>
      </c>
    </row>
    <row r="26" spans="1:218" s="5" customFormat="1" x14ac:dyDescent="0.45">
      <c r="A26" s="11">
        <f t="shared" si="31"/>
        <v>23</v>
      </c>
      <c r="B26" s="76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9">
        <f t="shared" si="1"/>
        <v>183.33333333333334</v>
      </c>
      <c r="I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13.6</v>
      </c>
      <c r="N26" s="14">
        <f>IF('Données projet'!$A$36&gt;35,N25+M26-V25,IF(A26&lt;'Données projet'!$A$36,$K$205^A26,IF(A26='Données projet'!$A$36,'Données projet'!$B$36,N25+M26-V25)))</f>
        <v>127.79999999999998</v>
      </c>
      <c r="O26" s="14">
        <f>N26*VLOOKUP('Données projet'!$B$9,Paramètres!$A$1:$I$88,3,0)*VLOOKUP('Données projet'!$B$9,Paramètres!$A$1:$I$88,5,0)</f>
        <v>76.424399999999991</v>
      </c>
      <c r="P26" s="14">
        <f t="shared" si="33"/>
        <v>21.260618446015851</v>
      </c>
      <c r="Q26" s="22">
        <f t="shared" si="2"/>
        <v>170.13474046014426</v>
      </c>
      <c r="R26" s="61">
        <f t="shared" si="0"/>
        <v>393.61993716969073</v>
      </c>
      <c r="S26" s="61">
        <f ca="1">AVERAGE(OFFSET($R$3,0,0,'Données projet'!$E$9+1,1))-AVERAGE(OFFSET($H$3,0,0,'Données projet'!$E$9+1,1))</f>
        <v>445.53168057836308</v>
      </c>
      <c r="T26" s="61">
        <f t="shared" si="34"/>
        <v>326.78684646135241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8.4</v>
      </c>
      <c r="AI26" s="14">
        <f>IF('Données projet'!$A$62&gt;35,AI25+AH26-AQ25,IF(A26&lt;'Données projet'!$A$62,$AF$205^A26,IF(A26='Données projet'!$A$62,'Données projet'!$B$62,AI25+AH26-AQ25)))</f>
        <v>121.20000000000002</v>
      </c>
      <c r="AJ26" s="14">
        <f>AI26*VLOOKUP('Données projet'!$B$10,Paramètres!$A$1:$I$88,3,0)*VLOOKUP('Données projet'!$B$10,Paramètres!$A$1:$I$88,5,0)</f>
        <v>56.721600000000009</v>
      </c>
      <c r="AK26" s="14">
        <f t="shared" si="35"/>
        <v>16.336695546242218</v>
      </c>
      <c r="AL26" s="22">
        <f t="shared" si="4"/>
        <v>127.24319807637185</v>
      </c>
      <c r="AM26" s="61">
        <f t="shared" si="5"/>
        <v>350.72839478591834</v>
      </c>
      <c r="AN26" s="61">
        <f ca="1">AVERAGE(OFFSET($AM$3,0,0,'Données projet'!$E$10+1,1))-AVERAGE(OFFSET($H$3,0,0,'Données projet'!$E$10+1,1))</f>
        <v>375.77859820466693</v>
      </c>
      <c r="AO26" s="61">
        <f t="shared" si="36"/>
        <v>242.84781402593856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6"/>
        <v>0</v>
      </c>
      <c r="AY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1.8571428571428572</v>
      </c>
      <c r="BD26" s="13">
        <f>IF('Données projet'!$A$88&gt;35,BD25+BC26-BL25,IF(A26&lt;'Données projet'!$A$88,$BA$205^A26,IF(A26='Données projet'!$A$88,'Données projet'!$B$88,BD25+BC26-BL25)))</f>
        <v>42.714285714285701</v>
      </c>
      <c r="BE26" s="14">
        <f>BD26*VLOOKUP('Données projet'!$B$11,Paramètres!$A$1:$I$88,3,0)*VLOOKUP('Données projet'!$B$11,Paramètres!$A$1:$I$88,5,0)</f>
        <v>43.3122857142857</v>
      </c>
      <c r="BF26" s="14">
        <f t="shared" si="37"/>
        <v>12.872462512913225</v>
      </c>
      <c r="BG26" s="22">
        <f t="shared" si="7"/>
        <v>97.855103162371449</v>
      </c>
      <c r="BH26" s="61">
        <f t="shared" si="8"/>
        <v>321.34029987191798</v>
      </c>
      <c r="BI26" s="61">
        <f ca="1">AVERAGE(OFFSET($BH$3,0,0,'Données projet'!$E$11+1,1))-AVERAGE(OFFSET($H$3,0,0,'Données projet'!$E$11+1,1))</f>
        <v>433.57989081194</v>
      </c>
      <c r="BJ26" s="61">
        <f t="shared" si="38"/>
        <v>182.52060621271355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9"/>
        <v>0</v>
      </c>
      <c r="BT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1" t="e">
        <f t="shared" si="11"/>
        <v>#N/A</v>
      </c>
      <c r="CD26" s="61" t="e">
        <f ca="1">AVERAGE(OFFSET($CC$3,0,0,'Données projet'!$E$12+1,1))-AVERAGE(OFFSET($H$3,0,0,'Données projet'!$E$12+1,1))</f>
        <v>#N/A</v>
      </c>
      <c r="CE26" s="61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2"/>
        <v>0</v>
      </c>
      <c r="CO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1" t="e">
        <f t="shared" si="14"/>
        <v>#N/A</v>
      </c>
      <c r="CY26" s="61" t="e">
        <f ca="1">AVERAGE(OFFSET($CX$3,0,0,'Données projet'!$E$13+1,1))-AVERAGE(OFFSET($H$3,0,0,'Données projet'!$E$13+1,1))</f>
        <v>#N/A</v>
      </c>
      <c r="CZ26" s="61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15"/>
        <v>0</v>
      </c>
      <c r="DJ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1" t="e">
        <f t="shared" si="17"/>
        <v>#N/A</v>
      </c>
      <c r="DT26" s="61" t="e">
        <f ca="1">AVERAGE(OFFSET($DS$3,0,0,'Données projet'!$E$14+1,1))-AVERAGE(OFFSET($H$3,0,0,'Données projet'!$E$14+1,1))</f>
        <v>#N/A</v>
      </c>
      <c r="DU26" s="61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18"/>
        <v>0</v>
      </c>
      <c r="EE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1" t="e">
        <f t="shared" si="20"/>
        <v>#N/A</v>
      </c>
      <c r="EO26" s="61" t="e">
        <f ca="1">AVERAGE(OFFSET($EN$3,0,0,'Données projet'!$E$15+1,1))-AVERAGE(OFFSET($H$3,0,0,'Données projet'!$E$15+1,1))</f>
        <v>#N/A</v>
      </c>
      <c r="EP26" s="61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1"/>
        <v>0</v>
      </c>
      <c r="EZ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1" t="e">
        <f t="shared" si="23"/>
        <v>#N/A</v>
      </c>
      <c r="FJ26" s="61" t="e">
        <f ca="1">AVERAGE(OFFSET($FI$3,0,0,'Données projet'!$E$16+1,1))-AVERAGE(OFFSET($H$3,0,0,'Données projet'!$E$16+1,1))</f>
        <v>#N/A</v>
      </c>
      <c r="FK26" s="61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24"/>
        <v>0</v>
      </c>
      <c r="FU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1" t="e">
        <f t="shared" si="26"/>
        <v>#N/A</v>
      </c>
      <c r="GE26" s="61" t="e">
        <f ca="1">AVERAGE(OFFSET($GD$3,0,0,'Données projet'!$E$17+1,1))-AVERAGE(OFFSET($H$3,0,0,'Données projet'!$E$17+1,1))</f>
        <v>#N/A</v>
      </c>
      <c r="GF26" s="61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27"/>
        <v>0</v>
      </c>
      <c r="GP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1" t="e">
        <f t="shared" si="29"/>
        <v>#N/A</v>
      </c>
      <c r="GZ26" s="61" t="e">
        <f ca="1">AVERAGE(OFFSET($GY$3,0,0,'Données projet'!$E$18+1,1))-AVERAGE(OFFSET($H$3,0,0,'Données projet'!$E$18+1,1))</f>
        <v>#N/A</v>
      </c>
      <c r="HA26" s="61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30"/>
        <v>0</v>
      </c>
    </row>
    <row r="27" spans="1:218" s="5" customFormat="1" x14ac:dyDescent="0.45">
      <c r="A27" s="11">
        <f t="shared" si="31"/>
        <v>24</v>
      </c>
      <c r="B27" s="76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9">
        <f t="shared" si="1"/>
        <v>183.33333333333334</v>
      </c>
      <c r="I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13.6</v>
      </c>
      <c r="N27" s="14">
        <f>IF('Données projet'!$A$36&gt;35,N26+M27-V26,IF(A27&lt;'Données projet'!$A$36,$K$205^A27,IF(A27='Données projet'!$A$36,'Données projet'!$B$36,N26+M27-V26)))</f>
        <v>141.39999999999998</v>
      </c>
      <c r="O27" s="14">
        <f>N27*VLOOKUP('Données projet'!$B$9,Paramètres!$A$1:$I$88,3,0)*VLOOKUP('Données projet'!$B$9,Paramètres!$A$1:$I$88,5,0)</f>
        <v>84.557199999999995</v>
      </c>
      <c r="P27" s="14">
        <f t="shared" si="33"/>
        <v>23.247825078374401</v>
      </c>
      <c r="Q27" s="22">
        <f t="shared" si="2"/>
        <v>187.76041867816875</v>
      </c>
      <c r="R27" s="61">
        <f t="shared" si="0"/>
        <v>413.53112686178855</v>
      </c>
      <c r="S27" s="61">
        <f ca="1">AVERAGE(OFFSET($R$3,0,0,'Données projet'!$E$9+1,1))-AVERAGE(OFFSET($H$3,0,0,'Données projet'!$E$9+1,1))</f>
        <v>445.53168057836308</v>
      </c>
      <c r="T27" s="61">
        <f t="shared" si="34"/>
        <v>326.78684646135241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8.4</v>
      </c>
      <c r="AI27" s="14">
        <f>IF('Données projet'!$A$62&gt;35,AI26+AH27-AQ26,IF(A27&lt;'Données projet'!$A$62,$AF$205^A27,IF(A27='Données projet'!$A$62,'Données projet'!$B$62,AI26+AH27-AQ26)))</f>
        <v>129.60000000000002</v>
      </c>
      <c r="AJ27" s="14">
        <f>AI27*VLOOKUP('Données projet'!$B$10,Paramètres!$A$1:$I$88,3,0)*VLOOKUP('Données projet'!$B$10,Paramètres!$A$1:$I$88,5,0)</f>
        <v>60.652800000000006</v>
      </c>
      <c r="AK27" s="14">
        <f t="shared" si="35"/>
        <v>17.333213243579969</v>
      </c>
      <c r="AL27" s="22">
        <f t="shared" si="4"/>
        <v>135.82563973256845</v>
      </c>
      <c r="AM27" s="61">
        <f t="shared" si="5"/>
        <v>361.59634791618828</v>
      </c>
      <c r="AN27" s="61">
        <f ca="1">AVERAGE(OFFSET($AM$3,0,0,'Données projet'!$E$10+1,1))-AVERAGE(OFFSET($H$3,0,0,'Données projet'!$E$10+1,1))</f>
        <v>375.77859820466693</v>
      </c>
      <c r="AO27" s="61">
        <f t="shared" si="36"/>
        <v>242.84781402593856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6"/>
        <v>0</v>
      </c>
      <c r="AY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1.8571428571428572</v>
      </c>
      <c r="BD27" s="13">
        <f>IF('Données projet'!$A$88&gt;35,BD26+BC27-BL26,IF(A27&lt;'Données projet'!$A$88,$BA$205^A27,IF(A27='Données projet'!$A$88,'Données projet'!$B$88,BD26+BC27-BL26)))</f>
        <v>44.571428571428555</v>
      </c>
      <c r="BE27" s="14">
        <f>BD27*VLOOKUP('Données projet'!$B$11,Paramètres!$A$1:$I$88,3,0)*VLOOKUP('Données projet'!$B$11,Paramètres!$A$1:$I$88,5,0)</f>
        <v>45.195428571428558</v>
      </c>
      <c r="BF27" s="14">
        <f t="shared" si="37"/>
        <v>13.36575736869135</v>
      </c>
      <c r="BG27" s="22">
        <f t="shared" si="7"/>
        <v>101.99406551237549</v>
      </c>
      <c r="BH27" s="61">
        <f t="shared" si="8"/>
        <v>327.7647736959953</v>
      </c>
      <c r="BI27" s="61">
        <f ca="1">AVERAGE(OFFSET($BH$3,0,0,'Données projet'!$E$11+1,1))-AVERAGE(OFFSET($H$3,0,0,'Données projet'!$E$11+1,1))</f>
        <v>433.57989081194</v>
      </c>
      <c r="BJ27" s="61">
        <f t="shared" si="38"/>
        <v>182.52060621271355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9"/>
        <v>0</v>
      </c>
      <c r="BT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1" t="e">
        <f t="shared" si="11"/>
        <v>#N/A</v>
      </c>
      <c r="CD27" s="61" t="e">
        <f ca="1">AVERAGE(OFFSET($CC$3,0,0,'Données projet'!$E$12+1,1))-AVERAGE(OFFSET($H$3,0,0,'Données projet'!$E$12+1,1))</f>
        <v>#N/A</v>
      </c>
      <c r="CE27" s="61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2"/>
        <v>0</v>
      </c>
      <c r="CO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1" t="e">
        <f t="shared" si="14"/>
        <v>#N/A</v>
      </c>
      <c r="CY27" s="61" t="e">
        <f ca="1">AVERAGE(OFFSET($CX$3,0,0,'Données projet'!$E$13+1,1))-AVERAGE(OFFSET($H$3,0,0,'Données projet'!$E$13+1,1))</f>
        <v>#N/A</v>
      </c>
      <c r="CZ27" s="61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15"/>
        <v>0</v>
      </c>
      <c r="DJ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1" t="e">
        <f t="shared" si="17"/>
        <v>#N/A</v>
      </c>
      <c r="DT27" s="61" t="e">
        <f ca="1">AVERAGE(OFFSET($DS$3,0,0,'Données projet'!$E$14+1,1))-AVERAGE(OFFSET($H$3,0,0,'Données projet'!$E$14+1,1))</f>
        <v>#N/A</v>
      </c>
      <c r="DU27" s="61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18"/>
        <v>0</v>
      </c>
      <c r="EE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1" t="e">
        <f t="shared" si="20"/>
        <v>#N/A</v>
      </c>
      <c r="EO27" s="61" t="e">
        <f ca="1">AVERAGE(OFFSET($EN$3,0,0,'Données projet'!$E$15+1,1))-AVERAGE(OFFSET($H$3,0,0,'Données projet'!$E$15+1,1))</f>
        <v>#N/A</v>
      </c>
      <c r="EP27" s="61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1"/>
        <v>0</v>
      </c>
      <c r="EZ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1" t="e">
        <f t="shared" si="23"/>
        <v>#N/A</v>
      </c>
      <c r="FJ27" s="61" t="e">
        <f ca="1">AVERAGE(OFFSET($FI$3,0,0,'Données projet'!$E$16+1,1))-AVERAGE(OFFSET($H$3,0,0,'Données projet'!$E$16+1,1))</f>
        <v>#N/A</v>
      </c>
      <c r="FK27" s="61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24"/>
        <v>0</v>
      </c>
      <c r="FU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1" t="e">
        <f t="shared" si="26"/>
        <v>#N/A</v>
      </c>
      <c r="GE27" s="61" t="e">
        <f ca="1">AVERAGE(OFFSET($GD$3,0,0,'Données projet'!$E$17+1,1))-AVERAGE(OFFSET($H$3,0,0,'Données projet'!$E$17+1,1))</f>
        <v>#N/A</v>
      </c>
      <c r="GF27" s="61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27"/>
        <v>0</v>
      </c>
      <c r="GP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1" t="e">
        <f t="shared" si="29"/>
        <v>#N/A</v>
      </c>
      <c r="GZ27" s="61" t="e">
        <f ca="1">AVERAGE(OFFSET($GY$3,0,0,'Données projet'!$E$18+1,1))-AVERAGE(OFFSET($H$3,0,0,'Données projet'!$E$18+1,1))</f>
        <v>#N/A</v>
      </c>
      <c r="HA27" s="61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30"/>
        <v>0</v>
      </c>
    </row>
    <row r="28" spans="1:218" s="5" customFormat="1" x14ac:dyDescent="0.45">
      <c r="A28" s="11">
        <f t="shared" si="31"/>
        <v>25</v>
      </c>
      <c r="B28" s="76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9">
        <f t="shared" si="1"/>
        <v>183.33333333333334</v>
      </c>
      <c r="I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155</v>
      </c>
      <c r="L28" s="13">
        <f>VLOOKUP(A28,'Données projet'!$A$35:$I$55,9,0)</f>
        <v>13.6</v>
      </c>
      <c r="M28" s="13">
        <f t="array" ref="M28">INDEX(L:L,MIN(IF(ISNUMBER(L28:L224),ROW(L28:L224),"")))</f>
        <v>13.6</v>
      </c>
      <c r="N28" s="14">
        <f>IF('Données projet'!$A$36&gt;35,N27+M28-V27,IF(A28&lt;'Données projet'!$A$36,$K$205^A28,IF(A28='Données projet'!$A$36,'Données projet'!$B$36,N27+M28-V27)))</f>
        <v>154.99999999999997</v>
      </c>
      <c r="O28" s="14">
        <f>N28*VLOOKUP('Données projet'!$B$9,Paramètres!$A$1:$I$88,3,0)*VLOOKUP('Données projet'!$B$9,Paramètres!$A$1:$I$88,5,0)</f>
        <v>92.689999999999984</v>
      </c>
      <c r="P28" s="14">
        <f t="shared" si="33"/>
        <v>25.212872031125478</v>
      </c>
      <c r="Q28" s="22">
        <f t="shared" si="2"/>
        <v>205.34750212087684</v>
      </c>
      <c r="R28" s="61">
        <f t="shared" si="0"/>
        <v>433.38527608720892</v>
      </c>
      <c r="S28" s="61">
        <f ca="1">AVERAGE(OFFSET($R$3,0,0,'Données projet'!$E$9+1,1))-AVERAGE(OFFSET($H$3,0,0,'Données projet'!$E$9+1,1))</f>
        <v>445.53168057836308</v>
      </c>
      <c r="T28" s="61">
        <f t="shared" si="34"/>
        <v>326.78684646135241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26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0.40500000000000003</v>
      </c>
      <c r="Y28" s="17">
        <f>IF(ISNA(VLOOKUP(A28,'Données projet'!$A$35:$I$55,7,0)),0%,VLOOKUP(A28,'Données projet'!$A$35:$I$55,7,0))</f>
        <v>0.1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8.3204066697489782</v>
      </c>
      <c r="AB28" s="23">
        <f>EXP(-LN(2)/2)*AB27+(1-EXP(-LN(2)/2))/(LN(2)/2)*V28*Y28*VLOOKUP('Données projet'!$B$9,Paramètres!$A$1:$I$88,3,0)*0.475*44/12</f>
        <v>1.760394776194149</v>
      </c>
      <c r="AC28" s="24">
        <f t="shared" si="3"/>
        <v>10.080801445943127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8.4</v>
      </c>
      <c r="AI28" s="14">
        <f>IF('Données projet'!$A$62&gt;35,AI27+AH28-AQ27,IF(A28&lt;'Données projet'!$A$62,$AF$205^A28,IF(A28='Données projet'!$A$62,'Données projet'!$B$62,AI27+AH28-AQ27)))</f>
        <v>138.00000000000003</v>
      </c>
      <c r="AJ28" s="14">
        <f>AI28*VLOOKUP('Données projet'!$B$10,Paramètres!$A$1:$I$88,3,0)*VLOOKUP('Données projet'!$B$10,Paramètres!$A$1:$I$88,5,0)</f>
        <v>64.584000000000017</v>
      </c>
      <c r="AK28" s="14">
        <f t="shared" si="35"/>
        <v>18.322235519392734</v>
      </c>
      <c r="AL28" s="22">
        <f t="shared" si="4"/>
        <v>144.39502686294236</v>
      </c>
      <c r="AM28" s="61">
        <f t="shared" si="5"/>
        <v>372.43280082927447</v>
      </c>
      <c r="AN28" s="61">
        <f ca="1">AVERAGE(OFFSET($AM$3,0,0,'Données projet'!$E$10+1,1))-AVERAGE(OFFSET($H$3,0,0,'Données projet'!$E$10+1,1))</f>
        <v>375.77859820466693</v>
      </c>
      <c r="AO28" s="61">
        <f t="shared" si="36"/>
        <v>242.84781402593856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6"/>
        <v>0</v>
      </c>
      <c r="AY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1.8571428571428572</v>
      </c>
      <c r="BD28" s="13">
        <f>IF('Données projet'!$A$88&gt;35,BD27+BC28-BL27,IF(A28&lt;'Données projet'!$A$88,$BA$205^A28,IF(A28='Données projet'!$A$88,'Données projet'!$B$88,BD27+BC28-BL27)))</f>
        <v>46.428571428571409</v>
      </c>
      <c r="BE28" s="14">
        <f>BD28*VLOOKUP('Données projet'!$B$11,Paramètres!$A$1:$I$88,3,0)*VLOOKUP('Données projet'!$B$11,Paramètres!$A$1:$I$88,5,0)</f>
        <v>47.078571428571408</v>
      </c>
      <c r="BF28" s="14">
        <f t="shared" si="37"/>
        <v>13.856664807270693</v>
      </c>
      <c r="BG28" s="22">
        <f t="shared" si="7"/>
        <v>106.12886977742498</v>
      </c>
      <c r="BH28" s="61">
        <f t="shared" si="8"/>
        <v>334.16664374375711</v>
      </c>
      <c r="BI28" s="61">
        <f ca="1">AVERAGE(OFFSET($BH$3,0,0,'Données projet'!$E$11+1,1))-AVERAGE(OFFSET($H$3,0,0,'Données projet'!$E$11+1,1))</f>
        <v>433.57989081194</v>
      </c>
      <c r="BJ28" s="61">
        <f t="shared" si="38"/>
        <v>182.52060621271355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9"/>
        <v>0</v>
      </c>
      <c r="BT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1" t="e">
        <f t="shared" si="11"/>
        <v>#N/A</v>
      </c>
      <c r="CD28" s="61" t="e">
        <f ca="1">AVERAGE(OFFSET($CC$3,0,0,'Données projet'!$E$12+1,1))-AVERAGE(OFFSET($H$3,0,0,'Données projet'!$E$12+1,1))</f>
        <v>#N/A</v>
      </c>
      <c r="CE28" s="61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2"/>
        <v>0</v>
      </c>
      <c r="CO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1" t="e">
        <f t="shared" si="14"/>
        <v>#N/A</v>
      </c>
      <c r="CY28" s="61" t="e">
        <f ca="1">AVERAGE(OFFSET($CX$3,0,0,'Données projet'!$E$13+1,1))-AVERAGE(OFFSET($H$3,0,0,'Données projet'!$E$13+1,1))</f>
        <v>#N/A</v>
      </c>
      <c r="CZ28" s="61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15"/>
        <v>0</v>
      </c>
      <c r="DJ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1" t="e">
        <f t="shared" si="17"/>
        <v>#N/A</v>
      </c>
      <c r="DT28" s="61" t="e">
        <f ca="1">AVERAGE(OFFSET($DS$3,0,0,'Données projet'!$E$14+1,1))-AVERAGE(OFFSET($H$3,0,0,'Données projet'!$E$14+1,1))</f>
        <v>#N/A</v>
      </c>
      <c r="DU28" s="61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18"/>
        <v>0</v>
      </c>
      <c r="EE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1" t="e">
        <f t="shared" si="20"/>
        <v>#N/A</v>
      </c>
      <c r="EO28" s="61" t="e">
        <f ca="1">AVERAGE(OFFSET($EN$3,0,0,'Données projet'!$E$15+1,1))-AVERAGE(OFFSET($H$3,0,0,'Données projet'!$E$15+1,1))</f>
        <v>#N/A</v>
      </c>
      <c r="EP28" s="61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1"/>
        <v>0</v>
      </c>
      <c r="EZ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1" t="e">
        <f t="shared" si="23"/>
        <v>#N/A</v>
      </c>
      <c r="FJ28" s="61" t="e">
        <f ca="1">AVERAGE(OFFSET($FI$3,0,0,'Données projet'!$E$16+1,1))-AVERAGE(OFFSET($H$3,0,0,'Données projet'!$E$16+1,1))</f>
        <v>#N/A</v>
      </c>
      <c r="FK28" s="61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24"/>
        <v>0</v>
      </c>
      <c r="FU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1" t="e">
        <f t="shared" si="26"/>
        <v>#N/A</v>
      </c>
      <c r="GE28" s="61" t="e">
        <f ca="1">AVERAGE(OFFSET($GD$3,0,0,'Données projet'!$E$17+1,1))-AVERAGE(OFFSET($H$3,0,0,'Données projet'!$E$17+1,1))</f>
        <v>#N/A</v>
      </c>
      <c r="GF28" s="61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27"/>
        <v>0</v>
      </c>
      <c r="GP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1" t="e">
        <f t="shared" si="29"/>
        <v>#N/A</v>
      </c>
      <c r="GZ28" s="61" t="e">
        <f ca="1">AVERAGE(OFFSET($GY$3,0,0,'Données projet'!$E$18+1,1))-AVERAGE(OFFSET($H$3,0,0,'Données projet'!$E$18+1,1))</f>
        <v>#N/A</v>
      </c>
      <c r="HA28" s="61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30"/>
        <v>0</v>
      </c>
    </row>
    <row r="29" spans="1:218" s="5" customFormat="1" x14ac:dyDescent="0.45">
      <c r="A29" s="11">
        <f t="shared" si="31"/>
        <v>26</v>
      </c>
      <c r="B29" s="76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9">
        <f t="shared" si="1"/>
        <v>183.33333333333334</v>
      </c>
      <c r="I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15.4</v>
      </c>
      <c r="N29" s="14">
        <f>IF('Données projet'!$A$36&gt;35,N28+M29-V28,IF(A29&lt;'Données projet'!$A$36,$K$205^A29,IF(A29='Données projet'!$A$36,'Données projet'!$B$36,N28+M29-V28)))</f>
        <v>144.39999999999998</v>
      </c>
      <c r="O29" s="14">
        <f>N29*VLOOKUP('Données projet'!$B$9,Paramètres!$A$1:$I$88,3,0)*VLOOKUP('Données projet'!$B$9,Paramètres!$A$1:$I$88,5,0)</f>
        <v>86.351199999999992</v>
      </c>
      <c r="P29" s="14">
        <f t="shared" si="33"/>
        <v>23.68311386341286</v>
      </c>
      <c r="Q29" s="22">
        <f t="shared" si="2"/>
        <v>191.64309664544405</v>
      </c>
      <c r="R29" s="61">
        <f t="shared" si="0"/>
        <v>421.92981069463423</v>
      </c>
      <c r="S29" s="61">
        <f ca="1">AVERAGE(OFFSET($R$3,0,0,'Données projet'!$E$9+1,1))-AVERAGE(OFFSET($H$3,0,0,'Données projet'!$E$9+1,1))</f>
        <v>445.53168057836308</v>
      </c>
      <c r="T29" s="61">
        <f t="shared" si="34"/>
        <v>326.78684646135241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8.0928847118135216</v>
      </c>
      <c r="AB29" s="23">
        <f>EXP(-LN(2)/2)*AB28+(1-EXP(-LN(2)/2))/(LN(2)/2)*V29*Y29*VLOOKUP('Données projet'!$B$9,Paramètres!$A$1:$I$88,3,0)*0.475*44/12</f>
        <v>1.2447870838122574</v>
      </c>
      <c r="AC29" s="24">
        <f t="shared" si="3"/>
        <v>9.3376717956257789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8.4</v>
      </c>
      <c r="AI29" s="14">
        <f>IF('Données projet'!$A$62&gt;35,AI28+AH29-AQ28,IF(A29&lt;'Données projet'!$A$62,$AF$205^A29,IF(A29='Données projet'!$A$62,'Données projet'!$B$62,AI28+AH29-AQ28)))</f>
        <v>146.40000000000003</v>
      </c>
      <c r="AJ29" s="14">
        <f>AI29*VLOOKUP('Données projet'!$B$10,Paramètres!$A$1:$I$88,3,0)*VLOOKUP('Données projet'!$B$10,Paramètres!$A$1:$I$88,5,0)</f>
        <v>68.515200000000007</v>
      </c>
      <c r="AK29" s="14">
        <f t="shared" si="35"/>
        <v>19.304270569673719</v>
      </c>
      <c r="AL29" s="22">
        <f t="shared" si="4"/>
        <v>152.9522445755151</v>
      </c>
      <c r="AM29" s="61">
        <f t="shared" si="5"/>
        <v>383.23895862470528</v>
      </c>
      <c r="AN29" s="61">
        <f ca="1">AVERAGE(OFFSET($AM$3,0,0,'Données projet'!$E$10+1,1))-AVERAGE(OFFSET($H$3,0,0,'Données projet'!$E$10+1,1))</f>
        <v>375.77859820466693</v>
      </c>
      <c r="AO29" s="61">
        <f t="shared" si="36"/>
        <v>242.84781402593856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6"/>
        <v>0</v>
      </c>
      <c r="AY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1.8571428571428572</v>
      </c>
      <c r="BD29" s="13">
        <f>IF('Données projet'!$A$88&gt;35,BD28+BC29-BL28,IF(A29&lt;'Données projet'!$A$88,$BA$205^A29,IF(A29='Données projet'!$A$88,'Données projet'!$B$88,BD28+BC29-BL28)))</f>
        <v>48.285714285714263</v>
      </c>
      <c r="BE29" s="14">
        <f>BD29*VLOOKUP('Données projet'!$B$11,Paramètres!$A$1:$I$88,3,0)*VLOOKUP('Données projet'!$B$11,Paramètres!$A$1:$I$88,5,0)</f>
        <v>48.961714285714265</v>
      </c>
      <c r="BF29" s="14">
        <f t="shared" si="37"/>
        <v>14.34529125117737</v>
      </c>
      <c r="BG29" s="22">
        <f t="shared" si="7"/>
        <v>110.25970131008626</v>
      </c>
      <c r="BH29" s="61">
        <f t="shared" si="8"/>
        <v>340.54641535927647</v>
      </c>
      <c r="BI29" s="61">
        <f ca="1">AVERAGE(OFFSET($BH$3,0,0,'Données projet'!$E$11+1,1))-AVERAGE(OFFSET($H$3,0,0,'Données projet'!$E$11+1,1))</f>
        <v>433.57989081194</v>
      </c>
      <c r="BJ29" s="61">
        <f t="shared" si="38"/>
        <v>182.52060621271355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9"/>
        <v>0</v>
      </c>
      <c r="BT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1" t="e">
        <f t="shared" si="11"/>
        <v>#N/A</v>
      </c>
      <c r="CD29" s="61" t="e">
        <f ca="1">AVERAGE(OFFSET($CC$3,0,0,'Données projet'!$E$12+1,1))-AVERAGE(OFFSET($H$3,0,0,'Données projet'!$E$12+1,1))</f>
        <v>#N/A</v>
      </c>
      <c r="CE29" s="61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2"/>
        <v>0</v>
      </c>
      <c r="CO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1" t="e">
        <f t="shared" si="14"/>
        <v>#N/A</v>
      </c>
      <c r="CY29" s="61" t="e">
        <f ca="1">AVERAGE(OFFSET($CX$3,0,0,'Données projet'!$E$13+1,1))-AVERAGE(OFFSET($H$3,0,0,'Données projet'!$E$13+1,1))</f>
        <v>#N/A</v>
      </c>
      <c r="CZ29" s="61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15"/>
        <v>0</v>
      </c>
      <c r="DJ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1" t="e">
        <f t="shared" si="17"/>
        <v>#N/A</v>
      </c>
      <c r="DT29" s="61" t="e">
        <f ca="1">AVERAGE(OFFSET($DS$3,0,0,'Données projet'!$E$14+1,1))-AVERAGE(OFFSET($H$3,0,0,'Données projet'!$E$14+1,1))</f>
        <v>#N/A</v>
      </c>
      <c r="DU29" s="61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18"/>
        <v>0</v>
      </c>
      <c r="EE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1" t="e">
        <f t="shared" si="20"/>
        <v>#N/A</v>
      </c>
      <c r="EO29" s="61" t="e">
        <f ca="1">AVERAGE(OFFSET($EN$3,0,0,'Données projet'!$E$15+1,1))-AVERAGE(OFFSET($H$3,0,0,'Données projet'!$E$15+1,1))</f>
        <v>#N/A</v>
      </c>
      <c r="EP29" s="61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1"/>
        <v>0</v>
      </c>
      <c r="EZ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1" t="e">
        <f t="shared" si="23"/>
        <v>#N/A</v>
      </c>
      <c r="FJ29" s="61" t="e">
        <f ca="1">AVERAGE(OFFSET($FI$3,0,0,'Données projet'!$E$16+1,1))-AVERAGE(OFFSET($H$3,0,0,'Données projet'!$E$16+1,1))</f>
        <v>#N/A</v>
      </c>
      <c r="FK29" s="61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24"/>
        <v>0</v>
      </c>
      <c r="FU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1" t="e">
        <f t="shared" si="26"/>
        <v>#N/A</v>
      </c>
      <c r="GE29" s="61" t="e">
        <f ca="1">AVERAGE(OFFSET($GD$3,0,0,'Données projet'!$E$17+1,1))-AVERAGE(OFFSET($H$3,0,0,'Données projet'!$E$17+1,1))</f>
        <v>#N/A</v>
      </c>
      <c r="GF29" s="61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27"/>
        <v>0</v>
      </c>
      <c r="GP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1" t="e">
        <f t="shared" si="29"/>
        <v>#N/A</v>
      </c>
      <c r="GZ29" s="61" t="e">
        <f ca="1">AVERAGE(OFFSET($GY$3,0,0,'Données projet'!$E$18+1,1))-AVERAGE(OFFSET($H$3,0,0,'Données projet'!$E$18+1,1))</f>
        <v>#N/A</v>
      </c>
      <c r="HA29" s="61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30"/>
        <v>0</v>
      </c>
    </row>
    <row r="30" spans="1:218" s="5" customFormat="1" x14ac:dyDescent="0.45">
      <c r="A30" s="11">
        <f t="shared" si="31"/>
        <v>27</v>
      </c>
      <c r="B30" s="76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9">
        <f t="shared" si="1"/>
        <v>183.33333333333334</v>
      </c>
      <c r="I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15.4</v>
      </c>
      <c r="N30" s="14">
        <f>IF('Données projet'!$A$36&gt;35,N29+M30-V29,IF(A30&lt;'Données projet'!$A$36,$K$205^A30,IF(A30='Données projet'!$A$36,'Données projet'!$B$36,N29+M30-V29)))</f>
        <v>159.79999999999998</v>
      </c>
      <c r="O30" s="14">
        <f>N30*VLOOKUP('Données projet'!$B$9,Paramètres!$A$1:$I$88,3,0)*VLOOKUP('Données projet'!$B$9,Paramètres!$A$1:$I$88,5,0)</f>
        <v>95.560400000000001</v>
      </c>
      <c r="P30" s="14">
        <f t="shared" si="33"/>
        <v>25.901544961107959</v>
      </c>
      <c r="Q30" s="22">
        <f t="shared" si="2"/>
        <v>211.54622080726301</v>
      </c>
      <c r="R30" s="61">
        <f t="shared" si="0"/>
        <v>444.06406367982652</v>
      </c>
      <c r="S30" s="61">
        <f ca="1">AVERAGE(OFFSET($R$3,0,0,'Données projet'!$E$9+1,1))-AVERAGE(OFFSET($H$3,0,0,'Données projet'!$E$9+1,1))</f>
        <v>445.53168057836308</v>
      </c>
      <c r="T30" s="61">
        <f t="shared" si="34"/>
        <v>326.78684646135241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7.8715843537826702</v>
      </c>
      <c r="AB30" s="23">
        <f>EXP(-LN(2)/2)*AB29+(1-EXP(-LN(2)/2))/(LN(2)/2)*V30*Y30*VLOOKUP('Données projet'!$B$9,Paramètres!$A$1:$I$88,3,0)*0.475*44/12</f>
        <v>0.8801973880970746</v>
      </c>
      <c r="AC30" s="24">
        <f t="shared" si="3"/>
        <v>8.7517817418797446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8.4</v>
      </c>
      <c r="AI30" s="14">
        <f>IF('Données projet'!$A$62&gt;35,AI29+AH30-AQ29,IF(A30&lt;'Données projet'!$A$62,$AF$205^A30,IF(A30='Données projet'!$A$62,'Données projet'!$B$62,AI29+AH30-AQ29)))</f>
        <v>154.80000000000004</v>
      </c>
      <c r="AJ30" s="14">
        <f>AI30*VLOOKUP('Données projet'!$B$10,Paramètres!$A$1:$I$88,3,0)*VLOOKUP('Données projet'!$B$10,Paramètres!$A$1:$I$88,5,0)</f>
        <v>72.446400000000025</v>
      </c>
      <c r="AK30" s="14">
        <f t="shared" si="35"/>
        <v>20.279764978841879</v>
      </c>
      <c r="AL30" s="22">
        <f t="shared" si="4"/>
        <v>161.49807067148296</v>
      </c>
      <c r="AM30" s="61">
        <f t="shared" si="5"/>
        <v>394.0159135440465</v>
      </c>
      <c r="AN30" s="61">
        <f ca="1">AVERAGE(OFFSET($AM$3,0,0,'Données projet'!$E$10+1,1))-AVERAGE(OFFSET($H$3,0,0,'Données projet'!$E$10+1,1))</f>
        <v>375.77859820466693</v>
      </c>
      <c r="AO30" s="61">
        <f t="shared" si="36"/>
        <v>242.84781402593856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6"/>
        <v>0</v>
      </c>
      <c r="AY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1.8571428571428572</v>
      </c>
      <c r="BD30" s="13">
        <f>IF('Données projet'!$A$88&gt;35,BD29+BC30-BL29,IF(A30&lt;'Données projet'!$A$88,$BA$205^A30,IF(A30='Données projet'!$A$88,'Données projet'!$B$88,BD29+BC30-BL29)))</f>
        <v>50.142857142857117</v>
      </c>
      <c r="BE30" s="14">
        <f>BD30*VLOOKUP('Données projet'!$B$11,Paramètres!$A$1:$I$88,3,0)*VLOOKUP('Données projet'!$B$11,Paramètres!$A$1:$I$88,5,0)</f>
        <v>50.844857142857123</v>
      </c>
      <c r="BF30" s="14">
        <f t="shared" si="37"/>
        <v>14.831734472986041</v>
      </c>
      <c r="BG30" s="22">
        <f t="shared" si="7"/>
        <v>114.38673039759351</v>
      </c>
      <c r="BH30" s="61">
        <f t="shared" si="8"/>
        <v>346.90457327015702</v>
      </c>
      <c r="BI30" s="61">
        <f ca="1">AVERAGE(OFFSET($BH$3,0,0,'Données projet'!$E$11+1,1))-AVERAGE(OFFSET($H$3,0,0,'Données projet'!$E$11+1,1))</f>
        <v>433.57989081194</v>
      </c>
      <c r="BJ30" s="61">
        <f t="shared" si="38"/>
        <v>182.52060621271355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9"/>
        <v>0</v>
      </c>
      <c r="BT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1" t="e">
        <f t="shared" si="11"/>
        <v>#N/A</v>
      </c>
      <c r="CD30" s="61" t="e">
        <f ca="1">AVERAGE(OFFSET($CC$3,0,0,'Données projet'!$E$12+1,1))-AVERAGE(OFFSET($H$3,0,0,'Données projet'!$E$12+1,1))</f>
        <v>#N/A</v>
      </c>
      <c r="CE30" s="61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2"/>
        <v>0</v>
      </c>
      <c r="CO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1" t="e">
        <f t="shared" si="14"/>
        <v>#N/A</v>
      </c>
      <c r="CY30" s="61" t="e">
        <f ca="1">AVERAGE(OFFSET($CX$3,0,0,'Données projet'!$E$13+1,1))-AVERAGE(OFFSET($H$3,0,0,'Données projet'!$E$13+1,1))</f>
        <v>#N/A</v>
      </c>
      <c r="CZ30" s="61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15"/>
        <v>0</v>
      </c>
      <c r="DJ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1" t="e">
        <f t="shared" si="17"/>
        <v>#N/A</v>
      </c>
      <c r="DT30" s="61" t="e">
        <f ca="1">AVERAGE(OFFSET($DS$3,0,0,'Données projet'!$E$14+1,1))-AVERAGE(OFFSET($H$3,0,0,'Données projet'!$E$14+1,1))</f>
        <v>#N/A</v>
      </c>
      <c r="DU30" s="61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18"/>
        <v>0</v>
      </c>
      <c r="EE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1" t="e">
        <f t="shared" si="20"/>
        <v>#N/A</v>
      </c>
      <c r="EO30" s="61" t="e">
        <f ca="1">AVERAGE(OFFSET($EN$3,0,0,'Données projet'!$E$15+1,1))-AVERAGE(OFFSET($H$3,0,0,'Données projet'!$E$15+1,1))</f>
        <v>#N/A</v>
      </c>
      <c r="EP30" s="61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1"/>
        <v>0</v>
      </c>
      <c r="EZ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1" t="e">
        <f t="shared" si="23"/>
        <v>#N/A</v>
      </c>
      <c r="FJ30" s="61" t="e">
        <f ca="1">AVERAGE(OFFSET($FI$3,0,0,'Données projet'!$E$16+1,1))-AVERAGE(OFFSET($H$3,0,0,'Données projet'!$E$16+1,1))</f>
        <v>#N/A</v>
      </c>
      <c r="FK30" s="61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24"/>
        <v>0</v>
      </c>
      <c r="FU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1" t="e">
        <f t="shared" si="26"/>
        <v>#N/A</v>
      </c>
      <c r="GE30" s="61" t="e">
        <f ca="1">AVERAGE(OFFSET($GD$3,0,0,'Données projet'!$E$17+1,1))-AVERAGE(OFFSET($H$3,0,0,'Données projet'!$E$17+1,1))</f>
        <v>#N/A</v>
      </c>
      <c r="GF30" s="61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27"/>
        <v>0</v>
      </c>
      <c r="GP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1" t="e">
        <f t="shared" si="29"/>
        <v>#N/A</v>
      </c>
      <c r="GZ30" s="61" t="e">
        <f ca="1">AVERAGE(OFFSET($GY$3,0,0,'Données projet'!$E$18+1,1))-AVERAGE(OFFSET($H$3,0,0,'Données projet'!$E$18+1,1))</f>
        <v>#N/A</v>
      </c>
      <c r="HA30" s="61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30"/>
        <v>0</v>
      </c>
    </row>
    <row r="31" spans="1:218" s="5" customFormat="1" x14ac:dyDescent="0.45">
      <c r="A31" s="11">
        <f t="shared" si="31"/>
        <v>28</v>
      </c>
      <c r="B31" s="76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9">
        <f t="shared" si="1"/>
        <v>183.33333333333334</v>
      </c>
      <c r="I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15.4</v>
      </c>
      <c r="N31" s="14">
        <f>IF('Données projet'!$A$36&gt;35,N30+M31-V30,IF(A31&lt;'Données projet'!$A$36,$K$205^A31,IF(A31='Données projet'!$A$36,'Données projet'!$B$36,N30+M31-V30)))</f>
        <v>175.2</v>
      </c>
      <c r="O31" s="14">
        <f>N31*VLOOKUP('Données projet'!$B$9,Paramètres!$A$1:$I$88,3,0)*VLOOKUP('Données projet'!$B$9,Paramètres!$A$1:$I$88,5,0)</f>
        <v>104.7696</v>
      </c>
      <c r="P31" s="14">
        <f t="shared" si="33"/>
        <v>28.095189350897627</v>
      </c>
      <c r="Q31" s="22">
        <f t="shared" si="2"/>
        <v>231.40617478614672</v>
      </c>
      <c r="R31" s="61">
        <f t="shared" si="0"/>
        <v>466.13764420813084</v>
      </c>
      <c r="S31" s="61">
        <f ca="1">AVERAGE(OFFSET($R$3,0,0,'Données projet'!$E$9+1,1))-AVERAGE(OFFSET($H$3,0,0,'Données projet'!$E$9+1,1))</f>
        <v>445.53168057836308</v>
      </c>
      <c r="T31" s="61">
        <f t="shared" si="34"/>
        <v>326.78684646135241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7.6563354656798523</v>
      </c>
      <c r="AB31" s="23">
        <f>EXP(-LN(2)/2)*AB30+(1-EXP(-LN(2)/2))/(LN(2)/2)*V31*Y31*VLOOKUP('Données projet'!$B$9,Paramètres!$A$1:$I$88,3,0)*0.475*44/12</f>
        <v>0.62239354190612883</v>
      </c>
      <c r="AC31" s="24">
        <f t="shared" si="3"/>
        <v>8.2787290075859818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8.4</v>
      </c>
      <c r="AI31" s="14">
        <f>IF('Données projet'!$A$62&gt;35,AI30+AH31-AQ30,IF(A31&lt;'Données projet'!$A$62,$AF$205^A31,IF(A31='Données projet'!$A$62,'Données projet'!$B$62,AI30+AH31-AQ30)))</f>
        <v>163.20000000000005</v>
      </c>
      <c r="AJ31" s="14">
        <f>AI31*VLOOKUP('Données projet'!$B$10,Paramètres!$A$1:$I$88,3,0)*VLOOKUP('Données projet'!$B$10,Paramètres!$A$1:$I$88,5,0)</f>
        <v>76.377600000000029</v>
      </c>
      <c r="AK31" s="14">
        <f t="shared" si="35"/>
        <v>21.249114127498419</v>
      </c>
      <c r="AL31" s="22">
        <f t="shared" si="4"/>
        <v>170.03319377205978</v>
      </c>
      <c r="AM31" s="61">
        <f t="shared" si="5"/>
        <v>404.76466319404386</v>
      </c>
      <c r="AN31" s="61">
        <f ca="1">AVERAGE(OFFSET($AM$3,0,0,'Données projet'!$E$10+1,1))-AVERAGE(OFFSET($H$3,0,0,'Données projet'!$E$10+1,1))</f>
        <v>375.77859820466693</v>
      </c>
      <c r="AO31" s="61">
        <f t="shared" si="36"/>
        <v>242.84781402593856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6"/>
        <v>0</v>
      </c>
      <c r="AY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1.8571428571428572</v>
      </c>
      <c r="BD31" s="13">
        <f>IF('Données projet'!$A$88&gt;35,BD30+BC31-BL30,IF(A31&lt;'Données projet'!$A$88,$BA$205^A31,IF(A31='Données projet'!$A$88,'Données projet'!$B$88,BD30+BC31-BL30)))</f>
        <v>51.999999999999972</v>
      </c>
      <c r="BE31" s="14">
        <f>BD31*VLOOKUP('Données projet'!$B$11,Paramètres!$A$1:$I$88,3,0)*VLOOKUP('Données projet'!$B$11,Paramètres!$A$1:$I$88,5,0)</f>
        <v>52.727999999999973</v>
      </c>
      <c r="BF31" s="14">
        <f t="shared" si="37"/>
        <v>15.316084592505272</v>
      </c>
      <c r="BG31" s="22">
        <f t="shared" si="7"/>
        <v>118.51011399861329</v>
      </c>
      <c r="BH31" s="61">
        <f t="shared" si="8"/>
        <v>353.24158342059741</v>
      </c>
      <c r="BI31" s="61">
        <f ca="1">AVERAGE(OFFSET($BH$3,0,0,'Données projet'!$E$11+1,1))-AVERAGE(OFFSET($H$3,0,0,'Données projet'!$E$11+1,1))</f>
        <v>433.57989081194</v>
      </c>
      <c r="BJ31" s="61">
        <f t="shared" si="38"/>
        <v>182.52060621271355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9"/>
        <v>0</v>
      </c>
      <c r="BT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1" t="e">
        <f t="shared" si="11"/>
        <v>#N/A</v>
      </c>
      <c r="CD31" s="61" t="e">
        <f ca="1">AVERAGE(OFFSET($CC$3,0,0,'Données projet'!$E$12+1,1))-AVERAGE(OFFSET($H$3,0,0,'Données projet'!$E$12+1,1))</f>
        <v>#N/A</v>
      </c>
      <c r="CE31" s="61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2"/>
        <v>0</v>
      </c>
      <c r="CO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1" t="e">
        <f t="shared" si="14"/>
        <v>#N/A</v>
      </c>
      <c r="CY31" s="61" t="e">
        <f ca="1">AVERAGE(OFFSET($CX$3,0,0,'Données projet'!$E$13+1,1))-AVERAGE(OFFSET($H$3,0,0,'Données projet'!$E$13+1,1))</f>
        <v>#N/A</v>
      </c>
      <c r="CZ31" s="61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15"/>
        <v>0</v>
      </c>
      <c r="DJ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1" t="e">
        <f t="shared" si="17"/>
        <v>#N/A</v>
      </c>
      <c r="DT31" s="61" t="e">
        <f ca="1">AVERAGE(OFFSET($DS$3,0,0,'Données projet'!$E$14+1,1))-AVERAGE(OFFSET($H$3,0,0,'Données projet'!$E$14+1,1))</f>
        <v>#N/A</v>
      </c>
      <c r="DU31" s="61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18"/>
        <v>0</v>
      </c>
      <c r="EE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1" t="e">
        <f t="shared" si="20"/>
        <v>#N/A</v>
      </c>
      <c r="EO31" s="61" t="e">
        <f ca="1">AVERAGE(OFFSET($EN$3,0,0,'Données projet'!$E$15+1,1))-AVERAGE(OFFSET($H$3,0,0,'Données projet'!$E$15+1,1))</f>
        <v>#N/A</v>
      </c>
      <c r="EP31" s="61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1"/>
        <v>0</v>
      </c>
      <c r="EZ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1" t="e">
        <f t="shared" si="23"/>
        <v>#N/A</v>
      </c>
      <c r="FJ31" s="61" t="e">
        <f ca="1">AVERAGE(OFFSET($FI$3,0,0,'Données projet'!$E$16+1,1))-AVERAGE(OFFSET($H$3,0,0,'Données projet'!$E$16+1,1))</f>
        <v>#N/A</v>
      </c>
      <c r="FK31" s="61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24"/>
        <v>0</v>
      </c>
      <c r="FU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1" t="e">
        <f t="shared" si="26"/>
        <v>#N/A</v>
      </c>
      <c r="GE31" s="61" t="e">
        <f ca="1">AVERAGE(OFFSET($GD$3,0,0,'Données projet'!$E$17+1,1))-AVERAGE(OFFSET($H$3,0,0,'Données projet'!$E$17+1,1))</f>
        <v>#N/A</v>
      </c>
      <c r="GF31" s="61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27"/>
        <v>0</v>
      </c>
      <c r="GP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1" t="e">
        <f t="shared" si="29"/>
        <v>#N/A</v>
      </c>
      <c r="GZ31" s="61" t="e">
        <f ca="1">AVERAGE(OFFSET($GY$3,0,0,'Données projet'!$E$18+1,1))-AVERAGE(OFFSET($H$3,0,0,'Données projet'!$E$18+1,1))</f>
        <v>#N/A</v>
      </c>
      <c r="HA31" s="61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30"/>
        <v>0</v>
      </c>
    </row>
    <row r="32" spans="1:218" s="5" customFormat="1" x14ac:dyDescent="0.45">
      <c r="A32" s="11">
        <f t="shared" si="31"/>
        <v>29</v>
      </c>
      <c r="B32" s="76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9">
        <f t="shared" si="1"/>
        <v>183.33333333333334</v>
      </c>
      <c r="I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15.4</v>
      </c>
      <c r="N32" s="14">
        <f>IF('Données projet'!$A$36&gt;35,N31+M32-V31,IF(A32&lt;'Données projet'!$A$36,$K$205^A32,IF(A32='Données projet'!$A$36,'Données projet'!$B$36,N31+M32-V31)))</f>
        <v>190.6</v>
      </c>
      <c r="O32" s="14">
        <f>N32*VLOOKUP('Données projet'!$B$9,Paramètres!$A$1:$I$88,3,0)*VLOOKUP('Données projet'!$B$9,Paramètres!$A$1:$I$88,5,0)</f>
        <v>113.97880000000001</v>
      </c>
      <c r="P32" s="14">
        <f t="shared" si="33"/>
        <v>30.266473511018898</v>
      </c>
      <c r="Q32" s="22">
        <f t="shared" si="2"/>
        <v>251.22718469835789</v>
      </c>
      <c r="R32" s="61">
        <f t="shared" si="0"/>
        <v>488.15508202113369</v>
      </c>
      <c r="S32" s="61">
        <f ca="1">AVERAGE(OFFSET($R$3,0,0,'Données projet'!$E$9+1,1))-AVERAGE(OFFSET($H$3,0,0,'Données projet'!$E$9+1,1))</f>
        <v>445.53168057836308</v>
      </c>
      <c r="T32" s="61">
        <f t="shared" si="34"/>
        <v>326.78684646135241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7.4469725697416536</v>
      </c>
      <c r="AB32" s="23">
        <f>EXP(-LN(2)/2)*AB31+(1-EXP(-LN(2)/2))/(LN(2)/2)*V32*Y32*VLOOKUP('Données projet'!$B$9,Paramètres!$A$1:$I$88,3,0)*0.475*44/12</f>
        <v>0.44009869404853735</v>
      </c>
      <c r="AC32" s="24">
        <f t="shared" si="3"/>
        <v>7.8870712637901912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8.4</v>
      </c>
      <c r="AI32" s="14">
        <f>IF('Données projet'!$A$62&gt;35,AI31+AH32-AQ31,IF(A32&lt;'Données projet'!$A$62,$AF$205^A32,IF(A32='Données projet'!$A$62,'Données projet'!$B$62,AI31+AH32-AQ31)))</f>
        <v>171.60000000000005</v>
      </c>
      <c r="AJ32" s="14">
        <f>AI32*VLOOKUP('Données projet'!$B$10,Paramètres!$A$1:$I$88,3,0)*VLOOKUP('Données projet'!$B$10,Paramètres!$A$1:$I$88,5,0)</f>
        <v>80.308800000000019</v>
      </c>
      <c r="AK32" s="14">
        <f t="shared" si="35"/>
        <v>22.212670396389239</v>
      </c>
      <c r="AL32" s="22">
        <f t="shared" si="4"/>
        <v>178.55822760704461</v>
      </c>
      <c r="AM32" s="61">
        <f t="shared" si="5"/>
        <v>415.48612492982045</v>
      </c>
      <c r="AN32" s="61">
        <f ca="1">AVERAGE(OFFSET($AM$3,0,0,'Données projet'!$E$10+1,1))-AVERAGE(OFFSET($H$3,0,0,'Données projet'!$E$10+1,1))</f>
        <v>375.77859820466693</v>
      </c>
      <c r="AO32" s="61">
        <f t="shared" si="36"/>
        <v>242.84781402593856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6"/>
        <v>0</v>
      </c>
      <c r="AY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1.8571428571428572</v>
      </c>
      <c r="BD32" s="13">
        <f>IF('Données projet'!$A$88&gt;35,BD31+BC32-BL31,IF(A32&lt;'Données projet'!$A$88,$BA$205^A32,IF(A32='Données projet'!$A$88,'Données projet'!$B$88,BD31+BC32-BL31)))</f>
        <v>53.857142857142826</v>
      </c>
      <c r="BE32" s="14">
        <f>BD32*VLOOKUP('Données projet'!$B$11,Paramètres!$A$1:$I$88,3,0)*VLOOKUP('Données projet'!$B$11,Paramètres!$A$1:$I$88,5,0)</f>
        <v>54.611142857142831</v>
      </c>
      <c r="BF32" s="14">
        <f t="shared" si="37"/>
        <v>15.798424927504589</v>
      </c>
      <c r="BG32" s="22">
        <f t="shared" si="7"/>
        <v>122.62999722492758</v>
      </c>
      <c r="BH32" s="61">
        <f t="shared" si="8"/>
        <v>359.55789454770343</v>
      </c>
      <c r="BI32" s="61">
        <f ca="1">AVERAGE(OFFSET($BH$3,0,0,'Données projet'!$E$11+1,1))-AVERAGE(OFFSET($H$3,0,0,'Données projet'!$E$11+1,1))</f>
        <v>433.57989081194</v>
      </c>
      <c r="BJ32" s="61">
        <f t="shared" si="38"/>
        <v>182.52060621271355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9"/>
        <v>0</v>
      </c>
      <c r="BT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1" t="e">
        <f t="shared" si="11"/>
        <v>#N/A</v>
      </c>
      <c r="CD32" s="61" t="e">
        <f ca="1">AVERAGE(OFFSET($CC$3,0,0,'Données projet'!$E$12+1,1))-AVERAGE(OFFSET($H$3,0,0,'Données projet'!$E$12+1,1))</f>
        <v>#N/A</v>
      </c>
      <c r="CE32" s="61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2"/>
        <v>0</v>
      </c>
      <c r="CO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1" t="e">
        <f t="shared" si="14"/>
        <v>#N/A</v>
      </c>
      <c r="CY32" s="61" t="e">
        <f ca="1">AVERAGE(OFFSET($CX$3,0,0,'Données projet'!$E$13+1,1))-AVERAGE(OFFSET($H$3,0,0,'Données projet'!$E$13+1,1))</f>
        <v>#N/A</v>
      </c>
      <c r="CZ32" s="61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15"/>
        <v>0</v>
      </c>
      <c r="DJ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1" t="e">
        <f t="shared" si="17"/>
        <v>#N/A</v>
      </c>
      <c r="DT32" s="61" t="e">
        <f ca="1">AVERAGE(OFFSET($DS$3,0,0,'Données projet'!$E$14+1,1))-AVERAGE(OFFSET($H$3,0,0,'Données projet'!$E$14+1,1))</f>
        <v>#N/A</v>
      </c>
      <c r="DU32" s="61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18"/>
        <v>0</v>
      </c>
      <c r="EE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1" t="e">
        <f t="shared" si="20"/>
        <v>#N/A</v>
      </c>
      <c r="EO32" s="61" t="e">
        <f ca="1">AVERAGE(OFFSET($EN$3,0,0,'Données projet'!$E$15+1,1))-AVERAGE(OFFSET($H$3,0,0,'Données projet'!$E$15+1,1))</f>
        <v>#N/A</v>
      </c>
      <c r="EP32" s="61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1"/>
        <v>0</v>
      </c>
      <c r="EZ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1" t="e">
        <f t="shared" si="23"/>
        <v>#N/A</v>
      </c>
      <c r="FJ32" s="61" t="e">
        <f ca="1">AVERAGE(OFFSET($FI$3,0,0,'Données projet'!$E$16+1,1))-AVERAGE(OFFSET($H$3,0,0,'Données projet'!$E$16+1,1))</f>
        <v>#N/A</v>
      </c>
      <c r="FK32" s="61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24"/>
        <v>0</v>
      </c>
      <c r="FU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1" t="e">
        <f t="shared" si="26"/>
        <v>#N/A</v>
      </c>
      <c r="GE32" s="61" t="e">
        <f ca="1">AVERAGE(OFFSET($GD$3,0,0,'Données projet'!$E$17+1,1))-AVERAGE(OFFSET($H$3,0,0,'Données projet'!$E$17+1,1))</f>
        <v>#N/A</v>
      </c>
      <c r="GF32" s="61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27"/>
        <v>0</v>
      </c>
      <c r="GP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1" t="e">
        <f t="shared" si="29"/>
        <v>#N/A</v>
      </c>
      <c r="GZ32" s="61" t="e">
        <f ca="1">AVERAGE(OFFSET($GY$3,0,0,'Données projet'!$E$18+1,1))-AVERAGE(OFFSET($H$3,0,0,'Données projet'!$E$18+1,1))</f>
        <v>#N/A</v>
      </c>
      <c r="HA32" s="61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30"/>
        <v>0</v>
      </c>
    </row>
    <row r="33" spans="1:218" s="5" customFormat="1" x14ac:dyDescent="0.45">
      <c r="A33" s="11">
        <f t="shared" si="31"/>
        <v>30</v>
      </c>
      <c r="B33" s="76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9">
        <f t="shared" si="1"/>
        <v>183.33333333333334</v>
      </c>
      <c r="I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206</v>
      </c>
      <c r="L33" s="13">
        <f>VLOOKUP(A33,'Données projet'!$A$35:$I$55,9,0)</f>
        <v>15.4</v>
      </c>
      <c r="M33" s="13">
        <f t="array" ref="M33">INDEX(L:L,MIN(IF(ISNUMBER(L33:L229),ROW(L33:L229),"")))</f>
        <v>15.4</v>
      </c>
      <c r="N33" s="14">
        <f>IF('Données projet'!$A$36&gt;35,N32+M33-V32,IF(A33&lt;'Données projet'!$A$36,$K$205^A33,IF(A33='Données projet'!$A$36,'Données projet'!$B$36,N32+M33-V32)))</f>
        <v>206</v>
      </c>
      <c r="O33" s="14">
        <f>N33*VLOOKUP('Données projet'!$B$9,Paramètres!$A$1:$I$88,3,0)*VLOOKUP('Données projet'!$B$9,Paramètres!$A$1:$I$88,5,0)</f>
        <v>123.18800000000002</v>
      </c>
      <c r="P33" s="14">
        <f t="shared" si="33"/>
        <v>32.417409489939047</v>
      </c>
      <c r="Q33" s="22">
        <f t="shared" si="2"/>
        <v>271.01275486164383</v>
      </c>
      <c r="R33" s="61">
        <f t="shared" si="0"/>
        <v>510.12017979468578</v>
      </c>
      <c r="S33" s="61">
        <f ca="1">AVERAGE(OFFSET($R$3,0,0,'Données projet'!$E$9+1,1))-AVERAGE(OFFSET($H$3,0,0,'Données projet'!$E$9+1,1))</f>
        <v>445.53168057836308</v>
      </c>
      <c r="T33" s="61">
        <f t="shared" si="34"/>
        <v>326.78684646135241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33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0.40500000000000003</v>
      </c>
      <c r="Y33" s="17">
        <f>IF(ISNA(VLOOKUP(A33,'Données projet'!$A$35:$I$55,7,0)),0%,VLOOKUP(A33,'Données projet'!$A$35:$I$55,7,0))</f>
        <v>0.1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17.803850870961121</v>
      </c>
      <c r="AB33" s="23">
        <f>EXP(-LN(2)/2)*AB32+(1-EXP(-LN(2)/2))/(LN(2)/2)*V33*Y33*VLOOKUP('Données projet'!$B$9,Paramètres!$A$1:$I$88,3,0)*0.475*44/12</f>
        <v>2.5455439868917917</v>
      </c>
      <c r="AC33" s="24">
        <f t="shared" si="3"/>
        <v>20.349394857852914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8.4</v>
      </c>
      <c r="AH33" s="13">
        <f t="array" ref="AH33">INDEX(AG:AG,MIN(IF(ISNUMBER(AG33:AG229),ROW(AG33:AG229),"")))</f>
        <v>8.4</v>
      </c>
      <c r="AI33" s="14">
        <f>IF('Données projet'!$A$62&gt;35,AI32+AH33-AQ32,IF(A33&lt;'Données projet'!$A$62,$AF$205^A33,IF(A33='Données projet'!$A$62,'Données projet'!$B$62,AI32+AH33-AQ32)))</f>
        <v>180.00000000000006</v>
      </c>
      <c r="AJ33" s="14">
        <f>AI33*VLOOKUP('Données projet'!$B$10,Paramètres!$A$1:$I$88,3,0)*VLOOKUP('Données projet'!$B$10,Paramètres!$A$1:$I$88,5,0)</f>
        <v>84.240000000000023</v>
      </c>
      <c r="AK33" s="14">
        <f t="shared" si="35"/>
        <v>23.170749718409478</v>
      </c>
      <c r="AL33" s="22">
        <f t="shared" si="4"/>
        <v>187.07372242622989</v>
      </c>
      <c r="AM33" s="61">
        <f t="shared" si="5"/>
        <v>426.1811473592719</v>
      </c>
      <c r="AN33" s="61">
        <f ca="1">AVERAGE(OFFSET($AM$3,0,0,'Données projet'!$E$10+1,1))-AVERAGE(OFFSET($H$3,0,0,'Données projet'!$E$10+1,1))</f>
        <v>375.77859820466693</v>
      </c>
      <c r="AO33" s="61">
        <f t="shared" si="36"/>
        <v>242.84781402593856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27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0.27500000000000002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5.8669534209768441</v>
      </c>
      <c r="AW33" s="23">
        <f>EXP(-LN(2)/2)*AW32+(1-EXP(-LN(2)/2))/(LN(2)/2)*AQ33*AT33*VLOOKUP('Données projet'!$B$9,Paramètres!$A$1:$I$88,3,0)*0.475*44/12</f>
        <v>0</v>
      </c>
      <c r="AX33" s="23">
        <f t="shared" si="6"/>
        <v>5.8669534209768441</v>
      </c>
      <c r="AY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1.8571428571428572</v>
      </c>
      <c r="BD33" s="13">
        <f>IF('Données projet'!$A$88&gt;35,BD32+BC33-BL32,IF(A33&lt;'Données projet'!$A$88,$BA$205^A33,IF(A33='Données projet'!$A$88,'Données projet'!$B$88,BD32+BC33-BL32)))</f>
        <v>55.71428571428568</v>
      </c>
      <c r="BE33" s="14">
        <f>BD33*VLOOKUP('Données projet'!$B$11,Paramètres!$A$1:$I$88,3,0)*VLOOKUP('Données projet'!$B$11,Paramètres!$A$1:$I$88,5,0)</f>
        <v>56.494285714285688</v>
      </c>
      <c r="BF33" s="14">
        <f t="shared" si="37"/>
        <v>16.278832723803248</v>
      </c>
      <c r="BG33" s="22">
        <f t="shared" si="7"/>
        <v>126.74651461300492</v>
      </c>
      <c r="BH33" s="61">
        <f t="shared" si="8"/>
        <v>365.85393954604689</v>
      </c>
      <c r="BI33" s="61">
        <f ca="1">AVERAGE(OFFSET($BH$3,0,0,'Données projet'!$E$11+1,1))-AVERAGE(OFFSET($H$3,0,0,'Données projet'!$E$11+1,1))</f>
        <v>433.57989081194</v>
      </c>
      <c r="BJ33" s="61">
        <f t="shared" si="38"/>
        <v>182.52060621271355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9"/>
        <v>0</v>
      </c>
      <c r="BT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1" t="e">
        <f t="shared" si="11"/>
        <v>#N/A</v>
      </c>
      <c r="CD33" s="61" t="e">
        <f ca="1">AVERAGE(OFFSET($CC$3,0,0,'Données projet'!$E$12+1,1))-AVERAGE(OFFSET($H$3,0,0,'Données projet'!$E$12+1,1))</f>
        <v>#N/A</v>
      </c>
      <c r="CE33" s="61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2"/>
        <v>0</v>
      </c>
      <c r="CO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1" t="e">
        <f t="shared" si="14"/>
        <v>#N/A</v>
      </c>
      <c r="CY33" s="61" t="e">
        <f ca="1">AVERAGE(OFFSET($CX$3,0,0,'Données projet'!$E$13+1,1))-AVERAGE(OFFSET($H$3,0,0,'Données projet'!$E$13+1,1))</f>
        <v>#N/A</v>
      </c>
      <c r="CZ33" s="61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15"/>
        <v>0</v>
      </c>
      <c r="DJ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1" t="e">
        <f t="shared" si="17"/>
        <v>#N/A</v>
      </c>
      <c r="DT33" s="61" t="e">
        <f ca="1">AVERAGE(OFFSET($DS$3,0,0,'Données projet'!$E$14+1,1))-AVERAGE(OFFSET($H$3,0,0,'Données projet'!$E$14+1,1))</f>
        <v>#N/A</v>
      </c>
      <c r="DU33" s="61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18"/>
        <v>0</v>
      </c>
      <c r="EE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1" t="e">
        <f t="shared" si="20"/>
        <v>#N/A</v>
      </c>
      <c r="EO33" s="61" t="e">
        <f ca="1">AVERAGE(OFFSET($EN$3,0,0,'Données projet'!$E$15+1,1))-AVERAGE(OFFSET($H$3,0,0,'Données projet'!$E$15+1,1))</f>
        <v>#N/A</v>
      </c>
      <c r="EP33" s="61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1"/>
        <v>0</v>
      </c>
      <c r="EZ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1" t="e">
        <f t="shared" si="23"/>
        <v>#N/A</v>
      </c>
      <c r="FJ33" s="61" t="e">
        <f ca="1">AVERAGE(OFFSET($FI$3,0,0,'Données projet'!$E$16+1,1))-AVERAGE(OFFSET($H$3,0,0,'Données projet'!$E$16+1,1))</f>
        <v>#N/A</v>
      </c>
      <c r="FK33" s="61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24"/>
        <v>0</v>
      </c>
      <c r="FU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1" t="e">
        <f t="shared" si="26"/>
        <v>#N/A</v>
      </c>
      <c r="GE33" s="61" t="e">
        <f ca="1">AVERAGE(OFFSET($GD$3,0,0,'Données projet'!$E$17+1,1))-AVERAGE(OFFSET($H$3,0,0,'Données projet'!$E$17+1,1))</f>
        <v>#N/A</v>
      </c>
      <c r="GF33" s="61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27"/>
        <v>0</v>
      </c>
      <c r="GP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1" t="e">
        <f t="shared" si="29"/>
        <v>#N/A</v>
      </c>
      <c r="GZ33" s="61" t="e">
        <f ca="1">AVERAGE(OFFSET($GY$3,0,0,'Données projet'!$E$18+1,1))-AVERAGE(OFFSET($H$3,0,0,'Données projet'!$E$18+1,1))</f>
        <v>#N/A</v>
      </c>
      <c r="HA33" s="61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30"/>
        <v>0</v>
      </c>
    </row>
    <row r="34" spans="1:218" s="5" customFormat="1" x14ac:dyDescent="0.45">
      <c r="A34" s="11">
        <f t="shared" si="31"/>
        <v>31</v>
      </c>
      <c r="B34" s="76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9">
        <f t="shared" si="1"/>
        <v>183.33333333333334</v>
      </c>
      <c r="I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16.600000000000001</v>
      </c>
      <c r="N34" s="14">
        <f>IF('Données projet'!$A$36&gt;35,N33+M34-V33,IF(A34&lt;'Données projet'!$A$36,$K$205^A34,IF(A34='Données projet'!$A$36,'Données projet'!$B$36,N33+M34-V33)))</f>
        <v>189.6</v>
      </c>
      <c r="O34" s="14">
        <f>N34*VLOOKUP('Données projet'!$B$9,Paramètres!$A$1:$I$88,3,0)*VLOOKUP('Données projet'!$B$9,Paramètres!$A$1:$I$88,5,0)</f>
        <v>113.38080000000001</v>
      </c>
      <c r="P34" s="14">
        <f t="shared" si="33"/>
        <v>30.126118641461851</v>
      </c>
      <c r="Q34" s="22">
        <f t="shared" si="2"/>
        <v>249.94121663387941</v>
      </c>
      <c r="R34" s="61">
        <f t="shared" si="0"/>
        <v>489.98933984669696</v>
      </c>
      <c r="S34" s="61">
        <f ca="1">AVERAGE(OFFSET($R$3,0,0,'Données projet'!$E$9+1,1))-AVERAGE(OFFSET($H$3,0,0,'Données projet'!$E$9+1,1))</f>
        <v>445.53168057836308</v>
      </c>
      <c r="T34" s="61">
        <f t="shared" si="34"/>
        <v>326.78684646135241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17.317003632630861</v>
      </c>
      <c r="AB34" s="23">
        <f>EXP(-LN(2)/2)*AB33+(1-EXP(-LN(2)/2))/(LN(2)/2)*V34*Y34*VLOOKUP('Données projet'!$B$9,Paramètres!$A$1:$I$88,3,0)*0.475*44/12</f>
        <v>1.799971414939826</v>
      </c>
      <c r="AC34" s="24">
        <f t="shared" si="3"/>
        <v>19.116975047570687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9.6999999999999993</v>
      </c>
      <c r="AI34" s="14">
        <f>IF('Données projet'!$A$62&gt;35,AI33+AH34-AQ33,IF(A34&lt;'Données projet'!$A$62,$AF$205^A34,IF(A34='Données projet'!$A$62,'Données projet'!$B$62,AI33+AH34-AQ33)))</f>
        <v>162.70000000000005</v>
      </c>
      <c r="AJ34" s="14">
        <f>AI34*VLOOKUP('Données projet'!$B$10,Paramètres!$A$1:$I$88,3,0)*VLOOKUP('Données projet'!$B$10,Paramètres!$A$1:$I$88,5,0)</f>
        <v>76.143600000000021</v>
      </c>
      <c r="AK34" s="14">
        <f t="shared" si="35"/>
        <v>21.191580215297829</v>
      </c>
      <c r="AL34" s="22">
        <f t="shared" si="4"/>
        <v>169.52543887497708</v>
      </c>
      <c r="AM34" s="61">
        <f t="shared" si="5"/>
        <v>409.57356208779464</v>
      </c>
      <c r="AN34" s="61">
        <f ca="1">AVERAGE(OFFSET($AM$3,0,0,'Données projet'!$E$10+1,1))-AVERAGE(OFFSET($H$3,0,0,'Données projet'!$E$10+1,1))</f>
        <v>375.77859820466693</v>
      </c>
      <c r="AO34" s="61">
        <f t="shared" si="36"/>
        <v>242.84781402593856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5.7065212711505611</v>
      </c>
      <c r="AW34" s="23">
        <f>EXP(-LN(2)/2)*AW33+(1-EXP(-LN(2)/2))/(LN(2)/2)*AQ34*AT34*VLOOKUP('Données projet'!$B$9,Paramètres!$A$1:$I$88,3,0)*0.475*44/12</f>
        <v>0</v>
      </c>
      <c r="AX34" s="23">
        <f t="shared" si="6"/>
        <v>5.7065212711505611</v>
      </c>
      <c r="AY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1.8571428571428572</v>
      </c>
      <c r="BD34" s="13">
        <f>IF('Données projet'!$A$88&gt;35,BD33+BC34-BL33,IF(A34&lt;'Données projet'!$A$88,$BA$205^A34,IF(A34='Données projet'!$A$88,'Données projet'!$B$88,BD33+BC34-BL33)))</f>
        <v>57.571428571428534</v>
      </c>
      <c r="BE34" s="14">
        <f>BD34*VLOOKUP('Données projet'!$B$11,Paramètres!$A$1:$I$88,3,0)*VLOOKUP('Données projet'!$B$11,Paramètres!$A$1:$I$88,5,0)</f>
        <v>58.377428571428538</v>
      </c>
      <c r="BF34" s="14">
        <f t="shared" si="37"/>
        <v>16.757379785279266</v>
      </c>
      <c r="BG34" s="22">
        <f t="shared" si="7"/>
        <v>130.85979122126611</v>
      </c>
      <c r="BH34" s="61">
        <f t="shared" si="8"/>
        <v>370.90791443408364</v>
      </c>
      <c r="BI34" s="61">
        <f ca="1">AVERAGE(OFFSET($BH$3,0,0,'Données projet'!$E$11+1,1))-AVERAGE(OFFSET($H$3,0,0,'Données projet'!$E$11+1,1))</f>
        <v>433.57989081194</v>
      </c>
      <c r="BJ34" s="61">
        <f t="shared" si="38"/>
        <v>182.52060621271355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9"/>
        <v>0</v>
      </c>
      <c r="BT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1" t="e">
        <f t="shared" si="11"/>
        <v>#N/A</v>
      </c>
      <c r="CD34" s="61" t="e">
        <f ca="1">AVERAGE(OFFSET($CC$3,0,0,'Données projet'!$E$12+1,1))-AVERAGE(OFFSET($H$3,0,0,'Données projet'!$E$12+1,1))</f>
        <v>#N/A</v>
      </c>
      <c r="CE34" s="61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2"/>
        <v>0</v>
      </c>
      <c r="CO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1" t="e">
        <f t="shared" si="14"/>
        <v>#N/A</v>
      </c>
      <c r="CY34" s="61" t="e">
        <f ca="1">AVERAGE(OFFSET($CX$3,0,0,'Données projet'!$E$13+1,1))-AVERAGE(OFFSET($H$3,0,0,'Données projet'!$E$13+1,1))</f>
        <v>#N/A</v>
      </c>
      <c r="CZ34" s="61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15"/>
        <v>0</v>
      </c>
      <c r="DJ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1" t="e">
        <f t="shared" si="17"/>
        <v>#N/A</v>
      </c>
      <c r="DT34" s="61" t="e">
        <f ca="1">AVERAGE(OFFSET($DS$3,0,0,'Données projet'!$E$14+1,1))-AVERAGE(OFFSET($H$3,0,0,'Données projet'!$E$14+1,1))</f>
        <v>#N/A</v>
      </c>
      <c r="DU34" s="61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18"/>
        <v>0</v>
      </c>
      <c r="EE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1" t="e">
        <f t="shared" si="20"/>
        <v>#N/A</v>
      </c>
      <c r="EO34" s="61" t="e">
        <f ca="1">AVERAGE(OFFSET($EN$3,0,0,'Données projet'!$E$15+1,1))-AVERAGE(OFFSET($H$3,0,0,'Données projet'!$E$15+1,1))</f>
        <v>#N/A</v>
      </c>
      <c r="EP34" s="61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1"/>
        <v>0</v>
      </c>
      <c r="EZ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1" t="e">
        <f t="shared" si="23"/>
        <v>#N/A</v>
      </c>
      <c r="FJ34" s="61" t="e">
        <f ca="1">AVERAGE(OFFSET($FI$3,0,0,'Données projet'!$E$16+1,1))-AVERAGE(OFFSET($H$3,0,0,'Données projet'!$E$16+1,1))</f>
        <v>#N/A</v>
      </c>
      <c r="FK34" s="61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24"/>
        <v>0</v>
      </c>
      <c r="FU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1" t="e">
        <f t="shared" si="26"/>
        <v>#N/A</v>
      </c>
      <c r="GE34" s="61" t="e">
        <f ca="1">AVERAGE(OFFSET($GD$3,0,0,'Données projet'!$E$17+1,1))-AVERAGE(OFFSET($H$3,0,0,'Données projet'!$E$17+1,1))</f>
        <v>#N/A</v>
      </c>
      <c r="GF34" s="61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27"/>
        <v>0</v>
      </c>
      <c r="GP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1" t="e">
        <f t="shared" si="29"/>
        <v>#N/A</v>
      </c>
      <c r="GZ34" s="61" t="e">
        <f ca="1">AVERAGE(OFFSET($GY$3,0,0,'Données projet'!$E$18+1,1))-AVERAGE(OFFSET($H$3,0,0,'Données projet'!$E$18+1,1))</f>
        <v>#N/A</v>
      </c>
      <c r="HA34" s="61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30"/>
        <v>0</v>
      </c>
    </row>
    <row r="35" spans="1:218" s="5" customFormat="1" x14ac:dyDescent="0.45">
      <c r="A35" s="11">
        <f t="shared" si="31"/>
        <v>32</v>
      </c>
      <c r="B35" s="76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9">
        <f t="shared" si="1"/>
        <v>183.33333333333334</v>
      </c>
      <c r="I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16.600000000000001</v>
      </c>
      <c r="N35" s="14">
        <f>IF('Données projet'!$A$36&gt;35,N34+M35-V34,IF(A35&lt;'Données projet'!$A$36,$K$205^A35,IF(A35='Données projet'!$A$36,'Données projet'!$B$36,N34+M35-V34)))</f>
        <v>206.2</v>
      </c>
      <c r="O35" s="14">
        <f>N35*VLOOKUP('Données projet'!$B$9,Paramètres!$A$1:$I$88,3,0)*VLOOKUP('Données projet'!$B$9,Paramètres!$A$1:$I$88,5,0)</f>
        <v>123.30760000000001</v>
      </c>
      <c r="P35" s="14">
        <f t="shared" si="33"/>
        <v>32.445217650214211</v>
      </c>
      <c r="Q35" s="22">
        <f t="shared" ref="Q35:Q66" si="53">(O35+P35)*0.475*44/12</f>
        <v>271.26949074078976</v>
      </c>
      <c r="R35" s="61">
        <f t="shared" si="0"/>
        <v>512.24199322131506</v>
      </c>
      <c r="S35" s="61">
        <f ca="1">AVERAGE(OFFSET($R$3,0,0,'Données projet'!$E$9+1,1))-AVERAGE(OFFSET($H$3,0,0,'Données projet'!$E$9+1,1))</f>
        <v>445.53168057836308</v>
      </c>
      <c r="T35" s="61">
        <f t="shared" si="34"/>
        <v>326.78684646135241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16.843469257634929</v>
      </c>
      <c r="AB35" s="23">
        <f>EXP(-LN(2)/2)*AB34+(1-EXP(-LN(2)/2))/(LN(2)/2)*V35*Y35*VLOOKUP('Données projet'!$B$9,Paramètres!$A$1:$I$88,3,0)*0.475*44/12</f>
        <v>1.2727719934458961</v>
      </c>
      <c r="AC35" s="24">
        <f t="shared" si="3"/>
        <v>18.116241251080826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9.6999999999999993</v>
      </c>
      <c r="AI35" s="14">
        <f>IF('Données projet'!$A$62&gt;35,AI34+AH35-AQ34,IF(A35&lt;'Données projet'!$A$62,$AF$205^A35,IF(A35='Données projet'!$A$62,'Données projet'!$B$62,AI34+AH35-AQ34)))</f>
        <v>172.40000000000003</v>
      </c>
      <c r="AJ35" s="14">
        <f>AI35*VLOOKUP('Données projet'!$B$10,Paramètres!$A$1:$I$88,3,0)*VLOOKUP('Données projet'!$B$10,Paramètres!$A$1:$I$88,5,0)</f>
        <v>80.683200000000014</v>
      </c>
      <c r="AK35" s="14">
        <f t="shared" si="35"/>
        <v>22.304147316572479</v>
      </c>
      <c r="AL35" s="22">
        <f t="shared" si="4"/>
        <v>179.3696299096971</v>
      </c>
      <c r="AM35" s="61">
        <f t="shared" si="5"/>
        <v>420.34213239022245</v>
      </c>
      <c r="AN35" s="61">
        <f ca="1">AVERAGE(OFFSET($AM$3,0,0,'Données projet'!$E$10+1,1))-AVERAGE(OFFSET($H$3,0,0,'Données projet'!$E$10+1,1))</f>
        <v>375.77859820466693</v>
      </c>
      <c r="AO35" s="61">
        <f t="shared" si="36"/>
        <v>242.84781402593856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5.5504761468980375</v>
      </c>
      <c r="AW35" s="23">
        <f>EXP(-LN(2)/2)*AW34+(1-EXP(-LN(2)/2))/(LN(2)/2)*AQ35*AT35*VLOOKUP('Données projet'!$B$9,Paramètres!$A$1:$I$88,3,0)*0.475*44/12</f>
        <v>0</v>
      </c>
      <c r="AX35" s="23">
        <f t="shared" si="6"/>
        <v>5.5504761468980375</v>
      </c>
      <c r="AY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1.8571428571428572</v>
      </c>
      <c r="BD35" s="13">
        <f>IF('Données projet'!$A$88&gt;35,BD34+BC35-BL34,IF(A35&lt;'Données projet'!$A$88,$BA$205^A35,IF(A35='Données projet'!$A$88,'Données projet'!$B$88,BD34+BC35-BL34)))</f>
        <v>59.428571428571388</v>
      </c>
      <c r="BE35" s="14">
        <f>BD35*VLOOKUP('Données projet'!$B$11,Paramètres!$A$1:$I$88,3,0)*VLOOKUP('Données projet'!$B$11,Paramètres!$A$1:$I$88,5,0)</f>
        <v>60.260571428571396</v>
      </c>
      <c r="BF35" s="14">
        <f t="shared" si="37"/>
        <v>17.234133020303453</v>
      </c>
      <c r="BG35" s="22">
        <f t="shared" si="7"/>
        <v>134.96994358179035</v>
      </c>
      <c r="BH35" s="61">
        <f t="shared" si="8"/>
        <v>375.94244606231564</v>
      </c>
      <c r="BI35" s="61">
        <f ca="1">AVERAGE(OFFSET($BH$3,0,0,'Données projet'!$E$11+1,1))-AVERAGE(OFFSET($H$3,0,0,'Données projet'!$E$11+1,1))</f>
        <v>433.57989081194</v>
      </c>
      <c r="BJ35" s="61">
        <f t="shared" si="38"/>
        <v>182.52060621271355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9"/>
        <v>0</v>
      </c>
      <c r="BT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1" t="e">
        <f t="shared" si="11"/>
        <v>#N/A</v>
      </c>
      <c r="CD35" s="61" t="e">
        <f ca="1">AVERAGE(OFFSET($CC$3,0,0,'Données projet'!$E$12+1,1))-AVERAGE(OFFSET($H$3,0,0,'Données projet'!$E$12+1,1))</f>
        <v>#N/A</v>
      </c>
      <c r="CE35" s="61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2"/>
        <v>0</v>
      </c>
      <c r="CO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1" t="e">
        <f t="shared" si="14"/>
        <v>#N/A</v>
      </c>
      <c r="CY35" s="61" t="e">
        <f ca="1">AVERAGE(OFFSET($CX$3,0,0,'Données projet'!$E$13+1,1))-AVERAGE(OFFSET($H$3,0,0,'Données projet'!$E$13+1,1))</f>
        <v>#N/A</v>
      </c>
      <c r="CZ35" s="61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15"/>
        <v>0</v>
      </c>
      <c r="DJ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1" t="e">
        <f t="shared" si="17"/>
        <v>#N/A</v>
      </c>
      <c r="DT35" s="61" t="e">
        <f ca="1">AVERAGE(OFFSET($DS$3,0,0,'Données projet'!$E$14+1,1))-AVERAGE(OFFSET($H$3,0,0,'Données projet'!$E$14+1,1))</f>
        <v>#N/A</v>
      </c>
      <c r="DU35" s="61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18"/>
        <v>0</v>
      </c>
      <c r="EE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1" t="e">
        <f t="shared" si="20"/>
        <v>#N/A</v>
      </c>
      <c r="EO35" s="61" t="e">
        <f ca="1">AVERAGE(OFFSET($EN$3,0,0,'Données projet'!$E$15+1,1))-AVERAGE(OFFSET($H$3,0,0,'Données projet'!$E$15+1,1))</f>
        <v>#N/A</v>
      </c>
      <c r="EP35" s="61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1"/>
        <v>0</v>
      </c>
      <c r="EZ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1" t="e">
        <f t="shared" si="23"/>
        <v>#N/A</v>
      </c>
      <c r="FJ35" s="61" t="e">
        <f ca="1">AVERAGE(OFFSET($FI$3,0,0,'Données projet'!$E$16+1,1))-AVERAGE(OFFSET($H$3,0,0,'Données projet'!$E$16+1,1))</f>
        <v>#N/A</v>
      </c>
      <c r="FK35" s="61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24"/>
        <v>0</v>
      </c>
      <c r="FU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1" t="e">
        <f t="shared" si="26"/>
        <v>#N/A</v>
      </c>
      <c r="GE35" s="61" t="e">
        <f ca="1">AVERAGE(OFFSET($GD$3,0,0,'Données projet'!$E$17+1,1))-AVERAGE(OFFSET($H$3,0,0,'Données projet'!$E$17+1,1))</f>
        <v>#N/A</v>
      </c>
      <c r="GF35" s="61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27"/>
        <v>0</v>
      </c>
      <c r="GP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1" t="e">
        <f t="shared" si="29"/>
        <v>#N/A</v>
      </c>
      <c r="GZ35" s="61" t="e">
        <f ca="1">AVERAGE(OFFSET($GY$3,0,0,'Données projet'!$E$18+1,1))-AVERAGE(OFFSET($H$3,0,0,'Données projet'!$E$18+1,1))</f>
        <v>#N/A</v>
      </c>
      <c r="HA35" s="61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30"/>
        <v>0</v>
      </c>
    </row>
    <row r="36" spans="1:218" s="5" customFormat="1" x14ac:dyDescent="0.45">
      <c r="A36" s="11">
        <f t="shared" si="31"/>
        <v>33</v>
      </c>
      <c r="B36" s="76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9">
        <f t="shared" si="1"/>
        <v>183.33333333333334</v>
      </c>
      <c r="I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16.600000000000001</v>
      </c>
      <c r="N36" s="14">
        <f>IF('Données projet'!$A$36&gt;35,N35+M36-V35,IF(A36&lt;'Données projet'!$A$36,$K$205^A36,IF(A36='Données projet'!$A$36,'Données projet'!$B$36,N35+M36-V35)))</f>
        <v>222.79999999999998</v>
      </c>
      <c r="O36" s="14">
        <f>N36*VLOOKUP('Données projet'!$B$9,Paramètres!$A$1:$I$88,3,0)*VLOOKUP('Données projet'!$B$9,Paramètres!$A$1:$I$88,5,0)</f>
        <v>133.23439999999999</v>
      </c>
      <c r="P36" s="14">
        <f t="shared" si="33"/>
        <v>34.742661887200939</v>
      </c>
      <c r="Q36" s="22">
        <f t="shared" si="53"/>
        <v>292.56004945354158</v>
      </c>
      <c r="R36" s="61">
        <f t="shared" si="0"/>
        <v>534.44089528808229</v>
      </c>
      <c r="S36" s="61">
        <f ca="1">AVERAGE(OFFSET($R$3,0,0,'Données projet'!$E$9+1,1))-AVERAGE(OFFSET($H$3,0,0,'Données projet'!$E$9+1,1))</f>
        <v>445.53168057836308</v>
      </c>
      <c r="T36" s="61">
        <f t="shared" si="34"/>
        <v>326.78684646135241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16.38288370502535</v>
      </c>
      <c r="AB36" s="23">
        <f>EXP(-LN(2)/2)*AB35+(1-EXP(-LN(2)/2))/(LN(2)/2)*V36*Y36*VLOOKUP('Données projet'!$B$9,Paramètres!$A$1:$I$88,3,0)*0.475*44/12</f>
        <v>0.89998570746991324</v>
      </c>
      <c r="AC36" s="24">
        <f t="shared" si="3"/>
        <v>17.282869412495263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9.6999999999999993</v>
      </c>
      <c r="AI36" s="14">
        <f>IF('Données projet'!$A$62&gt;35,AI35+AH36-AQ35,IF(A36&lt;'Données projet'!$A$62,$AF$205^A36,IF(A36='Données projet'!$A$62,'Données projet'!$B$62,AI35+AH36-AQ35)))</f>
        <v>182.10000000000002</v>
      </c>
      <c r="AJ36" s="14">
        <f>AI36*VLOOKUP('Données projet'!$B$10,Paramètres!$A$1:$I$88,3,0)*VLOOKUP('Données projet'!$B$10,Paramètres!$A$1:$I$88,5,0)</f>
        <v>85.222800000000021</v>
      </c>
      <c r="AK36" s="14">
        <f t="shared" si="35"/>
        <v>23.409447767871598</v>
      </c>
      <c r="AL36" s="22">
        <f t="shared" si="4"/>
        <v>189.20116486237637</v>
      </c>
      <c r="AM36" s="61">
        <f t="shared" si="5"/>
        <v>431.08201069691711</v>
      </c>
      <c r="AN36" s="61">
        <f ca="1">AVERAGE(OFFSET($AM$3,0,0,'Données projet'!$E$10+1,1))-AVERAGE(OFFSET($H$3,0,0,'Données projet'!$E$10+1,1))</f>
        <v>375.77859820466693</v>
      </c>
      <c r="AO36" s="61">
        <f t="shared" si="36"/>
        <v>242.84781402593856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5.3986980847742556</v>
      </c>
      <c r="AW36" s="23">
        <f>EXP(-LN(2)/2)*AW35+(1-EXP(-LN(2)/2))/(LN(2)/2)*AQ36*AT36*VLOOKUP('Données projet'!$B$9,Paramètres!$A$1:$I$88,3,0)*0.475*44/12</f>
        <v>0</v>
      </c>
      <c r="AX36" s="23">
        <f t="shared" si="6"/>
        <v>5.3986980847742556</v>
      </c>
      <c r="AY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1.8571428571428572</v>
      </c>
      <c r="BD36" s="13">
        <f>IF('Données projet'!$A$88&gt;35,BD35+BC36-BL35,IF(A36&lt;'Données projet'!$A$88,$BA$205^A36,IF(A36='Données projet'!$A$88,'Données projet'!$B$88,BD35+BC36-BL35)))</f>
        <v>61.285714285714242</v>
      </c>
      <c r="BE36" s="14">
        <f>BD36*VLOOKUP('Données projet'!$B$11,Paramètres!$A$1:$I$88,3,0)*VLOOKUP('Données projet'!$B$11,Paramètres!$A$1:$I$88,5,0)</f>
        <v>62.143714285714246</v>
      </c>
      <c r="BF36" s="14">
        <f t="shared" si="37"/>
        <v>17.70915491795024</v>
      </c>
      <c r="BG36" s="22">
        <f t="shared" si="7"/>
        <v>139.07708052971563</v>
      </c>
      <c r="BH36" s="61">
        <f t="shared" si="8"/>
        <v>380.95792636425637</v>
      </c>
      <c r="BI36" s="61">
        <f ca="1">AVERAGE(OFFSET($BH$3,0,0,'Données projet'!$E$11+1,1))-AVERAGE(OFFSET($H$3,0,0,'Données projet'!$E$11+1,1))</f>
        <v>433.57989081194</v>
      </c>
      <c r="BJ36" s="61">
        <f t="shared" si="38"/>
        <v>182.52060621271355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9"/>
        <v>0</v>
      </c>
      <c r="BT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1" t="e">
        <f t="shared" si="11"/>
        <v>#N/A</v>
      </c>
      <c r="CD36" s="61" t="e">
        <f ca="1">AVERAGE(OFFSET($CC$3,0,0,'Données projet'!$E$12+1,1))-AVERAGE(OFFSET($H$3,0,0,'Données projet'!$E$12+1,1))</f>
        <v>#N/A</v>
      </c>
      <c r="CE36" s="61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2"/>
        <v>0</v>
      </c>
      <c r="CO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1" t="e">
        <f t="shared" si="14"/>
        <v>#N/A</v>
      </c>
      <c r="CY36" s="61" t="e">
        <f ca="1">AVERAGE(OFFSET($CX$3,0,0,'Données projet'!$E$13+1,1))-AVERAGE(OFFSET($H$3,0,0,'Données projet'!$E$13+1,1))</f>
        <v>#N/A</v>
      </c>
      <c r="CZ36" s="61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15"/>
        <v>0</v>
      </c>
      <c r="DJ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1" t="e">
        <f t="shared" si="17"/>
        <v>#N/A</v>
      </c>
      <c r="DT36" s="61" t="e">
        <f ca="1">AVERAGE(OFFSET($DS$3,0,0,'Données projet'!$E$14+1,1))-AVERAGE(OFFSET($H$3,0,0,'Données projet'!$E$14+1,1))</f>
        <v>#N/A</v>
      </c>
      <c r="DU36" s="61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18"/>
        <v>0</v>
      </c>
      <c r="EE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1" t="e">
        <f t="shared" si="20"/>
        <v>#N/A</v>
      </c>
      <c r="EO36" s="61" t="e">
        <f ca="1">AVERAGE(OFFSET($EN$3,0,0,'Données projet'!$E$15+1,1))-AVERAGE(OFFSET($H$3,0,0,'Données projet'!$E$15+1,1))</f>
        <v>#N/A</v>
      </c>
      <c r="EP36" s="61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1"/>
        <v>0</v>
      </c>
      <c r="EZ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1" t="e">
        <f t="shared" si="23"/>
        <v>#N/A</v>
      </c>
      <c r="FJ36" s="61" t="e">
        <f ca="1">AVERAGE(OFFSET($FI$3,0,0,'Données projet'!$E$16+1,1))-AVERAGE(OFFSET($H$3,0,0,'Données projet'!$E$16+1,1))</f>
        <v>#N/A</v>
      </c>
      <c r="FK36" s="61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24"/>
        <v>0</v>
      </c>
      <c r="FU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1" t="e">
        <f t="shared" si="26"/>
        <v>#N/A</v>
      </c>
      <c r="GE36" s="61" t="e">
        <f ca="1">AVERAGE(OFFSET($GD$3,0,0,'Données projet'!$E$17+1,1))-AVERAGE(OFFSET($H$3,0,0,'Données projet'!$E$17+1,1))</f>
        <v>#N/A</v>
      </c>
      <c r="GF36" s="61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27"/>
        <v>0</v>
      </c>
      <c r="GP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1" t="e">
        <f t="shared" si="29"/>
        <v>#N/A</v>
      </c>
      <c r="GZ36" s="61" t="e">
        <f ca="1">AVERAGE(OFFSET($GY$3,0,0,'Données projet'!$E$18+1,1))-AVERAGE(OFFSET($H$3,0,0,'Données projet'!$E$18+1,1))</f>
        <v>#N/A</v>
      </c>
      <c r="HA36" s="61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30"/>
        <v>0</v>
      </c>
    </row>
    <row r="37" spans="1:218" s="5" customFormat="1" x14ac:dyDescent="0.45">
      <c r="A37" s="11">
        <f t="shared" si="31"/>
        <v>34</v>
      </c>
      <c r="B37" s="76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9">
        <f t="shared" si="1"/>
        <v>183.33333333333334</v>
      </c>
      <c r="I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16.600000000000001</v>
      </c>
      <c r="N37" s="14">
        <f>IF('Données projet'!$A$36&gt;35,N36+M37-V36,IF(A37&lt;'Données projet'!$A$36,$K$205^A37,IF(A37='Données projet'!$A$36,'Données projet'!$B$36,N36+M37-V36)))</f>
        <v>239.39999999999998</v>
      </c>
      <c r="O37" s="14">
        <f>N37*VLOOKUP('Données projet'!$B$9,Paramètres!$A$1:$I$88,3,0)*VLOOKUP('Données projet'!$B$9,Paramètres!$A$1:$I$88,5,0)</f>
        <v>143.16120000000001</v>
      </c>
      <c r="P37" s="14">
        <f t="shared" si="33"/>
        <v>37.020248232558458</v>
      </c>
      <c r="Q37" s="22">
        <f t="shared" si="53"/>
        <v>313.81602233837265</v>
      </c>
      <c r="R37" s="61">
        <f t="shared" si="0"/>
        <v>556.58945380048817</v>
      </c>
      <c r="S37" s="61">
        <f ca="1">AVERAGE(OFFSET($R$3,0,0,'Données projet'!$E$9+1,1))-AVERAGE(OFFSET($H$3,0,0,'Données projet'!$E$9+1,1))</f>
        <v>445.53168057836308</v>
      </c>
      <c r="T37" s="61">
        <f t="shared" si="34"/>
        <v>326.78684646135241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15.934892888573021</v>
      </c>
      <c r="AB37" s="23">
        <f>EXP(-LN(2)/2)*AB36+(1-EXP(-LN(2)/2))/(LN(2)/2)*V37*Y37*VLOOKUP('Données projet'!$B$9,Paramètres!$A$1:$I$88,3,0)*0.475*44/12</f>
        <v>0.63638599672294816</v>
      </c>
      <c r="AC37" s="24">
        <f t="shared" si="3"/>
        <v>16.571278885295968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9.6999999999999993</v>
      </c>
      <c r="AI37" s="14">
        <f>IF('Données projet'!$A$62&gt;35,AI36+AH37-AQ36,IF(A37&lt;'Données projet'!$A$62,$AF$205^A37,IF(A37='Données projet'!$A$62,'Données projet'!$B$62,AI36+AH37-AQ36)))</f>
        <v>191.8</v>
      </c>
      <c r="AJ37" s="14">
        <f>AI37*VLOOKUP('Données projet'!$B$10,Paramètres!$A$1:$I$88,3,0)*VLOOKUP('Données projet'!$B$10,Paramètres!$A$1:$I$88,5,0)</f>
        <v>89.7624</v>
      </c>
      <c r="AK37" s="14">
        <f t="shared" si="35"/>
        <v>24.507912782090678</v>
      </c>
      <c r="AL37" s="22">
        <f t="shared" si="4"/>
        <v>199.02079476214126</v>
      </c>
      <c r="AM37" s="61">
        <f t="shared" si="5"/>
        <v>441.79422622425682</v>
      </c>
      <c r="AN37" s="61">
        <f ca="1">AVERAGE(OFFSET($AM$3,0,0,'Données projet'!$E$10+1,1))-AVERAGE(OFFSET($H$3,0,0,'Données projet'!$E$10+1,1))</f>
        <v>375.77859820466693</v>
      </c>
      <c r="AO37" s="61">
        <f t="shared" si="36"/>
        <v>242.84781402593856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5.2510704017409102</v>
      </c>
      <c r="AW37" s="23">
        <f>EXP(-LN(2)/2)*AW36+(1-EXP(-LN(2)/2))/(LN(2)/2)*AQ37*AT37*VLOOKUP('Données projet'!$B$9,Paramètres!$A$1:$I$88,3,0)*0.475*44/12</f>
        <v>0</v>
      </c>
      <c r="AX37" s="23">
        <f t="shared" si="6"/>
        <v>5.2510704017409102</v>
      </c>
      <c r="AY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1.8571428571428572</v>
      </c>
      <c r="BD37" s="13">
        <f>IF('Données projet'!$A$88&gt;35,BD36+BC37-BL36,IF(A37&lt;'Données projet'!$A$88,$BA$205^A37,IF(A37='Données projet'!$A$88,'Données projet'!$B$88,BD36+BC37-BL36)))</f>
        <v>63.142857142857096</v>
      </c>
      <c r="BE37" s="14">
        <f>BD37*VLOOKUP('Données projet'!$B$11,Paramètres!$A$1:$I$88,3,0)*VLOOKUP('Données projet'!$B$11,Paramètres!$A$1:$I$88,5,0)</f>
        <v>64.026857142857097</v>
      </c>
      <c r="BF37" s="14">
        <f t="shared" si="37"/>
        <v>18.182503964864395</v>
      </c>
      <c r="BG37" s="22">
        <f t="shared" si="7"/>
        <v>143.1813039292816</v>
      </c>
      <c r="BH37" s="61">
        <f t="shared" si="8"/>
        <v>385.95473539139721</v>
      </c>
      <c r="BI37" s="61">
        <f ca="1">AVERAGE(OFFSET($BH$3,0,0,'Données projet'!$E$11+1,1))-AVERAGE(OFFSET($H$3,0,0,'Données projet'!$E$11+1,1))</f>
        <v>433.57989081194</v>
      </c>
      <c r="BJ37" s="61">
        <f t="shared" si="38"/>
        <v>182.52060621271355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9"/>
        <v>0</v>
      </c>
      <c r="BT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1" t="e">
        <f t="shared" si="11"/>
        <v>#N/A</v>
      </c>
      <c r="CD37" s="61" t="e">
        <f ca="1">AVERAGE(OFFSET($CC$3,0,0,'Données projet'!$E$12+1,1))-AVERAGE(OFFSET($H$3,0,0,'Données projet'!$E$12+1,1))</f>
        <v>#N/A</v>
      </c>
      <c r="CE37" s="61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2"/>
        <v>0</v>
      </c>
      <c r="CO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1" t="e">
        <f t="shared" si="14"/>
        <v>#N/A</v>
      </c>
      <c r="CY37" s="61" t="e">
        <f ca="1">AVERAGE(OFFSET($CX$3,0,0,'Données projet'!$E$13+1,1))-AVERAGE(OFFSET($H$3,0,0,'Données projet'!$E$13+1,1))</f>
        <v>#N/A</v>
      </c>
      <c r="CZ37" s="61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15"/>
        <v>0</v>
      </c>
      <c r="DJ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1" t="e">
        <f t="shared" si="17"/>
        <v>#N/A</v>
      </c>
      <c r="DT37" s="61" t="e">
        <f ca="1">AVERAGE(OFFSET($DS$3,0,0,'Données projet'!$E$14+1,1))-AVERAGE(OFFSET($H$3,0,0,'Données projet'!$E$14+1,1))</f>
        <v>#N/A</v>
      </c>
      <c r="DU37" s="61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18"/>
        <v>0</v>
      </c>
      <c r="EE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1" t="e">
        <f t="shared" si="20"/>
        <v>#N/A</v>
      </c>
      <c r="EO37" s="61" t="e">
        <f ca="1">AVERAGE(OFFSET($EN$3,0,0,'Données projet'!$E$15+1,1))-AVERAGE(OFFSET($H$3,0,0,'Données projet'!$E$15+1,1))</f>
        <v>#N/A</v>
      </c>
      <c r="EP37" s="61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1"/>
        <v>0</v>
      </c>
      <c r="EZ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1" t="e">
        <f t="shared" si="23"/>
        <v>#N/A</v>
      </c>
      <c r="FJ37" s="61" t="e">
        <f ca="1">AVERAGE(OFFSET($FI$3,0,0,'Données projet'!$E$16+1,1))-AVERAGE(OFFSET($H$3,0,0,'Données projet'!$E$16+1,1))</f>
        <v>#N/A</v>
      </c>
      <c r="FK37" s="61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24"/>
        <v>0</v>
      </c>
      <c r="FU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1" t="e">
        <f t="shared" si="26"/>
        <v>#N/A</v>
      </c>
      <c r="GE37" s="61" t="e">
        <f ca="1">AVERAGE(OFFSET($GD$3,0,0,'Données projet'!$E$17+1,1))-AVERAGE(OFFSET($H$3,0,0,'Données projet'!$E$17+1,1))</f>
        <v>#N/A</v>
      </c>
      <c r="GF37" s="61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27"/>
        <v>0</v>
      </c>
      <c r="GP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1" t="e">
        <f t="shared" si="29"/>
        <v>#N/A</v>
      </c>
      <c r="GZ37" s="61" t="e">
        <f ca="1">AVERAGE(OFFSET($GY$3,0,0,'Données projet'!$E$18+1,1))-AVERAGE(OFFSET($H$3,0,0,'Données projet'!$E$18+1,1))</f>
        <v>#N/A</v>
      </c>
      <c r="HA37" s="61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30"/>
        <v>0</v>
      </c>
    </row>
    <row r="38" spans="1:218" s="5" customFormat="1" x14ac:dyDescent="0.45">
      <c r="A38" s="11">
        <f t="shared" si="31"/>
        <v>35</v>
      </c>
      <c r="B38" s="76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9">
        <f t="shared" si="1"/>
        <v>183.33333333333334</v>
      </c>
      <c r="I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256</v>
      </c>
      <c r="L38" s="13">
        <f>VLOOKUP(A38,'Données projet'!$A$35:$I$55,9,0)</f>
        <v>16.600000000000001</v>
      </c>
      <c r="M38" s="13">
        <f t="array" ref="M38">INDEX(L:L,MIN(IF(ISNUMBER(L38:L234),ROW(L38:L234),"")))</f>
        <v>16.600000000000001</v>
      </c>
      <c r="N38" s="14">
        <f>IF('Données projet'!$A$36&gt;35,N37+M38-V37,IF(A38&lt;'Données projet'!$A$36,$K$205^A38,IF(A38='Données projet'!$A$36,'Données projet'!$B$36,N37+M38-V37)))</f>
        <v>255.99999999999997</v>
      </c>
      <c r="O38" s="14">
        <f>N38*VLOOKUP('Données projet'!$B$9,Paramètres!$A$1:$I$88,3,0)*VLOOKUP('Données projet'!$B$9,Paramètres!$A$1:$I$88,5,0)</f>
        <v>153.08799999999999</v>
      </c>
      <c r="P38" s="14">
        <f t="shared" si="33"/>
        <v>39.279510265435114</v>
      </c>
      <c r="Q38" s="22">
        <f t="shared" si="53"/>
        <v>335.04008037896614</v>
      </c>
      <c r="R38" s="61">
        <f t="shared" si="0"/>
        <v>578.69061310354061</v>
      </c>
      <c r="S38" s="61">
        <f ca="1">AVERAGE(OFFSET($R$3,0,0,'Données projet'!$E$9+1,1))-AVERAGE(OFFSET($H$3,0,0,'Données projet'!$E$9+1,1))</f>
        <v>445.53168057836308</v>
      </c>
      <c r="T38" s="61">
        <f t="shared" si="34"/>
        <v>326.78684646135241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39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0.40500000000000003</v>
      </c>
      <c r="Y38" s="17">
        <f>IF(ISNA(VLOOKUP(A38,'Données projet'!$A$35:$I$55,7,0)),0%,VLOOKUP(A38,'Données projet'!$A$35:$I$55,7,0))</f>
        <v>0.1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27.979762409178864</v>
      </c>
      <c r="AB38" s="23">
        <f>EXP(-LN(2)/2)*AB37+(1-EXP(-LN(2)/2))/(LN(2)/2)*V38*Y38*VLOOKUP('Données projet'!$B$9,Paramètres!$A$1:$I$88,3,0)*0.475*44/12</f>
        <v>3.0905850180261805</v>
      </c>
      <c r="AC38" s="24">
        <f t="shared" si="3"/>
        <v>31.070347427205043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9.6999999999999993</v>
      </c>
      <c r="AI38" s="14">
        <f>IF('Données projet'!$A$62&gt;35,AI37+AH38-AQ37,IF(A38&lt;'Données projet'!$A$62,$AF$205^A38,IF(A38='Données projet'!$A$62,'Données projet'!$B$62,AI37+AH38-AQ37)))</f>
        <v>201.5</v>
      </c>
      <c r="AJ38" s="14">
        <f>AI38*VLOOKUP('Données projet'!$B$10,Paramètres!$A$1:$I$88,3,0)*VLOOKUP('Données projet'!$B$10,Paramètres!$A$1:$I$88,5,0)</f>
        <v>94.301999999999992</v>
      </c>
      <c r="AK38" s="14">
        <f t="shared" si="35"/>
        <v>25.599927492506424</v>
      </c>
      <c r="AL38" s="22">
        <f t="shared" si="4"/>
        <v>208.829190382782</v>
      </c>
      <c r="AM38" s="61">
        <f t="shared" si="5"/>
        <v>452.47972310735651</v>
      </c>
      <c r="AN38" s="61">
        <f ca="1">AVERAGE(OFFSET($AM$3,0,0,'Données projet'!$E$10+1,1))-AVERAGE(OFFSET($H$3,0,0,'Données projet'!$E$10+1,1))</f>
        <v>375.77859820466693</v>
      </c>
      <c r="AO38" s="61">
        <f t="shared" si="36"/>
        <v>242.84781402593856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5.1074796054635136</v>
      </c>
      <c r="AW38" s="23">
        <f>EXP(-LN(2)/2)*AW37+(1-EXP(-LN(2)/2))/(LN(2)/2)*AQ38*AT38*VLOOKUP('Données projet'!$B$9,Paramètres!$A$1:$I$88,3,0)*0.475*44/12</f>
        <v>0</v>
      </c>
      <c r="AX38" s="23">
        <f t="shared" si="6"/>
        <v>5.1074796054635136</v>
      </c>
      <c r="AY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1.8571428571428572</v>
      </c>
      <c r="BD38" s="13">
        <f>IF('Données projet'!$A$88&gt;35,BD37+BC38-BL37,IF(A38&lt;'Données projet'!$A$88,$BA$205^A38,IF(A38='Données projet'!$A$88,'Données projet'!$B$88,BD37+BC38-BL37)))</f>
        <v>64.999999999999957</v>
      </c>
      <c r="BE38" s="14">
        <f>BD38*VLOOKUP('Données projet'!$B$11,Paramètres!$A$1:$I$88,3,0)*VLOOKUP('Données projet'!$B$11,Paramètres!$A$1:$I$88,5,0)</f>
        <v>65.909999999999954</v>
      </c>
      <c r="BF38" s="14">
        <f t="shared" si="37"/>
        <v>18.654235011706295</v>
      </c>
      <c r="BG38" s="22">
        <f t="shared" si="7"/>
        <v>147.28270931205503</v>
      </c>
      <c r="BH38" s="61">
        <f t="shared" si="8"/>
        <v>390.93324203662951</v>
      </c>
      <c r="BI38" s="61">
        <f ca="1">AVERAGE(OFFSET($BH$3,0,0,'Données projet'!$E$11+1,1))-AVERAGE(OFFSET($H$3,0,0,'Données projet'!$E$11+1,1))</f>
        <v>433.57989081194</v>
      </c>
      <c r="BJ38" s="61">
        <f t="shared" si="38"/>
        <v>182.52060621271355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9"/>
        <v>0</v>
      </c>
      <c r="BT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1" t="e">
        <f t="shared" si="11"/>
        <v>#N/A</v>
      </c>
      <c r="CD38" s="61" t="e">
        <f ca="1">AVERAGE(OFFSET($CC$3,0,0,'Données projet'!$E$12+1,1))-AVERAGE(OFFSET($H$3,0,0,'Données projet'!$E$12+1,1))</f>
        <v>#N/A</v>
      </c>
      <c r="CE38" s="61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2"/>
        <v>0</v>
      </c>
      <c r="CO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1" t="e">
        <f t="shared" si="14"/>
        <v>#N/A</v>
      </c>
      <c r="CY38" s="61" t="e">
        <f ca="1">AVERAGE(OFFSET($CX$3,0,0,'Données projet'!$E$13+1,1))-AVERAGE(OFFSET($H$3,0,0,'Données projet'!$E$13+1,1))</f>
        <v>#N/A</v>
      </c>
      <c r="CZ38" s="61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15"/>
        <v>0</v>
      </c>
      <c r="DJ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1" t="e">
        <f t="shared" si="17"/>
        <v>#N/A</v>
      </c>
      <c r="DT38" s="61" t="e">
        <f ca="1">AVERAGE(OFFSET($DS$3,0,0,'Données projet'!$E$14+1,1))-AVERAGE(OFFSET($H$3,0,0,'Données projet'!$E$14+1,1))</f>
        <v>#N/A</v>
      </c>
      <c r="DU38" s="61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18"/>
        <v>0</v>
      </c>
      <c r="EE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1" t="e">
        <f t="shared" si="20"/>
        <v>#N/A</v>
      </c>
      <c r="EO38" s="61" t="e">
        <f ca="1">AVERAGE(OFFSET($EN$3,0,0,'Données projet'!$E$15+1,1))-AVERAGE(OFFSET($H$3,0,0,'Données projet'!$E$15+1,1))</f>
        <v>#N/A</v>
      </c>
      <c r="EP38" s="61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1"/>
        <v>0</v>
      </c>
      <c r="EZ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1" t="e">
        <f t="shared" si="23"/>
        <v>#N/A</v>
      </c>
      <c r="FJ38" s="61" t="e">
        <f ca="1">AVERAGE(OFFSET($FI$3,0,0,'Données projet'!$E$16+1,1))-AVERAGE(OFFSET($H$3,0,0,'Données projet'!$E$16+1,1))</f>
        <v>#N/A</v>
      </c>
      <c r="FK38" s="61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24"/>
        <v>0</v>
      </c>
      <c r="FU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1" t="e">
        <f t="shared" si="26"/>
        <v>#N/A</v>
      </c>
      <c r="GE38" s="61" t="e">
        <f ca="1">AVERAGE(OFFSET($GD$3,0,0,'Données projet'!$E$17+1,1))-AVERAGE(OFFSET($H$3,0,0,'Données projet'!$E$17+1,1))</f>
        <v>#N/A</v>
      </c>
      <c r="GF38" s="61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27"/>
        <v>0</v>
      </c>
      <c r="GP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1" t="e">
        <f t="shared" si="29"/>
        <v>#N/A</v>
      </c>
      <c r="GZ38" s="61" t="e">
        <f ca="1">AVERAGE(OFFSET($GY$3,0,0,'Données projet'!$E$18+1,1))-AVERAGE(OFFSET($H$3,0,0,'Données projet'!$E$18+1,1))</f>
        <v>#N/A</v>
      </c>
      <c r="HA38" s="61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30"/>
        <v>0</v>
      </c>
    </row>
    <row r="39" spans="1:218" s="5" customFormat="1" x14ac:dyDescent="0.45">
      <c r="A39" s="11">
        <f t="shared" si="31"/>
        <v>36</v>
      </c>
      <c r="B39" s="76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9">
        <f t="shared" si="1"/>
        <v>183.33333333333334</v>
      </c>
      <c r="I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17.2</v>
      </c>
      <c r="N39" s="14">
        <f>IF('Données projet'!$A$36&gt;35,N38+M39-V38,IF(A39&lt;'Données projet'!$A$36,$K$205^A39,IF(A39='Données projet'!$A$36,'Données projet'!$B$36,N38+M39-V38)))</f>
        <v>234.2</v>
      </c>
      <c r="O39" s="14">
        <f>N39*VLOOKUP('Données projet'!$B$9,Paramètres!$A$1:$I$88,3,0)*VLOOKUP('Données projet'!$B$9,Paramètres!$A$1:$I$88,5,0)</f>
        <v>140.05160000000001</v>
      </c>
      <c r="P39" s="14">
        <f t="shared" si="33"/>
        <v>36.308826076884721</v>
      </c>
      <c r="Q39" s="22">
        <f t="shared" si="53"/>
        <v>307.16107541724091</v>
      </c>
      <c r="R39" s="61">
        <f t="shared" si="0"/>
        <v>551.67349365827533</v>
      </c>
      <c r="S39" s="61">
        <f ca="1">AVERAGE(OFFSET($R$3,0,0,'Données projet'!$E$9+1,1))-AVERAGE(OFFSET($H$3,0,0,'Données projet'!$E$9+1,1))</f>
        <v>445.53168057836308</v>
      </c>
      <c r="T39" s="61">
        <f t="shared" si="34"/>
        <v>326.78684646135241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27.214654334708111</v>
      </c>
      <c r="AB39" s="23">
        <f>EXP(-LN(2)/2)*AB38+(1-EXP(-LN(2)/2))/(LN(2)/2)*V39*Y39*VLOOKUP('Données projet'!$B$9,Paramètres!$A$1:$I$88,3,0)*0.475*44/12</f>
        <v>2.1853736240798605</v>
      </c>
      <c r="AC39" s="24">
        <f t="shared" si="3"/>
        <v>29.400027958787973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9.6999999999999993</v>
      </c>
      <c r="AI39" s="14">
        <f>IF('Données projet'!$A$62&gt;35,AI38+AH39-AQ38,IF(A39&lt;'Données projet'!$A$62,$AF$205^A39,IF(A39='Données projet'!$A$62,'Données projet'!$B$62,AI38+AH39-AQ38)))</f>
        <v>211.2</v>
      </c>
      <c r="AJ39" s="14">
        <f>AI39*VLOOKUP('Données projet'!$B$10,Paramètres!$A$1:$I$88,3,0)*VLOOKUP('Données projet'!$B$10,Paramètres!$A$1:$I$88,5,0)</f>
        <v>98.8416</v>
      </c>
      <c r="AK39" s="14">
        <f t="shared" si="35"/>
        <v>26.68583785749972</v>
      </c>
      <c r="AL39" s="22">
        <f t="shared" si="4"/>
        <v>218.62695426847867</v>
      </c>
      <c r="AM39" s="61">
        <f t="shared" si="5"/>
        <v>463.13937250951312</v>
      </c>
      <c r="AN39" s="61">
        <f ca="1">AVERAGE(OFFSET($AM$3,0,0,'Données projet'!$E$10+1,1))-AVERAGE(OFFSET($H$3,0,0,'Données projet'!$E$10+1,1))</f>
        <v>375.77859820466693</v>
      </c>
      <c r="AO39" s="61">
        <f t="shared" si="36"/>
        <v>242.84781402593856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4.9678153070614348</v>
      </c>
      <c r="AW39" s="23">
        <f>EXP(-LN(2)/2)*AW38+(1-EXP(-LN(2)/2))/(LN(2)/2)*AQ39*AT39*VLOOKUP('Données projet'!$B$9,Paramètres!$A$1:$I$88,3,0)*0.475*44/12</f>
        <v>0</v>
      </c>
      <c r="AX39" s="23">
        <f t="shared" si="6"/>
        <v>4.9678153070614348</v>
      </c>
      <c r="AY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1.8571428571428572</v>
      </c>
      <c r="BD39" s="13">
        <f>IF('Données projet'!$A$88&gt;35,BD38+BC39-BL38,IF(A39&lt;'Données projet'!$A$88,$BA$205^A39,IF(A39='Données projet'!$A$88,'Données projet'!$B$88,BD38+BC39-BL38)))</f>
        <v>66.857142857142819</v>
      </c>
      <c r="BE39" s="14">
        <f>BD39*VLOOKUP('Données projet'!$B$11,Paramètres!$A$1:$I$88,3,0)*VLOOKUP('Données projet'!$B$11,Paramètres!$A$1:$I$88,5,0)</f>
        <v>67.793142857142826</v>
      </c>
      <c r="BF39" s="14">
        <f t="shared" si="37"/>
        <v>19.124399596540709</v>
      </c>
      <c r="BG39" s="22">
        <f t="shared" si="7"/>
        <v>151.38138644016547</v>
      </c>
      <c r="BH39" s="61">
        <f t="shared" si="8"/>
        <v>395.89380468119987</v>
      </c>
      <c r="BI39" s="61">
        <f ca="1">AVERAGE(OFFSET($BH$3,0,0,'Données projet'!$E$11+1,1))-AVERAGE(OFFSET($H$3,0,0,'Données projet'!$E$11+1,1))</f>
        <v>433.57989081194</v>
      </c>
      <c r="BJ39" s="61">
        <f t="shared" si="38"/>
        <v>182.52060621271355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9"/>
        <v>0</v>
      </c>
      <c r="BT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1" t="e">
        <f t="shared" si="11"/>
        <v>#N/A</v>
      </c>
      <c r="CD39" s="61" t="e">
        <f ca="1">AVERAGE(OFFSET($CC$3,0,0,'Données projet'!$E$12+1,1))-AVERAGE(OFFSET($H$3,0,0,'Données projet'!$E$12+1,1))</f>
        <v>#N/A</v>
      </c>
      <c r="CE39" s="61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2"/>
        <v>0</v>
      </c>
      <c r="CO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1" t="e">
        <f t="shared" si="14"/>
        <v>#N/A</v>
      </c>
      <c r="CY39" s="61" t="e">
        <f ca="1">AVERAGE(OFFSET($CX$3,0,0,'Données projet'!$E$13+1,1))-AVERAGE(OFFSET($H$3,0,0,'Données projet'!$E$13+1,1))</f>
        <v>#N/A</v>
      </c>
      <c r="CZ39" s="61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15"/>
        <v>0</v>
      </c>
      <c r="DJ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1" t="e">
        <f t="shared" si="17"/>
        <v>#N/A</v>
      </c>
      <c r="DT39" s="61" t="e">
        <f ca="1">AVERAGE(OFFSET($DS$3,0,0,'Données projet'!$E$14+1,1))-AVERAGE(OFFSET($H$3,0,0,'Données projet'!$E$14+1,1))</f>
        <v>#N/A</v>
      </c>
      <c r="DU39" s="61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18"/>
        <v>0</v>
      </c>
      <c r="EE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1" t="e">
        <f t="shared" si="20"/>
        <v>#N/A</v>
      </c>
      <c r="EO39" s="61" t="e">
        <f ca="1">AVERAGE(OFFSET($EN$3,0,0,'Données projet'!$E$15+1,1))-AVERAGE(OFFSET($H$3,0,0,'Données projet'!$E$15+1,1))</f>
        <v>#N/A</v>
      </c>
      <c r="EP39" s="61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1"/>
        <v>0</v>
      </c>
      <c r="EZ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1" t="e">
        <f t="shared" si="23"/>
        <v>#N/A</v>
      </c>
      <c r="FJ39" s="61" t="e">
        <f ca="1">AVERAGE(OFFSET($FI$3,0,0,'Données projet'!$E$16+1,1))-AVERAGE(OFFSET($H$3,0,0,'Données projet'!$E$16+1,1))</f>
        <v>#N/A</v>
      </c>
      <c r="FK39" s="61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24"/>
        <v>0</v>
      </c>
      <c r="FU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1" t="e">
        <f t="shared" si="26"/>
        <v>#N/A</v>
      </c>
      <c r="GE39" s="61" t="e">
        <f ca="1">AVERAGE(OFFSET($GD$3,0,0,'Données projet'!$E$17+1,1))-AVERAGE(OFFSET($H$3,0,0,'Données projet'!$E$17+1,1))</f>
        <v>#N/A</v>
      </c>
      <c r="GF39" s="61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27"/>
        <v>0</v>
      </c>
      <c r="GP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1" t="e">
        <f t="shared" si="29"/>
        <v>#N/A</v>
      </c>
      <c r="GZ39" s="61" t="e">
        <f ca="1">AVERAGE(OFFSET($GY$3,0,0,'Données projet'!$E$18+1,1))-AVERAGE(OFFSET($H$3,0,0,'Données projet'!$E$18+1,1))</f>
        <v>#N/A</v>
      </c>
      <c r="HA39" s="61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30"/>
        <v>0</v>
      </c>
    </row>
    <row r="40" spans="1:218" s="5" customFormat="1" x14ac:dyDescent="0.45">
      <c r="A40" s="11">
        <f t="shared" si="31"/>
        <v>37</v>
      </c>
      <c r="B40" s="76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9">
        <f t="shared" si="1"/>
        <v>183.33333333333334</v>
      </c>
      <c r="I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17.2</v>
      </c>
      <c r="N40" s="14">
        <f>IF('Données projet'!$A$36&gt;35,N39+M40-V39,IF(A40&lt;'Données projet'!$A$36,$K$205^A40,IF(A40='Données projet'!$A$36,'Données projet'!$B$36,N39+M40-V39)))</f>
        <v>251.39999999999998</v>
      </c>
      <c r="O40" s="14">
        <f>N40*VLOOKUP('Données projet'!$B$9,Paramètres!$A$1:$I$88,3,0)*VLOOKUP('Données projet'!$B$9,Paramètres!$A$1:$I$88,5,0)</f>
        <v>150.3372</v>
      </c>
      <c r="P40" s="14">
        <f t="shared" si="33"/>
        <v>38.655205513460139</v>
      </c>
      <c r="Q40" s="22">
        <f t="shared" si="53"/>
        <v>329.16177293594302</v>
      </c>
      <c r="R40" s="61">
        <f t="shared" si="0"/>
        <v>574.52112490661409</v>
      </c>
      <c r="S40" s="61">
        <f ca="1">AVERAGE(OFFSET($R$3,0,0,'Données projet'!$E$9+1,1))-AVERAGE(OFFSET($H$3,0,0,'Données projet'!$E$9+1,1))</f>
        <v>445.53168057836308</v>
      </c>
      <c r="T40" s="61">
        <f t="shared" si="34"/>
        <v>326.78684646135241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26.470468180769046</v>
      </c>
      <c r="AB40" s="23">
        <f>EXP(-LN(2)/2)*AB39+(1-EXP(-LN(2)/2))/(LN(2)/2)*V40*Y40*VLOOKUP('Données projet'!$B$9,Paramètres!$A$1:$I$88,3,0)*0.475*44/12</f>
        <v>1.5452925090130905</v>
      </c>
      <c r="AC40" s="24">
        <f t="shared" si="3"/>
        <v>28.015760689782137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9.6999999999999993</v>
      </c>
      <c r="AI40" s="14">
        <f>IF('Données projet'!$A$62&gt;35,AI39+AH40-AQ39,IF(A40&lt;'Données projet'!$A$62,$AF$205^A40,IF(A40='Données projet'!$A$62,'Données projet'!$B$62,AI39+AH40-AQ39)))</f>
        <v>220.89999999999998</v>
      </c>
      <c r="AJ40" s="14">
        <f>AI40*VLOOKUP('Données projet'!$B$10,Paramètres!$A$1:$I$88,3,0)*VLOOKUP('Données projet'!$B$10,Paramètres!$A$1:$I$88,5,0)</f>
        <v>103.38119999999999</v>
      </c>
      <c r="AK40" s="14">
        <f t="shared" si="35"/>
        <v>27.765956260923325</v>
      </c>
      <c r="AL40" s="22">
        <f t="shared" si="4"/>
        <v>228.41463048777476</v>
      </c>
      <c r="AM40" s="61">
        <f t="shared" si="5"/>
        <v>473.77398245844586</v>
      </c>
      <c r="AN40" s="61">
        <f ca="1">AVERAGE(OFFSET($AM$3,0,0,'Données projet'!$E$10+1,1))-AVERAGE(OFFSET($H$3,0,0,'Données projet'!$E$10+1,1))</f>
        <v>375.77859820466693</v>
      </c>
      <c r="AO40" s="61">
        <f t="shared" si="36"/>
        <v>242.84781402593856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4.831970136243787</v>
      </c>
      <c r="AW40" s="23">
        <f>EXP(-LN(2)/2)*AW39+(1-EXP(-LN(2)/2))/(LN(2)/2)*AQ40*AT40*VLOOKUP('Données projet'!$B$9,Paramètres!$A$1:$I$88,3,0)*0.475*44/12</f>
        <v>0</v>
      </c>
      <c r="AX40" s="23">
        <f t="shared" si="6"/>
        <v>4.831970136243787</v>
      </c>
      <c r="AY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1.8571428571428572</v>
      </c>
      <c r="BD40" s="13">
        <f>IF('Données projet'!$A$88&gt;35,BD39+BC40-BL39,IF(A40&lt;'Données projet'!$A$88,$BA$205^A40,IF(A40='Données projet'!$A$88,'Données projet'!$B$88,BD39+BC40-BL39)))</f>
        <v>68.71428571428568</v>
      </c>
      <c r="BE40" s="14">
        <f>BD40*VLOOKUP('Données projet'!$B$11,Paramètres!$A$1:$I$88,3,0)*VLOOKUP('Données projet'!$B$11,Paramètres!$A$1:$I$88,5,0)</f>
        <v>69.676285714285683</v>
      </c>
      <c r="BF40" s="14">
        <f t="shared" si="37"/>
        <v>19.593046231283274</v>
      </c>
      <c r="BG40" s="22">
        <f t="shared" si="7"/>
        <v>155.47741980519925</v>
      </c>
      <c r="BH40" s="61">
        <f t="shared" si="8"/>
        <v>400.83677177587037</v>
      </c>
      <c r="BI40" s="61">
        <f ca="1">AVERAGE(OFFSET($BH$3,0,0,'Données projet'!$E$11+1,1))-AVERAGE(OFFSET($H$3,0,0,'Données projet'!$E$11+1,1))</f>
        <v>433.57989081194</v>
      </c>
      <c r="BJ40" s="61">
        <f t="shared" si="38"/>
        <v>182.52060621271355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9"/>
        <v>0</v>
      </c>
      <c r="BT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1" t="e">
        <f t="shared" si="11"/>
        <v>#N/A</v>
      </c>
      <c r="CD40" s="61" t="e">
        <f ca="1">AVERAGE(OFFSET($CC$3,0,0,'Données projet'!$E$12+1,1))-AVERAGE(OFFSET($H$3,0,0,'Données projet'!$E$12+1,1))</f>
        <v>#N/A</v>
      </c>
      <c r="CE40" s="61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2"/>
        <v>0</v>
      </c>
      <c r="CO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1" t="e">
        <f t="shared" si="14"/>
        <v>#N/A</v>
      </c>
      <c r="CY40" s="61" t="e">
        <f ca="1">AVERAGE(OFFSET($CX$3,0,0,'Données projet'!$E$13+1,1))-AVERAGE(OFFSET($H$3,0,0,'Données projet'!$E$13+1,1))</f>
        <v>#N/A</v>
      </c>
      <c r="CZ40" s="61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15"/>
        <v>0</v>
      </c>
      <c r="DJ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1" t="e">
        <f t="shared" si="17"/>
        <v>#N/A</v>
      </c>
      <c r="DT40" s="61" t="e">
        <f ca="1">AVERAGE(OFFSET($DS$3,0,0,'Données projet'!$E$14+1,1))-AVERAGE(OFFSET($H$3,0,0,'Données projet'!$E$14+1,1))</f>
        <v>#N/A</v>
      </c>
      <c r="DU40" s="61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18"/>
        <v>0</v>
      </c>
      <c r="EE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1" t="e">
        <f t="shared" si="20"/>
        <v>#N/A</v>
      </c>
      <c r="EO40" s="61" t="e">
        <f ca="1">AVERAGE(OFFSET($EN$3,0,0,'Données projet'!$E$15+1,1))-AVERAGE(OFFSET($H$3,0,0,'Données projet'!$E$15+1,1))</f>
        <v>#N/A</v>
      </c>
      <c r="EP40" s="61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1"/>
        <v>0</v>
      </c>
      <c r="EZ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1" t="e">
        <f t="shared" si="23"/>
        <v>#N/A</v>
      </c>
      <c r="FJ40" s="61" t="e">
        <f ca="1">AVERAGE(OFFSET($FI$3,0,0,'Données projet'!$E$16+1,1))-AVERAGE(OFFSET($H$3,0,0,'Données projet'!$E$16+1,1))</f>
        <v>#N/A</v>
      </c>
      <c r="FK40" s="61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24"/>
        <v>0</v>
      </c>
      <c r="FU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1" t="e">
        <f t="shared" si="26"/>
        <v>#N/A</v>
      </c>
      <c r="GE40" s="61" t="e">
        <f ca="1">AVERAGE(OFFSET($GD$3,0,0,'Données projet'!$E$17+1,1))-AVERAGE(OFFSET($H$3,0,0,'Données projet'!$E$17+1,1))</f>
        <v>#N/A</v>
      </c>
      <c r="GF40" s="61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27"/>
        <v>0</v>
      </c>
      <c r="GP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1" t="e">
        <f t="shared" si="29"/>
        <v>#N/A</v>
      </c>
      <c r="GZ40" s="61" t="e">
        <f ca="1">AVERAGE(OFFSET($GY$3,0,0,'Données projet'!$E$18+1,1))-AVERAGE(OFFSET($H$3,0,0,'Données projet'!$E$18+1,1))</f>
        <v>#N/A</v>
      </c>
      <c r="HA40" s="61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30"/>
        <v>0</v>
      </c>
    </row>
    <row r="41" spans="1:218" s="5" customFormat="1" x14ac:dyDescent="0.45">
      <c r="A41" s="11">
        <f t="shared" si="31"/>
        <v>38</v>
      </c>
      <c r="B41" s="76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9">
        <f t="shared" si="1"/>
        <v>183.33333333333334</v>
      </c>
      <c r="I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17.2</v>
      </c>
      <c r="N41" s="14">
        <f>IF('Données projet'!$A$36&gt;35,N40+M41-V40,IF(A41&lt;'Données projet'!$A$36,$K$205^A41,IF(A41='Données projet'!$A$36,'Données projet'!$B$36,N40+M41-V40)))</f>
        <v>268.59999999999997</v>
      </c>
      <c r="O41" s="14">
        <f>N41*VLOOKUP('Données projet'!$B$9,Paramètres!$A$1:$I$88,3,0)*VLOOKUP('Données projet'!$B$9,Paramètres!$A$1:$I$88,5,0)</f>
        <v>160.62279999999998</v>
      </c>
      <c r="P41" s="14">
        <f t="shared" si="33"/>
        <v>40.982957907606234</v>
      </c>
      <c r="Q41" s="22">
        <f t="shared" si="53"/>
        <v>351.13002835574753</v>
      </c>
      <c r="R41" s="61">
        <f t="shared" si="0"/>
        <v>597.32162164930628</v>
      </c>
      <c r="S41" s="61">
        <f ca="1">AVERAGE(OFFSET($R$3,0,0,'Données projet'!$E$9+1,1))-AVERAGE(OFFSET($H$3,0,0,'Données projet'!$E$9+1,1))</f>
        <v>445.53168057836308</v>
      </c>
      <c r="T41" s="61">
        <f t="shared" si="34"/>
        <v>326.78684646135241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25.746631836344495</v>
      </c>
      <c r="AB41" s="23">
        <f>EXP(-LN(2)/2)*AB40+(1-EXP(-LN(2)/2))/(LN(2)/2)*V41*Y41*VLOOKUP('Données projet'!$B$9,Paramètres!$A$1:$I$88,3,0)*0.475*44/12</f>
        <v>1.0926868120399305</v>
      </c>
      <c r="AC41" s="24">
        <f t="shared" si="3"/>
        <v>26.839318648384424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9.6999999999999993</v>
      </c>
      <c r="AI41" s="14">
        <f>IF('Données projet'!$A$62&gt;35,AI40+AH41-AQ40,IF(A41&lt;'Données projet'!$A$62,$AF$205^A41,IF(A41='Données projet'!$A$62,'Données projet'!$B$62,AI40+AH41-AQ40)))</f>
        <v>230.59999999999997</v>
      </c>
      <c r="AJ41" s="14">
        <f>AI41*VLOOKUP('Données projet'!$B$10,Paramètres!$A$1:$I$88,3,0)*VLOOKUP('Données projet'!$B$10,Paramètres!$A$1:$I$88,5,0)</f>
        <v>107.92079999999999</v>
      </c>
      <c r="AK41" s="14">
        <f t="shared" si="35"/>
        <v>28.84056610102575</v>
      </c>
      <c r="AL41" s="22">
        <f t="shared" si="4"/>
        <v>238.19271262595316</v>
      </c>
      <c r="AM41" s="61">
        <f t="shared" si="5"/>
        <v>484.38430591951192</v>
      </c>
      <c r="AN41" s="61">
        <f ca="1">AVERAGE(OFFSET($AM$3,0,0,'Données projet'!$E$10+1,1))-AVERAGE(OFFSET($H$3,0,0,'Données projet'!$E$10+1,1))</f>
        <v>375.77859820466693</v>
      </c>
      <c r="AO41" s="61">
        <f t="shared" si="36"/>
        <v>242.84781402593856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4.699839658765935</v>
      </c>
      <c r="AW41" s="23">
        <f>EXP(-LN(2)/2)*AW40+(1-EXP(-LN(2)/2))/(LN(2)/2)*AQ41*AT41*VLOOKUP('Données projet'!$B$9,Paramètres!$A$1:$I$88,3,0)*0.475*44/12</f>
        <v>0</v>
      </c>
      <c r="AX41" s="23">
        <f t="shared" si="6"/>
        <v>4.699839658765935</v>
      </c>
      <c r="AY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1.8571428571428572</v>
      </c>
      <c r="BD41" s="13">
        <f>IF('Données projet'!$A$88&gt;35,BD40+BC41-BL40,IF(A41&lt;'Données projet'!$A$88,$BA$205^A41,IF(A41='Données projet'!$A$88,'Données projet'!$B$88,BD40+BC41-BL40)))</f>
        <v>70.571428571428541</v>
      </c>
      <c r="BE41" s="14">
        <f>BD41*VLOOKUP('Données projet'!$B$11,Paramètres!$A$1:$I$88,3,0)*VLOOKUP('Données projet'!$B$11,Paramètres!$A$1:$I$88,5,0)</f>
        <v>71.559428571428541</v>
      </c>
      <c r="BF41" s="14">
        <f t="shared" si="37"/>
        <v>20.060220656309003</v>
      </c>
      <c r="BG41" s="22">
        <f t="shared" si="7"/>
        <v>159.57088907164288</v>
      </c>
      <c r="BH41" s="61">
        <f t="shared" si="8"/>
        <v>405.76248236520161</v>
      </c>
      <c r="BI41" s="61">
        <f ca="1">AVERAGE(OFFSET($BH$3,0,0,'Données projet'!$E$11+1,1))-AVERAGE(OFFSET($H$3,0,0,'Données projet'!$E$11+1,1))</f>
        <v>433.57989081194</v>
      </c>
      <c r="BJ41" s="61">
        <f t="shared" si="38"/>
        <v>182.52060621271355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9"/>
        <v>0</v>
      </c>
      <c r="BT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1" t="e">
        <f t="shared" si="11"/>
        <v>#N/A</v>
      </c>
      <c r="CD41" s="61" t="e">
        <f ca="1">AVERAGE(OFFSET($CC$3,0,0,'Données projet'!$E$12+1,1))-AVERAGE(OFFSET($H$3,0,0,'Données projet'!$E$12+1,1))</f>
        <v>#N/A</v>
      </c>
      <c r="CE41" s="61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2"/>
        <v>0</v>
      </c>
      <c r="CO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1" t="e">
        <f t="shared" si="14"/>
        <v>#N/A</v>
      </c>
      <c r="CY41" s="61" t="e">
        <f ca="1">AVERAGE(OFFSET($CX$3,0,0,'Données projet'!$E$13+1,1))-AVERAGE(OFFSET($H$3,0,0,'Données projet'!$E$13+1,1))</f>
        <v>#N/A</v>
      </c>
      <c r="CZ41" s="61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15"/>
        <v>0</v>
      </c>
      <c r="DJ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1" t="e">
        <f t="shared" si="17"/>
        <v>#N/A</v>
      </c>
      <c r="DT41" s="61" t="e">
        <f ca="1">AVERAGE(OFFSET($DS$3,0,0,'Données projet'!$E$14+1,1))-AVERAGE(OFFSET($H$3,0,0,'Données projet'!$E$14+1,1))</f>
        <v>#N/A</v>
      </c>
      <c r="DU41" s="61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18"/>
        <v>0</v>
      </c>
      <c r="EE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1" t="e">
        <f t="shared" si="20"/>
        <v>#N/A</v>
      </c>
      <c r="EO41" s="61" t="e">
        <f ca="1">AVERAGE(OFFSET($EN$3,0,0,'Données projet'!$E$15+1,1))-AVERAGE(OFFSET($H$3,0,0,'Données projet'!$E$15+1,1))</f>
        <v>#N/A</v>
      </c>
      <c r="EP41" s="61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1"/>
        <v>0</v>
      </c>
      <c r="EZ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1" t="e">
        <f t="shared" si="23"/>
        <v>#N/A</v>
      </c>
      <c r="FJ41" s="61" t="e">
        <f ca="1">AVERAGE(OFFSET($FI$3,0,0,'Données projet'!$E$16+1,1))-AVERAGE(OFFSET($H$3,0,0,'Données projet'!$E$16+1,1))</f>
        <v>#N/A</v>
      </c>
      <c r="FK41" s="61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24"/>
        <v>0</v>
      </c>
      <c r="FU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1" t="e">
        <f t="shared" si="26"/>
        <v>#N/A</v>
      </c>
      <c r="GE41" s="61" t="e">
        <f ca="1">AVERAGE(OFFSET($GD$3,0,0,'Données projet'!$E$17+1,1))-AVERAGE(OFFSET($H$3,0,0,'Données projet'!$E$17+1,1))</f>
        <v>#N/A</v>
      </c>
      <c r="GF41" s="61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27"/>
        <v>0</v>
      </c>
      <c r="GP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1" t="e">
        <f t="shared" si="29"/>
        <v>#N/A</v>
      </c>
      <c r="GZ41" s="61" t="e">
        <f ca="1">AVERAGE(OFFSET($GY$3,0,0,'Données projet'!$E$18+1,1))-AVERAGE(OFFSET($H$3,0,0,'Données projet'!$E$18+1,1))</f>
        <v>#N/A</v>
      </c>
      <c r="HA41" s="61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30"/>
        <v>0</v>
      </c>
    </row>
    <row r="42" spans="1:218" s="5" customFormat="1" x14ac:dyDescent="0.45">
      <c r="A42" s="11">
        <f t="shared" si="31"/>
        <v>39</v>
      </c>
      <c r="B42" s="76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9">
        <f t="shared" si="1"/>
        <v>183.33333333333334</v>
      </c>
      <c r="I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17.2</v>
      </c>
      <c r="N42" s="14">
        <f>IF('Données projet'!$A$36&gt;35,N41+M42-V41,IF(A42&lt;'Données projet'!$A$36,$K$205^A42,IF(A42='Données projet'!$A$36,'Données projet'!$B$36,N41+M42-V41)))</f>
        <v>285.79999999999995</v>
      </c>
      <c r="O42" s="14">
        <f>N42*VLOOKUP('Données projet'!$B$9,Paramètres!$A$1:$I$88,3,0)*VLOOKUP('Données projet'!$B$9,Paramètres!$A$1:$I$88,5,0)</f>
        <v>170.9084</v>
      </c>
      <c r="P42" s="14">
        <f t="shared" si="33"/>
        <v>43.293411820221216</v>
      </c>
      <c r="Q42" s="22">
        <f t="shared" si="53"/>
        <v>373.06815558688527</v>
      </c>
      <c r="R42" s="61">
        <f t="shared" si="0"/>
        <v>620.07755267699235</v>
      </c>
      <c r="S42" s="61">
        <f ca="1">AVERAGE(OFFSET($R$3,0,0,'Données projet'!$E$9+1,1))-AVERAGE(OFFSET($H$3,0,0,'Données projet'!$E$9+1,1))</f>
        <v>445.53168057836308</v>
      </c>
      <c r="T42" s="61">
        <f t="shared" si="34"/>
        <v>326.78684646135241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25.042588834823132</v>
      </c>
      <c r="AB42" s="23">
        <f>EXP(-LN(2)/2)*AB41+(1-EXP(-LN(2)/2))/(LN(2)/2)*V42*Y42*VLOOKUP('Données projet'!$B$9,Paramètres!$A$1:$I$88,3,0)*0.475*44/12</f>
        <v>0.77264625450654534</v>
      </c>
      <c r="AC42" s="24">
        <f t="shared" si="3"/>
        <v>25.815235089329676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9.6999999999999993</v>
      </c>
      <c r="AI42" s="14">
        <f>IF('Données projet'!$A$62&gt;35,AI41+AH42-AQ41,IF(A42&lt;'Données projet'!$A$62,$AF$205^A42,IF(A42='Données projet'!$A$62,'Données projet'!$B$62,AI41+AH42-AQ41)))</f>
        <v>240.29999999999995</v>
      </c>
      <c r="AJ42" s="14">
        <f>AI42*VLOOKUP('Données projet'!$B$10,Paramètres!$A$1:$I$88,3,0)*VLOOKUP('Données projet'!$B$10,Paramètres!$A$1:$I$88,5,0)</f>
        <v>112.46039999999998</v>
      </c>
      <c r="AK42" s="14">
        <f t="shared" si="35"/>
        <v>29.909925585495053</v>
      </c>
      <c r="AL42" s="22">
        <f t="shared" si="4"/>
        <v>247.96165039473718</v>
      </c>
      <c r="AM42" s="61">
        <f t="shared" si="5"/>
        <v>494.97104748484429</v>
      </c>
      <c r="AN42" s="61">
        <f ca="1">AVERAGE(OFFSET($AM$3,0,0,'Données projet'!$E$10+1,1))-AVERAGE(OFFSET($H$3,0,0,'Données projet'!$E$10+1,1))</f>
        <v>375.77859820466693</v>
      </c>
      <c r="AO42" s="61">
        <f t="shared" si="36"/>
        <v>242.84781402593856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4.5713222961431548</v>
      </c>
      <c r="AW42" s="23">
        <f>EXP(-LN(2)/2)*AW41+(1-EXP(-LN(2)/2))/(LN(2)/2)*AQ42*AT42*VLOOKUP('Données projet'!$B$9,Paramètres!$A$1:$I$88,3,0)*0.475*44/12</f>
        <v>0</v>
      </c>
      <c r="AX42" s="23">
        <f t="shared" si="6"/>
        <v>4.5713222961431548</v>
      </c>
      <c r="AY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1.8571428571428572</v>
      </c>
      <c r="BD42" s="13">
        <f>IF('Données projet'!$A$88&gt;35,BD41+BC42-BL41,IF(A42&lt;'Données projet'!$A$88,$BA$205^A42,IF(A42='Données projet'!$A$88,'Données projet'!$B$88,BD41+BC42-BL41)))</f>
        <v>72.428571428571402</v>
      </c>
      <c r="BE42" s="14">
        <f>BD42*VLOOKUP('Données projet'!$B$11,Paramètres!$A$1:$I$88,3,0)*VLOOKUP('Données projet'!$B$11,Paramètres!$A$1:$I$88,5,0)</f>
        <v>73.442571428571412</v>
      </c>
      <c r="BF42" s="14">
        <f t="shared" si="37"/>
        <v>20.525966067505898</v>
      </c>
      <c r="BG42" s="22">
        <f t="shared" si="7"/>
        <v>163.66186947233464</v>
      </c>
      <c r="BH42" s="61">
        <f t="shared" si="8"/>
        <v>410.67126656244176</v>
      </c>
      <c r="BI42" s="61">
        <f ca="1">AVERAGE(OFFSET($BH$3,0,0,'Données projet'!$E$11+1,1))-AVERAGE(OFFSET($H$3,0,0,'Données projet'!$E$11+1,1))</f>
        <v>433.57989081194</v>
      </c>
      <c r="BJ42" s="61">
        <f t="shared" si="38"/>
        <v>182.52060621271355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9"/>
        <v>0</v>
      </c>
      <c r="BT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1" t="e">
        <f t="shared" si="11"/>
        <v>#N/A</v>
      </c>
      <c r="CD42" s="61" t="e">
        <f ca="1">AVERAGE(OFFSET($CC$3,0,0,'Données projet'!$E$12+1,1))-AVERAGE(OFFSET($H$3,0,0,'Données projet'!$E$12+1,1))</f>
        <v>#N/A</v>
      </c>
      <c r="CE42" s="61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2"/>
        <v>0</v>
      </c>
      <c r="CO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1" t="e">
        <f t="shared" si="14"/>
        <v>#N/A</v>
      </c>
      <c r="CY42" s="61" t="e">
        <f ca="1">AVERAGE(OFFSET($CX$3,0,0,'Données projet'!$E$13+1,1))-AVERAGE(OFFSET($H$3,0,0,'Données projet'!$E$13+1,1))</f>
        <v>#N/A</v>
      </c>
      <c r="CZ42" s="61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15"/>
        <v>0</v>
      </c>
      <c r="DJ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1" t="e">
        <f t="shared" si="17"/>
        <v>#N/A</v>
      </c>
      <c r="DT42" s="61" t="e">
        <f ca="1">AVERAGE(OFFSET($DS$3,0,0,'Données projet'!$E$14+1,1))-AVERAGE(OFFSET($H$3,0,0,'Données projet'!$E$14+1,1))</f>
        <v>#N/A</v>
      </c>
      <c r="DU42" s="61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18"/>
        <v>0</v>
      </c>
      <c r="EE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1" t="e">
        <f t="shared" si="20"/>
        <v>#N/A</v>
      </c>
      <c r="EO42" s="61" t="e">
        <f ca="1">AVERAGE(OFFSET($EN$3,0,0,'Données projet'!$E$15+1,1))-AVERAGE(OFFSET($H$3,0,0,'Données projet'!$E$15+1,1))</f>
        <v>#N/A</v>
      </c>
      <c r="EP42" s="61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1"/>
        <v>0</v>
      </c>
      <c r="EZ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1" t="e">
        <f t="shared" si="23"/>
        <v>#N/A</v>
      </c>
      <c r="FJ42" s="61" t="e">
        <f ca="1">AVERAGE(OFFSET($FI$3,0,0,'Données projet'!$E$16+1,1))-AVERAGE(OFFSET($H$3,0,0,'Données projet'!$E$16+1,1))</f>
        <v>#N/A</v>
      </c>
      <c r="FK42" s="61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24"/>
        <v>0</v>
      </c>
      <c r="FU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1" t="e">
        <f t="shared" si="26"/>
        <v>#N/A</v>
      </c>
      <c r="GE42" s="61" t="e">
        <f ca="1">AVERAGE(OFFSET($GD$3,0,0,'Données projet'!$E$17+1,1))-AVERAGE(OFFSET($H$3,0,0,'Données projet'!$E$17+1,1))</f>
        <v>#N/A</v>
      </c>
      <c r="GF42" s="61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27"/>
        <v>0</v>
      </c>
      <c r="GP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1" t="e">
        <f t="shared" si="29"/>
        <v>#N/A</v>
      </c>
      <c r="GZ42" s="61" t="e">
        <f ca="1">AVERAGE(OFFSET($GY$3,0,0,'Données projet'!$E$18+1,1))-AVERAGE(OFFSET($H$3,0,0,'Données projet'!$E$18+1,1))</f>
        <v>#N/A</v>
      </c>
      <c r="HA42" s="61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30"/>
        <v>0</v>
      </c>
    </row>
    <row r="43" spans="1:218" s="5" customFormat="1" x14ac:dyDescent="0.45">
      <c r="A43" s="11">
        <f t="shared" si="31"/>
        <v>40</v>
      </c>
      <c r="B43" s="76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9">
        <f t="shared" si="1"/>
        <v>183.33333333333334</v>
      </c>
      <c r="I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303</v>
      </c>
      <c r="L43" s="13">
        <f>VLOOKUP(A43,'Données projet'!$A$35:$I$55,9,0)</f>
        <v>17.2</v>
      </c>
      <c r="M43" s="13">
        <f t="array" ref="M43">INDEX(L:L,MIN(IF(ISNUMBER(L43:L239),ROW(L43:L239),"")))</f>
        <v>17.2</v>
      </c>
      <c r="N43" s="14">
        <f>IF('Données projet'!$A$36&gt;35,N42+M43-V42,IF(A43&lt;'Données projet'!$A$36,$K$205^A43,IF(A43='Données projet'!$A$36,'Données projet'!$B$36,N42+M43-V42)))</f>
        <v>302.99999999999994</v>
      </c>
      <c r="O43" s="14">
        <f>N43*VLOOKUP('Données projet'!$B$9,Paramètres!$A$1:$I$88,3,0)*VLOOKUP('Données projet'!$B$9,Paramètres!$A$1:$I$88,5,0)</f>
        <v>181.19399999999996</v>
      </c>
      <c r="P43" s="14">
        <f t="shared" si="33"/>
        <v>45.587726866550426</v>
      </c>
      <c r="Q43" s="22">
        <f t="shared" si="53"/>
        <v>394.97817429257526</v>
      </c>
      <c r="R43" s="61">
        <f t="shared" si="0"/>
        <v>642.7911881116961</v>
      </c>
      <c r="S43" s="61">
        <f ca="1">AVERAGE(OFFSET($R$3,0,0,'Données projet'!$E$9+1,1))-AVERAGE(OFFSET($H$3,0,0,'Données projet'!$E$9+1,1))</f>
        <v>445.53168057836308</v>
      </c>
      <c r="T43" s="61">
        <f t="shared" si="34"/>
        <v>326.78684646135241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43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0.40500000000000003</v>
      </c>
      <c r="Y43" s="17">
        <f>IF(ISNA(VLOOKUP(A43,'Données projet'!$A$35:$I$55,7,0)),0%,VLOOKUP(A43,'Données projet'!$A$35:$I$55,7,0))</f>
        <v>0.1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38.118470495402619</v>
      </c>
      <c r="AB43" s="23">
        <f>EXP(-LN(2)/2)*AB42+(1-EXP(-LN(2)/2))/(LN(2)/2)*V43*Y43*VLOOKUP('Données projet'!$B$9,Paramètres!$A$1:$I$88,3,0)*0.475*44/12</f>
        <v>3.4577655358795201</v>
      </c>
      <c r="AC43" s="24">
        <f t="shared" si="3"/>
        <v>41.576236031282136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250</v>
      </c>
      <c r="AG43" s="13">
        <f>VLOOKUP(A43,'Données projet'!$A$61:$I$81,9,0)</f>
        <v>9.6999999999999993</v>
      </c>
      <c r="AH43" s="13">
        <f t="array" ref="AH43">INDEX(AG:AG,MIN(IF(ISNUMBER(AG43:AG239),ROW(AG43:AG239),"")))</f>
        <v>9.6999999999999993</v>
      </c>
      <c r="AI43" s="14">
        <f>IF('Données projet'!$A$62&gt;35,AI42+AH43-AQ42,IF(A43&lt;'Données projet'!$A$62,$AF$205^A43,IF(A43='Données projet'!$A$62,'Données projet'!$B$62,AI42+AH43-AQ42)))</f>
        <v>249.99999999999994</v>
      </c>
      <c r="AJ43" s="14">
        <f>AI43*VLOOKUP('Données projet'!$B$10,Paramètres!$A$1:$I$88,3,0)*VLOOKUP('Données projet'!$B$10,Paramètres!$A$1:$I$88,5,0)</f>
        <v>116.99999999999997</v>
      </c>
      <c r="AK43" s="14">
        <f t="shared" si="35"/>
        <v>30.974270896484146</v>
      </c>
      <c r="AL43" s="22">
        <f t="shared" si="4"/>
        <v>257.72185514470982</v>
      </c>
      <c r="AM43" s="61">
        <f t="shared" si="5"/>
        <v>505.5348689638306</v>
      </c>
      <c r="AN43" s="61">
        <f ca="1">AVERAGE(OFFSET($AM$3,0,0,'Données projet'!$E$10+1,1))-AVERAGE(OFFSET($H$3,0,0,'Données projet'!$E$10+1,1))</f>
        <v>375.77859820466693</v>
      </c>
      <c r="AO43" s="61">
        <f t="shared" si="36"/>
        <v>242.84781402593856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37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0.27500000000000002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12.486218380009479</v>
      </c>
      <c r="AW43" s="23">
        <f>EXP(-LN(2)/2)*AW42+(1-EXP(-LN(2)/2))/(LN(2)/2)*AQ43*AT43*VLOOKUP('Données projet'!$B$9,Paramètres!$A$1:$I$88,3,0)*0.475*44/12</f>
        <v>0</v>
      </c>
      <c r="AX43" s="23">
        <f t="shared" si="6"/>
        <v>12.486218380009479</v>
      </c>
      <c r="AY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1.8571428571428572</v>
      </c>
      <c r="BD43" s="13">
        <f>IF('Données projet'!$A$88&gt;35,BD42+BC43-BL42,IF(A43&lt;'Données projet'!$A$88,$BA$205^A43,IF(A43='Données projet'!$A$88,'Données projet'!$B$88,BD42+BC43-BL42)))</f>
        <v>74.285714285714263</v>
      </c>
      <c r="BE43" s="14">
        <f>BD43*VLOOKUP('Données projet'!$B$11,Paramètres!$A$1:$I$88,3,0)*VLOOKUP('Données projet'!$B$11,Paramètres!$A$1:$I$88,5,0)</f>
        <v>75.32571428571427</v>
      </c>
      <c r="BF43" s="14">
        <f t="shared" si="37"/>
        <v>20.990323319385759</v>
      </c>
      <c r="BG43" s="22">
        <f t="shared" si="7"/>
        <v>167.7504321622159</v>
      </c>
      <c r="BH43" s="61">
        <f t="shared" si="8"/>
        <v>415.56344598133671</v>
      </c>
      <c r="BI43" s="61">
        <f ca="1">AVERAGE(OFFSET($BH$3,0,0,'Données projet'!$E$11+1,1))-AVERAGE(OFFSET($H$3,0,0,'Données projet'!$E$11+1,1))</f>
        <v>433.57989081194</v>
      </c>
      <c r="BJ43" s="61">
        <f t="shared" si="38"/>
        <v>182.52060621271355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9"/>
        <v>0</v>
      </c>
      <c r="BT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1" t="e">
        <f t="shared" si="11"/>
        <v>#N/A</v>
      </c>
      <c r="CD43" s="61" t="e">
        <f ca="1">AVERAGE(OFFSET($CC$3,0,0,'Données projet'!$E$12+1,1))-AVERAGE(OFFSET($H$3,0,0,'Données projet'!$E$12+1,1))</f>
        <v>#N/A</v>
      </c>
      <c r="CE43" s="61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2"/>
        <v>0</v>
      </c>
      <c r="CO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1" t="e">
        <f t="shared" si="14"/>
        <v>#N/A</v>
      </c>
      <c r="CY43" s="61" t="e">
        <f ca="1">AVERAGE(OFFSET($CX$3,0,0,'Données projet'!$E$13+1,1))-AVERAGE(OFFSET($H$3,0,0,'Données projet'!$E$13+1,1))</f>
        <v>#N/A</v>
      </c>
      <c r="CZ43" s="61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15"/>
        <v>0</v>
      </c>
      <c r="DJ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1" t="e">
        <f t="shared" si="17"/>
        <v>#N/A</v>
      </c>
      <c r="DT43" s="61" t="e">
        <f ca="1">AVERAGE(OFFSET($DS$3,0,0,'Données projet'!$E$14+1,1))-AVERAGE(OFFSET($H$3,0,0,'Données projet'!$E$14+1,1))</f>
        <v>#N/A</v>
      </c>
      <c r="DU43" s="61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18"/>
        <v>0</v>
      </c>
      <c r="EE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1" t="e">
        <f t="shared" si="20"/>
        <v>#N/A</v>
      </c>
      <c r="EO43" s="61" t="e">
        <f ca="1">AVERAGE(OFFSET($EN$3,0,0,'Données projet'!$E$15+1,1))-AVERAGE(OFFSET($H$3,0,0,'Données projet'!$E$15+1,1))</f>
        <v>#N/A</v>
      </c>
      <c r="EP43" s="61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1"/>
        <v>0</v>
      </c>
      <c r="EZ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1" t="e">
        <f t="shared" si="23"/>
        <v>#N/A</v>
      </c>
      <c r="FJ43" s="61" t="e">
        <f ca="1">AVERAGE(OFFSET($FI$3,0,0,'Données projet'!$E$16+1,1))-AVERAGE(OFFSET($H$3,0,0,'Données projet'!$E$16+1,1))</f>
        <v>#N/A</v>
      </c>
      <c r="FK43" s="61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24"/>
        <v>0</v>
      </c>
      <c r="FU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1" t="e">
        <f t="shared" si="26"/>
        <v>#N/A</v>
      </c>
      <c r="GE43" s="61" t="e">
        <f ca="1">AVERAGE(OFFSET($GD$3,0,0,'Données projet'!$E$17+1,1))-AVERAGE(OFFSET($H$3,0,0,'Données projet'!$E$17+1,1))</f>
        <v>#N/A</v>
      </c>
      <c r="GF43" s="61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27"/>
        <v>0</v>
      </c>
      <c r="GP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1" t="e">
        <f t="shared" si="29"/>
        <v>#N/A</v>
      </c>
      <c r="GZ43" s="61" t="e">
        <f ca="1">AVERAGE(OFFSET($GY$3,0,0,'Données projet'!$E$18+1,1))-AVERAGE(OFFSET($H$3,0,0,'Données projet'!$E$18+1,1))</f>
        <v>#N/A</v>
      </c>
      <c r="HA43" s="61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30"/>
        <v>0</v>
      </c>
    </row>
    <row r="44" spans="1:218" s="5" customFormat="1" x14ac:dyDescent="0.45">
      <c r="A44" s="11">
        <f t="shared" si="31"/>
        <v>41</v>
      </c>
      <c r="B44" s="76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9">
        <f t="shared" si="1"/>
        <v>183.33333333333334</v>
      </c>
      <c r="I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17.399999999999999</v>
      </c>
      <c r="N44" s="14">
        <f>IF('Données projet'!$A$36&gt;35,N43+M44-V43,IF(A44&lt;'Données projet'!$A$36,$K$205^A44,IF(A44='Données projet'!$A$36,'Données projet'!$B$36,N43+M44-V43)))</f>
        <v>277.39999999999992</v>
      </c>
      <c r="O44" s="14">
        <f>N44*VLOOKUP('Données projet'!$B$9,Paramètres!$A$1:$I$88,3,0)*VLOOKUP('Données projet'!$B$9,Paramètres!$A$1:$I$88,5,0)</f>
        <v>165.88519999999997</v>
      </c>
      <c r="P44" s="14">
        <f t="shared" si="33"/>
        <v>42.167135180830506</v>
      </c>
      <c r="Q44" s="22">
        <f t="shared" si="53"/>
        <v>362.35781710661308</v>
      </c>
      <c r="R44" s="61">
        <f t="shared" si="0"/>
        <v>610.96050670111708</v>
      </c>
      <c r="S44" s="61">
        <f ca="1">AVERAGE(OFFSET($R$3,0,0,'Données projet'!$E$9+1,1))-AVERAGE(OFFSET($H$3,0,0,'Données projet'!$E$9+1,1))</f>
        <v>445.53168057836308</v>
      </c>
      <c r="T44" s="61">
        <f t="shared" si="34"/>
        <v>326.78684646135241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37.076118915142594</v>
      </c>
      <c r="AB44" s="23">
        <f>EXP(-LN(2)/2)*AB43+(1-EXP(-LN(2)/2))/(LN(2)/2)*V44*Y44*VLOOKUP('Données projet'!$B$9,Paramètres!$A$1:$I$88,3,0)*0.475*44/12</f>
        <v>2.4450094581735451</v>
      </c>
      <c r="AC44" s="24">
        <f t="shared" si="3"/>
        <v>39.521128373316138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10.7</v>
      </c>
      <c r="AI44" s="14">
        <f>IF('Données projet'!$A$62&gt;35,AI43+AH44-AQ43,IF(A44&lt;'Données projet'!$A$62,$AF$205^A44,IF(A44='Données projet'!$A$62,'Données projet'!$B$62,AI43+AH44-AQ43)))</f>
        <v>223.69999999999993</v>
      </c>
      <c r="AJ44" s="14">
        <f>AI44*VLOOKUP('Données projet'!$B$10,Paramètres!$A$1:$I$88,3,0)*VLOOKUP('Données projet'!$B$10,Paramètres!$A$1:$I$88,5,0)</f>
        <v>104.69159999999997</v>
      </c>
      <c r="AK44" s="14">
        <f t="shared" si="35"/>
        <v>28.076706634060159</v>
      </c>
      <c r="AL44" s="22">
        <f t="shared" si="4"/>
        <v>231.23813405432142</v>
      </c>
      <c r="AM44" s="61">
        <f t="shared" si="5"/>
        <v>479.84082364882539</v>
      </c>
      <c r="AN44" s="61">
        <f ca="1">AVERAGE(OFFSET($AM$3,0,0,'Données projet'!$E$10+1,1))-AVERAGE(OFFSET($H$3,0,0,'Données projet'!$E$10+1,1))</f>
        <v>375.77859820466693</v>
      </c>
      <c r="AO44" s="61">
        <f t="shared" si="36"/>
        <v>242.84781402593856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12.144782081786433</v>
      </c>
      <c r="AW44" s="23">
        <f>EXP(-LN(2)/2)*AW43+(1-EXP(-LN(2)/2))/(LN(2)/2)*AQ44*AT44*VLOOKUP('Données projet'!$B$9,Paramètres!$A$1:$I$88,3,0)*0.475*44/12</f>
        <v>0</v>
      </c>
      <c r="AX44" s="23">
        <f t="shared" si="6"/>
        <v>12.144782081786433</v>
      </c>
      <c r="AY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1.8571428571428572</v>
      </c>
      <c r="BD44" s="13">
        <f>IF('Données projet'!$A$88&gt;35,BD43+BC44-BL43,IF(A44&lt;'Données projet'!$A$88,$BA$205^A44,IF(A44='Données projet'!$A$88,'Données projet'!$B$88,BD43+BC44-BL43)))</f>
        <v>76.142857142857125</v>
      </c>
      <c r="BE44" s="14">
        <f>BD44*VLOOKUP('Données projet'!$B$11,Paramètres!$A$1:$I$88,3,0)*VLOOKUP('Données projet'!$B$11,Paramètres!$A$1:$I$88,5,0)</f>
        <v>77.208857142857127</v>
      </c>
      <c r="BF44" s="14">
        <f t="shared" si="37"/>
        <v>21.45333110731228</v>
      </c>
      <c r="BG44" s="22">
        <f t="shared" si="7"/>
        <v>171.83664453571171</v>
      </c>
      <c r="BH44" s="61">
        <f t="shared" si="8"/>
        <v>420.43933413021568</v>
      </c>
      <c r="BI44" s="61">
        <f ca="1">AVERAGE(OFFSET($BH$3,0,0,'Données projet'!$E$11+1,1))-AVERAGE(OFFSET($H$3,0,0,'Données projet'!$E$11+1,1))</f>
        <v>433.57989081194</v>
      </c>
      <c r="BJ44" s="61">
        <f t="shared" si="38"/>
        <v>182.52060621271355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9"/>
        <v>0</v>
      </c>
      <c r="BT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1" t="e">
        <f t="shared" si="11"/>
        <v>#N/A</v>
      </c>
      <c r="CD44" s="61" t="e">
        <f ca="1">AVERAGE(OFFSET($CC$3,0,0,'Données projet'!$E$12+1,1))-AVERAGE(OFFSET($H$3,0,0,'Données projet'!$E$12+1,1))</f>
        <v>#N/A</v>
      </c>
      <c r="CE44" s="61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2"/>
        <v>0</v>
      </c>
      <c r="CO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1" t="e">
        <f t="shared" si="14"/>
        <v>#N/A</v>
      </c>
      <c r="CY44" s="61" t="e">
        <f ca="1">AVERAGE(OFFSET($CX$3,0,0,'Données projet'!$E$13+1,1))-AVERAGE(OFFSET($H$3,0,0,'Données projet'!$E$13+1,1))</f>
        <v>#N/A</v>
      </c>
      <c r="CZ44" s="61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15"/>
        <v>0</v>
      </c>
      <c r="DJ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1" t="e">
        <f t="shared" si="17"/>
        <v>#N/A</v>
      </c>
      <c r="DT44" s="61" t="e">
        <f ca="1">AVERAGE(OFFSET($DS$3,0,0,'Données projet'!$E$14+1,1))-AVERAGE(OFFSET($H$3,0,0,'Données projet'!$E$14+1,1))</f>
        <v>#N/A</v>
      </c>
      <c r="DU44" s="61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18"/>
        <v>0</v>
      </c>
      <c r="EE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1" t="e">
        <f t="shared" si="20"/>
        <v>#N/A</v>
      </c>
      <c r="EO44" s="61" t="e">
        <f ca="1">AVERAGE(OFFSET($EN$3,0,0,'Données projet'!$E$15+1,1))-AVERAGE(OFFSET($H$3,0,0,'Données projet'!$E$15+1,1))</f>
        <v>#N/A</v>
      </c>
      <c r="EP44" s="61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1"/>
        <v>0</v>
      </c>
      <c r="EZ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1" t="e">
        <f t="shared" si="23"/>
        <v>#N/A</v>
      </c>
      <c r="FJ44" s="61" t="e">
        <f ca="1">AVERAGE(OFFSET($FI$3,0,0,'Données projet'!$E$16+1,1))-AVERAGE(OFFSET($H$3,0,0,'Données projet'!$E$16+1,1))</f>
        <v>#N/A</v>
      </c>
      <c r="FK44" s="61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24"/>
        <v>0</v>
      </c>
      <c r="FU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1" t="e">
        <f t="shared" si="26"/>
        <v>#N/A</v>
      </c>
      <c r="GE44" s="61" t="e">
        <f ca="1">AVERAGE(OFFSET($GD$3,0,0,'Données projet'!$E$17+1,1))-AVERAGE(OFFSET($H$3,0,0,'Données projet'!$E$17+1,1))</f>
        <v>#N/A</v>
      </c>
      <c r="GF44" s="61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27"/>
        <v>0</v>
      </c>
      <c r="GP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1" t="e">
        <f t="shared" si="29"/>
        <v>#N/A</v>
      </c>
      <c r="GZ44" s="61" t="e">
        <f ca="1">AVERAGE(OFFSET($GY$3,0,0,'Données projet'!$E$18+1,1))-AVERAGE(OFFSET($H$3,0,0,'Données projet'!$E$18+1,1))</f>
        <v>#N/A</v>
      </c>
      <c r="HA44" s="61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30"/>
        <v>0</v>
      </c>
    </row>
    <row r="45" spans="1:218" s="5" customFormat="1" x14ac:dyDescent="0.45">
      <c r="A45" s="11">
        <f t="shared" si="31"/>
        <v>42</v>
      </c>
      <c r="B45" s="76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9">
        <f t="shared" si="1"/>
        <v>183.33333333333334</v>
      </c>
      <c r="I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17.399999999999999</v>
      </c>
      <c r="N45" s="14">
        <f>IF('Données projet'!$A$36&gt;35,N44+M45-V44,IF(A45&lt;'Données projet'!$A$36,$K$205^A45,IF(A45='Données projet'!$A$36,'Données projet'!$B$36,N44+M45-V44)))</f>
        <v>294.7999999999999</v>
      </c>
      <c r="O45" s="14">
        <f>N45*VLOOKUP('Données projet'!$B$9,Paramètres!$A$1:$I$88,3,0)*VLOOKUP('Données projet'!$B$9,Paramètres!$A$1:$I$88,5,0)</f>
        <v>176.29039999999995</v>
      </c>
      <c r="P45" s="14">
        <f t="shared" si="33"/>
        <v>44.495870919295648</v>
      </c>
      <c r="Q45" s="22">
        <f t="shared" si="53"/>
        <v>384.53608851777312</v>
      </c>
      <c r="R45" s="61">
        <f t="shared" si="0"/>
        <v>633.91475477840788</v>
      </c>
      <c r="S45" s="61">
        <f ca="1">AVERAGE(OFFSET($R$3,0,0,'Données projet'!$E$9+1,1))-AVERAGE(OFFSET($H$3,0,0,'Données projet'!$E$9+1,1))</f>
        <v>445.53168057836308</v>
      </c>
      <c r="T45" s="61">
        <f t="shared" si="34"/>
        <v>326.78684646135241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36.062270493659668</v>
      </c>
      <c r="AB45" s="23">
        <f>EXP(-LN(2)/2)*AB44+(1-EXP(-LN(2)/2))/(LN(2)/2)*V45*Y45*VLOOKUP('Données projet'!$B$9,Paramètres!$A$1:$I$88,3,0)*0.475*44/12</f>
        <v>1.7288827679397603</v>
      </c>
      <c r="AC45" s="24">
        <f t="shared" si="3"/>
        <v>37.791153261599426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10.7</v>
      </c>
      <c r="AI45" s="14">
        <f>IF('Données projet'!$A$62&gt;35,AI44+AH45-AQ44,IF(A45&lt;'Données projet'!$A$62,$AF$205^A45,IF(A45='Données projet'!$A$62,'Données projet'!$B$62,AI44+AH45-AQ44)))</f>
        <v>234.39999999999992</v>
      </c>
      <c r="AJ45" s="14">
        <f>AI45*VLOOKUP('Données projet'!$B$10,Paramètres!$A$1:$I$88,3,0)*VLOOKUP('Données projet'!$B$10,Paramètres!$A$1:$I$88,5,0)</f>
        <v>109.69919999999996</v>
      </c>
      <c r="AK45" s="14">
        <f t="shared" si="35"/>
        <v>29.260102455780562</v>
      </c>
      <c r="AL45" s="22">
        <f t="shared" si="4"/>
        <v>242.02078511048435</v>
      </c>
      <c r="AM45" s="61">
        <f t="shared" si="5"/>
        <v>491.39945137111908</v>
      </c>
      <c r="AN45" s="61">
        <f ca="1">AVERAGE(OFFSET($AM$3,0,0,'Données projet'!$E$10+1,1))-AVERAGE(OFFSET($H$3,0,0,'Données projet'!$E$10+1,1))</f>
        <v>375.77859820466693</v>
      </c>
      <c r="AO45" s="61">
        <f t="shared" si="36"/>
        <v>242.84781402593856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11.812682377093651</v>
      </c>
      <c r="AW45" s="23">
        <f>EXP(-LN(2)/2)*AW44+(1-EXP(-LN(2)/2))/(LN(2)/2)*AQ45*AT45*VLOOKUP('Données projet'!$B$9,Paramètres!$A$1:$I$88,3,0)*0.475*44/12</f>
        <v>0</v>
      </c>
      <c r="AX45" s="23">
        <f t="shared" si="6"/>
        <v>11.812682377093651</v>
      </c>
      <c r="AY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1.8571428571428572</v>
      </c>
      <c r="BD45" s="13">
        <f>IF('Données projet'!$A$88&gt;35,BD44+BC45-BL44,IF(A45&lt;'Données projet'!$A$88,$BA$205^A45,IF(A45='Données projet'!$A$88,'Données projet'!$B$88,BD44+BC45-BL44)))</f>
        <v>77.999999999999986</v>
      </c>
      <c r="BE45" s="14">
        <f>BD45*VLOOKUP('Données projet'!$B$11,Paramètres!$A$1:$I$88,3,0)*VLOOKUP('Données projet'!$B$11,Paramètres!$A$1:$I$88,5,0)</f>
        <v>79.091999999999999</v>
      </c>
      <c r="BF45" s="14">
        <f t="shared" si="37"/>
        <v>21.915026131449999</v>
      </c>
      <c r="BG45" s="22">
        <f t="shared" si="7"/>
        <v>175.92057051227539</v>
      </c>
      <c r="BH45" s="61">
        <f t="shared" si="8"/>
        <v>425.29923677291015</v>
      </c>
      <c r="BI45" s="61">
        <f ca="1">AVERAGE(OFFSET($BH$3,0,0,'Données projet'!$E$11+1,1))-AVERAGE(OFFSET($H$3,0,0,'Données projet'!$E$11+1,1))</f>
        <v>433.57989081194</v>
      </c>
      <c r="BJ45" s="61">
        <f t="shared" si="38"/>
        <v>182.52060621271355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9"/>
        <v>0</v>
      </c>
      <c r="BT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1" t="e">
        <f t="shared" si="11"/>
        <v>#N/A</v>
      </c>
      <c r="CD45" s="61" t="e">
        <f ca="1">AVERAGE(OFFSET($CC$3,0,0,'Données projet'!$E$12+1,1))-AVERAGE(OFFSET($H$3,0,0,'Données projet'!$E$12+1,1))</f>
        <v>#N/A</v>
      </c>
      <c r="CE45" s="61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2"/>
        <v>0</v>
      </c>
      <c r="CO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1" t="e">
        <f t="shared" si="14"/>
        <v>#N/A</v>
      </c>
      <c r="CY45" s="61" t="e">
        <f ca="1">AVERAGE(OFFSET($CX$3,0,0,'Données projet'!$E$13+1,1))-AVERAGE(OFFSET($H$3,0,0,'Données projet'!$E$13+1,1))</f>
        <v>#N/A</v>
      </c>
      <c r="CZ45" s="61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15"/>
        <v>0</v>
      </c>
      <c r="DJ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1" t="e">
        <f t="shared" si="17"/>
        <v>#N/A</v>
      </c>
      <c r="DT45" s="61" t="e">
        <f ca="1">AVERAGE(OFFSET($DS$3,0,0,'Données projet'!$E$14+1,1))-AVERAGE(OFFSET($H$3,0,0,'Données projet'!$E$14+1,1))</f>
        <v>#N/A</v>
      </c>
      <c r="DU45" s="61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18"/>
        <v>0</v>
      </c>
      <c r="EE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1" t="e">
        <f t="shared" si="20"/>
        <v>#N/A</v>
      </c>
      <c r="EO45" s="61" t="e">
        <f ca="1">AVERAGE(OFFSET($EN$3,0,0,'Données projet'!$E$15+1,1))-AVERAGE(OFFSET($H$3,0,0,'Données projet'!$E$15+1,1))</f>
        <v>#N/A</v>
      </c>
      <c r="EP45" s="61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1"/>
        <v>0</v>
      </c>
      <c r="EZ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1" t="e">
        <f t="shared" si="23"/>
        <v>#N/A</v>
      </c>
      <c r="FJ45" s="61" t="e">
        <f ca="1">AVERAGE(OFFSET($FI$3,0,0,'Données projet'!$E$16+1,1))-AVERAGE(OFFSET($H$3,0,0,'Données projet'!$E$16+1,1))</f>
        <v>#N/A</v>
      </c>
      <c r="FK45" s="61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24"/>
        <v>0</v>
      </c>
      <c r="FU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1" t="e">
        <f t="shared" si="26"/>
        <v>#N/A</v>
      </c>
      <c r="GE45" s="61" t="e">
        <f ca="1">AVERAGE(OFFSET($GD$3,0,0,'Données projet'!$E$17+1,1))-AVERAGE(OFFSET($H$3,0,0,'Données projet'!$E$17+1,1))</f>
        <v>#N/A</v>
      </c>
      <c r="GF45" s="61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27"/>
        <v>0</v>
      </c>
      <c r="GP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1" t="e">
        <f t="shared" si="29"/>
        <v>#N/A</v>
      </c>
      <c r="GZ45" s="61" t="e">
        <f ca="1">AVERAGE(OFFSET($GY$3,0,0,'Données projet'!$E$18+1,1))-AVERAGE(OFFSET($H$3,0,0,'Données projet'!$E$18+1,1))</f>
        <v>#N/A</v>
      </c>
      <c r="HA45" s="61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30"/>
        <v>0</v>
      </c>
    </row>
    <row r="46" spans="1:218" s="5" customFormat="1" x14ac:dyDescent="0.45">
      <c r="A46" s="11">
        <f t="shared" si="31"/>
        <v>43</v>
      </c>
      <c r="B46" s="76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9">
        <f t="shared" si="1"/>
        <v>183.33333333333334</v>
      </c>
      <c r="I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17.399999999999999</v>
      </c>
      <c r="N46" s="14">
        <f>IF('Données projet'!$A$36&gt;35,N45+M46-V45,IF(A46&lt;'Données projet'!$A$36,$K$205^A46,IF(A46='Données projet'!$A$36,'Données projet'!$B$36,N45+M46-V45)))</f>
        <v>312.19999999999987</v>
      </c>
      <c r="O46" s="14">
        <f>N46*VLOOKUP('Données projet'!$B$9,Paramètres!$A$1:$I$88,3,0)*VLOOKUP('Données projet'!$B$9,Paramètres!$A$1:$I$88,5,0)</f>
        <v>186.69559999999993</v>
      </c>
      <c r="P46" s="14">
        <f t="shared" si="33"/>
        <v>46.808652636178181</v>
      </c>
      <c r="Q46" s="22">
        <f t="shared" si="53"/>
        <v>406.68657334134355</v>
      </c>
      <c r="R46" s="61">
        <f t="shared" si="0"/>
        <v>656.82775480777559</v>
      </c>
      <c r="S46" s="61">
        <f ca="1">AVERAGE(OFFSET($R$3,0,0,'Données projet'!$E$9+1,1))-AVERAGE(OFFSET($H$3,0,0,'Données projet'!$E$9+1,1))</f>
        <v>445.53168057836308</v>
      </c>
      <c r="T46" s="61">
        <f t="shared" si="34"/>
        <v>326.78684646135241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35.076145810578161</v>
      </c>
      <c r="AB46" s="23">
        <f>EXP(-LN(2)/2)*AB45+(1-EXP(-LN(2)/2))/(LN(2)/2)*V46*Y46*VLOOKUP('Données projet'!$B$9,Paramètres!$A$1:$I$88,3,0)*0.475*44/12</f>
        <v>1.2225047290867728</v>
      </c>
      <c r="AC46" s="24">
        <f t="shared" si="3"/>
        <v>36.298650539664933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10.7</v>
      </c>
      <c r="AI46" s="14">
        <f>IF('Données projet'!$A$62&gt;35,AI45+AH46-AQ45,IF(A46&lt;'Données projet'!$A$62,$AF$205^A46,IF(A46='Données projet'!$A$62,'Données projet'!$B$62,AI45+AH46-AQ45)))</f>
        <v>245.09999999999991</v>
      </c>
      <c r="AJ46" s="14">
        <f>AI46*VLOOKUP('Données projet'!$B$10,Paramètres!$A$1:$I$88,3,0)*VLOOKUP('Données projet'!$B$10,Paramètres!$A$1:$I$88,5,0)</f>
        <v>114.70679999999996</v>
      </c>
      <c r="AK46" s="14">
        <f t="shared" si="35"/>
        <v>30.43722470128062</v>
      </c>
      <c r="AL46" s="22">
        <f t="shared" si="4"/>
        <v>252.79250968806369</v>
      </c>
      <c r="AM46" s="61">
        <f t="shared" si="5"/>
        <v>502.9336911544957</v>
      </c>
      <c r="AN46" s="61">
        <f ca="1">AVERAGE(OFFSET($AM$3,0,0,'Données projet'!$E$10+1,1))-AVERAGE(OFFSET($H$3,0,0,'Données projet'!$E$10+1,1))</f>
        <v>375.77859820466693</v>
      </c>
      <c r="AO46" s="61">
        <f t="shared" si="36"/>
        <v>242.84781402593856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11.489663956290057</v>
      </c>
      <c r="AW46" s="23">
        <f>EXP(-LN(2)/2)*AW45+(1-EXP(-LN(2)/2))/(LN(2)/2)*AQ46*AT46*VLOOKUP('Données projet'!$B$9,Paramètres!$A$1:$I$88,3,0)*0.475*44/12</f>
        <v>0</v>
      </c>
      <c r="AX46" s="23">
        <f t="shared" si="6"/>
        <v>11.489663956290057</v>
      </c>
      <c r="AY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1.8571428571428572</v>
      </c>
      <c r="BD46" s="13">
        <f>IF('Données projet'!$A$88&gt;35,BD45+BC46-BL45,IF(A46&lt;'Données projet'!$A$88,$BA$205^A46,IF(A46='Données projet'!$A$88,'Données projet'!$B$88,BD45+BC46-BL45)))</f>
        <v>79.857142857142847</v>
      </c>
      <c r="BE46" s="14">
        <f>BD46*VLOOKUP('Données projet'!$B$11,Paramètres!$A$1:$I$88,3,0)*VLOOKUP('Données projet'!$B$11,Paramètres!$A$1:$I$88,5,0)</f>
        <v>80.975142857142856</v>
      </c>
      <c r="BF46" s="14">
        <f t="shared" si="37"/>
        <v>22.375443244659493</v>
      </c>
      <c r="BG46" s="22">
        <f t="shared" si="7"/>
        <v>180.00227079397243</v>
      </c>
      <c r="BH46" s="61">
        <f t="shared" si="8"/>
        <v>430.1434522604045</v>
      </c>
      <c r="BI46" s="61">
        <f ca="1">AVERAGE(OFFSET($BH$3,0,0,'Données projet'!$E$11+1,1))-AVERAGE(OFFSET($H$3,0,0,'Données projet'!$E$11+1,1))</f>
        <v>433.57989081194</v>
      </c>
      <c r="BJ46" s="61">
        <f t="shared" si="38"/>
        <v>182.52060621271355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9"/>
        <v>0</v>
      </c>
      <c r="BT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1" t="e">
        <f t="shared" si="11"/>
        <v>#N/A</v>
      </c>
      <c r="CD46" s="61" t="e">
        <f ca="1">AVERAGE(OFFSET($CC$3,0,0,'Données projet'!$E$12+1,1))-AVERAGE(OFFSET($H$3,0,0,'Données projet'!$E$12+1,1))</f>
        <v>#N/A</v>
      </c>
      <c r="CE46" s="61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2"/>
        <v>0</v>
      </c>
      <c r="CO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1" t="e">
        <f t="shared" si="14"/>
        <v>#N/A</v>
      </c>
      <c r="CY46" s="61" t="e">
        <f ca="1">AVERAGE(OFFSET($CX$3,0,0,'Données projet'!$E$13+1,1))-AVERAGE(OFFSET($H$3,0,0,'Données projet'!$E$13+1,1))</f>
        <v>#N/A</v>
      </c>
      <c r="CZ46" s="61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15"/>
        <v>0</v>
      </c>
      <c r="DJ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1" t="e">
        <f t="shared" si="17"/>
        <v>#N/A</v>
      </c>
      <c r="DT46" s="61" t="e">
        <f ca="1">AVERAGE(OFFSET($DS$3,0,0,'Données projet'!$E$14+1,1))-AVERAGE(OFFSET($H$3,0,0,'Données projet'!$E$14+1,1))</f>
        <v>#N/A</v>
      </c>
      <c r="DU46" s="61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18"/>
        <v>0</v>
      </c>
      <c r="EE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1" t="e">
        <f t="shared" si="20"/>
        <v>#N/A</v>
      </c>
      <c r="EO46" s="61" t="e">
        <f ca="1">AVERAGE(OFFSET($EN$3,0,0,'Données projet'!$E$15+1,1))-AVERAGE(OFFSET($H$3,0,0,'Données projet'!$E$15+1,1))</f>
        <v>#N/A</v>
      </c>
      <c r="EP46" s="61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1"/>
        <v>0</v>
      </c>
      <c r="EZ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1" t="e">
        <f t="shared" si="23"/>
        <v>#N/A</v>
      </c>
      <c r="FJ46" s="61" t="e">
        <f ca="1">AVERAGE(OFFSET($FI$3,0,0,'Données projet'!$E$16+1,1))-AVERAGE(OFFSET($H$3,0,0,'Données projet'!$E$16+1,1))</f>
        <v>#N/A</v>
      </c>
      <c r="FK46" s="61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24"/>
        <v>0</v>
      </c>
      <c r="FU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1" t="e">
        <f t="shared" si="26"/>
        <v>#N/A</v>
      </c>
      <c r="GE46" s="61" t="e">
        <f ca="1">AVERAGE(OFFSET($GD$3,0,0,'Données projet'!$E$17+1,1))-AVERAGE(OFFSET($H$3,0,0,'Données projet'!$E$17+1,1))</f>
        <v>#N/A</v>
      </c>
      <c r="GF46" s="61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27"/>
        <v>0</v>
      </c>
      <c r="GP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1" t="e">
        <f t="shared" si="29"/>
        <v>#N/A</v>
      </c>
      <c r="GZ46" s="61" t="e">
        <f ca="1">AVERAGE(OFFSET($GY$3,0,0,'Données projet'!$E$18+1,1))-AVERAGE(OFFSET($H$3,0,0,'Données projet'!$E$18+1,1))</f>
        <v>#N/A</v>
      </c>
      <c r="HA46" s="61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30"/>
        <v>0</v>
      </c>
    </row>
    <row r="47" spans="1:218" s="5" customFormat="1" x14ac:dyDescent="0.45">
      <c r="A47" s="11">
        <f t="shared" si="31"/>
        <v>44</v>
      </c>
      <c r="B47" s="76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9">
        <f t="shared" si="1"/>
        <v>183.33333333333334</v>
      </c>
      <c r="I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17.399999999999999</v>
      </c>
      <c r="N47" s="14">
        <f>IF('Données projet'!$A$36&gt;35,N46+M47-V46,IF(A47&lt;'Données projet'!$A$36,$K$205^A47,IF(A47='Données projet'!$A$36,'Données projet'!$B$36,N46+M47-V46)))</f>
        <v>329.59999999999985</v>
      </c>
      <c r="O47" s="14">
        <f>N47*VLOOKUP('Données projet'!$B$9,Paramètres!$A$1:$I$88,3,0)*VLOOKUP('Données projet'!$B$9,Paramètres!$A$1:$I$88,5,0)</f>
        <v>197.10079999999991</v>
      </c>
      <c r="P47" s="14">
        <f t="shared" si="33"/>
        <v>49.106470845257491</v>
      </c>
      <c r="Q47" s="22">
        <f t="shared" si="53"/>
        <v>428.81099672215663</v>
      </c>
      <c r="R47" s="61">
        <f t="shared" si="0"/>
        <v>679.701465460294</v>
      </c>
      <c r="S47" s="61">
        <f ca="1">AVERAGE(OFFSET($R$3,0,0,'Données projet'!$E$9+1,1))-AVERAGE(OFFSET($H$3,0,0,'Données projet'!$E$9+1,1))</f>
        <v>445.53168057836308</v>
      </c>
      <c r="T47" s="61">
        <f t="shared" si="34"/>
        <v>326.78684646135241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34.11698675881356</v>
      </c>
      <c r="AB47" s="23">
        <f>EXP(-LN(2)/2)*AB46+(1-EXP(-LN(2)/2))/(LN(2)/2)*V47*Y47*VLOOKUP('Données projet'!$B$9,Paramètres!$A$1:$I$88,3,0)*0.475*44/12</f>
        <v>0.86444138396988024</v>
      </c>
      <c r="AC47" s="24">
        <f t="shared" si="3"/>
        <v>34.981428142783443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10.7</v>
      </c>
      <c r="AI47" s="14">
        <f>IF('Données projet'!$A$62&gt;35,AI46+AH47-AQ46,IF(A47&lt;'Données projet'!$A$62,$AF$205^A47,IF(A47='Données projet'!$A$62,'Données projet'!$B$62,AI46+AH47-AQ46)))</f>
        <v>255.7999999999999</v>
      </c>
      <c r="AJ47" s="14">
        <f>AI47*VLOOKUP('Données projet'!$B$10,Paramètres!$A$1:$I$88,3,0)*VLOOKUP('Données projet'!$B$10,Paramètres!$A$1:$I$88,5,0)</f>
        <v>119.71439999999996</v>
      </c>
      <c r="AK47" s="14">
        <f t="shared" si="35"/>
        <v>31.60837854926535</v>
      </c>
      <c r="AL47" s="22">
        <f t="shared" si="4"/>
        <v>263.55383930663703</v>
      </c>
      <c r="AM47" s="61">
        <f t="shared" si="5"/>
        <v>514.44430804477452</v>
      </c>
      <c r="AN47" s="61">
        <f ca="1">AVERAGE(OFFSET($AM$3,0,0,'Données projet'!$E$10+1,1))-AVERAGE(OFFSET($H$3,0,0,'Données projet'!$E$10+1,1))</f>
        <v>375.77859820466693</v>
      </c>
      <c r="AO47" s="61">
        <f t="shared" si="36"/>
        <v>242.84781402593856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11.175478491190137</v>
      </c>
      <c r="AW47" s="23">
        <f>EXP(-LN(2)/2)*AW46+(1-EXP(-LN(2)/2))/(LN(2)/2)*AQ47*AT47*VLOOKUP('Données projet'!$B$9,Paramètres!$A$1:$I$88,3,0)*0.475*44/12</f>
        <v>0</v>
      </c>
      <c r="AX47" s="23">
        <f t="shared" si="6"/>
        <v>11.175478491190137</v>
      </c>
      <c r="AY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1.8571428571428572</v>
      </c>
      <c r="BD47" s="13">
        <f>IF('Données projet'!$A$88&gt;35,BD46+BC47-BL46,IF(A47&lt;'Données projet'!$A$88,$BA$205^A47,IF(A47='Données projet'!$A$88,'Données projet'!$B$88,BD46+BC47-BL46)))</f>
        <v>81.714285714285708</v>
      </c>
      <c r="BE47" s="14">
        <f>BD47*VLOOKUP('Données projet'!$B$11,Paramètres!$A$1:$I$88,3,0)*VLOOKUP('Données projet'!$B$11,Paramètres!$A$1:$I$88,5,0)</f>
        <v>82.858285714285714</v>
      </c>
      <c r="BF47" s="14">
        <f t="shared" si="37"/>
        <v>22.834615586247047</v>
      </c>
      <c r="BG47" s="22">
        <f t="shared" si="7"/>
        <v>184.08180309842786</v>
      </c>
      <c r="BH47" s="61">
        <f t="shared" si="8"/>
        <v>434.97227183656526</v>
      </c>
      <c r="BI47" s="61">
        <f ca="1">AVERAGE(OFFSET($BH$3,0,0,'Données projet'!$E$11+1,1))-AVERAGE(OFFSET($H$3,0,0,'Données projet'!$E$11+1,1))</f>
        <v>433.57989081194</v>
      </c>
      <c r="BJ47" s="61">
        <f t="shared" si="38"/>
        <v>182.52060621271355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9"/>
        <v>0</v>
      </c>
      <c r="BT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1" t="e">
        <f t="shared" si="11"/>
        <v>#N/A</v>
      </c>
      <c r="CD47" s="61" t="e">
        <f ca="1">AVERAGE(OFFSET($CC$3,0,0,'Données projet'!$E$12+1,1))-AVERAGE(OFFSET($H$3,0,0,'Données projet'!$E$12+1,1))</f>
        <v>#N/A</v>
      </c>
      <c r="CE47" s="61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2"/>
        <v>0</v>
      </c>
      <c r="CO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1" t="e">
        <f t="shared" si="14"/>
        <v>#N/A</v>
      </c>
      <c r="CY47" s="61" t="e">
        <f ca="1">AVERAGE(OFFSET($CX$3,0,0,'Données projet'!$E$13+1,1))-AVERAGE(OFFSET($H$3,0,0,'Données projet'!$E$13+1,1))</f>
        <v>#N/A</v>
      </c>
      <c r="CZ47" s="61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15"/>
        <v>0</v>
      </c>
      <c r="DJ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1" t="e">
        <f t="shared" si="17"/>
        <v>#N/A</v>
      </c>
      <c r="DT47" s="61" t="e">
        <f ca="1">AVERAGE(OFFSET($DS$3,0,0,'Données projet'!$E$14+1,1))-AVERAGE(OFFSET($H$3,0,0,'Données projet'!$E$14+1,1))</f>
        <v>#N/A</v>
      </c>
      <c r="DU47" s="61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18"/>
        <v>0</v>
      </c>
      <c r="EE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1" t="e">
        <f t="shared" si="20"/>
        <v>#N/A</v>
      </c>
      <c r="EO47" s="61" t="e">
        <f ca="1">AVERAGE(OFFSET($EN$3,0,0,'Données projet'!$E$15+1,1))-AVERAGE(OFFSET($H$3,0,0,'Données projet'!$E$15+1,1))</f>
        <v>#N/A</v>
      </c>
      <c r="EP47" s="61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1"/>
        <v>0</v>
      </c>
      <c r="EZ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1" t="e">
        <f t="shared" si="23"/>
        <v>#N/A</v>
      </c>
      <c r="FJ47" s="61" t="e">
        <f ca="1">AVERAGE(OFFSET($FI$3,0,0,'Données projet'!$E$16+1,1))-AVERAGE(OFFSET($H$3,0,0,'Données projet'!$E$16+1,1))</f>
        <v>#N/A</v>
      </c>
      <c r="FK47" s="61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24"/>
        <v>0</v>
      </c>
      <c r="FU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1" t="e">
        <f t="shared" si="26"/>
        <v>#N/A</v>
      </c>
      <c r="GE47" s="61" t="e">
        <f ca="1">AVERAGE(OFFSET($GD$3,0,0,'Données projet'!$E$17+1,1))-AVERAGE(OFFSET($H$3,0,0,'Données projet'!$E$17+1,1))</f>
        <v>#N/A</v>
      </c>
      <c r="GF47" s="61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27"/>
        <v>0</v>
      </c>
      <c r="GP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1" t="e">
        <f t="shared" si="29"/>
        <v>#N/A</v>
      </c>
      <c r="GZ47" s="61" t="e">
        <f ca="1">AVERAGE(OFFSET($GY$3,0,0,'Données projet'!$E$18+1,1))-AVERAGE(OFFSET($H$3,0,0,'Données projet'!$E$18+1,1))</f>
        <v>#N/A</v>
      </c>
      <c r="HA47" s="61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30"/>
        <v>0</v>
      </c>
    </row>
    <row r="48" spans="1:218" s="5" customFormat="1" x14ac:dyDescent="0.45">
      <c r="A48" s="11">
        <f t="shared" si="31"/>
        <v>45</v>
      </c>
      <c r="B48" s="76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9">
        <f t="shared" si="1"/>
        <v>183.33333333333334</v>
      </c>
      <c r="I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347</v>
      </c>
      <c r="L48" s="13">
        <f>VLOOKUP(A48,'Données projet'!$A$35:$I$55,9,0)</f>
        <v>17.399999999999999</v>
      </c>
      <c r="M48" s="13">
        <f t="array" ref="M48">INDEX(L:L,MIN(IF(ISNUMBER(L48:L244),ROW(L48:L244),"")))</f>
        <v>17.399999999999999</v>
      </c>
      <c r="N48" s="14">
        <f>IF('Données projet'!$A$36&gt;35,N47+M48-V47,IF(A48&lt;'Données projet'!$A$36,$K$205^A48,IF(A48='Données projet'!$A$36,'Données projet'!$B$36,N47+M48-V47)))</f>
        <v>346.99999999999983</v>
      </c>
      <c r="O48" s="14">
        <f>N48*VLOOKUP('Données projet'!$B$9,Paramètres!$A$1:$I$88,3,0)*VLOOKUP('Données projet'!$B$9,Paramètres!$A$1:$I$88,5,0)</f>
        <v>207.50599999999991</v>
      </c>
      <c r="P48" s="14">
        <f t="shared" si="33"/>
        <v>51.3902055726969</v>
      </c>
      <c r="Q48" s="22">
        <f t="shared" si="53"/>
        <v>450.91089137244694</v>
      </c>
      <c r="R48" s="61">
        <f t="shared" si="0"/>
        <v>702.53764892328104</v>
      </c>
      <c r="S48" s="61">
        <f ca="1">AVERAGE(OFFSET($R$3,0,0,'Données projet'!$E$9+1,1))-AVERAGE(OFFSET($H$3,0,0,'Données projet'!$E$9+1,1))</f>
        <v>445.53168057836308</v>
      </c>
      <c r="T48" s="61">
        <f t="shared" si="34"/>
        <v>326.78684646135241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46</v>
      </c>
      <c r="W48" s="17">
        <f>IF(ISNA(VLOOKUP(A48,'Données projet'!$A$35:$I$55,5,0)),0%,VLOOKUP(A48,'Données projet'!$A$35:$I$55,5,0)*VLOOKUP('Données projet'!$B$9,Paramètres!$A$1:$I$88,7,0))</f>
        <v>0.22500000000000001</v>
      </c>
      <c r="X48" s="17">
        <f>IF(ISNA(VLOOKUP(A48,'Données projet'!$A$35:$I$55,6,0)),0%,VLOOKUP(A48,'Données projet'!$A$35:$I$55,6,0)*VLOOKUP('Données projet'!$B$9,Paramètres!$A$1:$I$88,7,0))</f>
        <v>0.18000000000000002</v>
      </c>
      <c r="Y48" s="17">
        <f>IF(ISNA(VLOOKUP(A48,'Données projet'!$A$35:$I$55,7,0)),0%,VLOOKUP(A48,'Données projet'!$A$35:$I$55,7,0))</f>
        <v>0.1</v>
      </c>
      <c r="Z48" s="23">
        <f>EXP(-LN(2)/35)*Z47+(1-EXP(-LN(2)/35))/(LN(2)/35)*V48*W48*VLOOKUP('Données projet'!$B$9,Paramètres!$A$1:$I$88,3,0)*0.475*44/12</f>
        <v>8.2105053840519471</v>
      </c>
      <c r="AA48" s="23">
        <f>EXP(-LN(2)/25)*AA47+(1-EXP(-LN(2)/25))/(LN(2)/25)*Calculateur!V48*Calculateur!X48*VLOOKUP('Données projet'!$B$9,Paramètres!$A$1:$I$88,3,0)*0.475*44/12</f>
        <v>39.726597958485144</v>
      </c>
      <c r="AB48" s="23">
        <f>EXP(-LN(2)/2)*AB47+(1-EXP(-LN(2)/2))/(LN(2)/2)*V48*Y48*VLOOKUP('Données projet'!$B$9,Paramètres!$A$1:$I$88,3,0)*0.475*44/12</f>
        <v>3.7257969685791892</v>
      </c>
      <c r="AC48" s="24">
        <f t="shared" si="3"/>
        <v>51.662900311116282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10.7</v>
      </c>
      <c r="AI48" s="14">
        <f>IF('Données projet'!$A$62&gt;35,AI47+AH48-AQ47,IF(A48&lt;'Données projet'!$A$62,$AF$205^A48,IF(A48='Données projet'!$A$62,'Données projet'!$B$62,AI47+AH48-AQ47)))</f>
        <v>266.49999999999989</v>
      </c>
      <c r="AJ48" s="14">
        <f>AI48*VLOOKUP('Données projet'!$B$10,Paramètres!$A$1:$I$88,3,0)*VLOOKUP('Données projet'!$B$10,Paramètres!$A$1:$I$88,5,0)</f>
        <v>124.72199999999995</v>
      </c>
      <c r="AK48" s="14">
        <f t="shared" si="35"/>
        <v>32.773842203085991</v>
      </c>
      <c r="AL48" s="22">
        <f t="shared" si="4"/>
        <v>274.30525850370799</v>
      </c>
      <c r="AM48" s="61">
        <f t="shared" si="5"/>
        <v>525.93201605454215</v>
      </c>
      <c r="AN48" s="61">
        <f ca="1">AVERAGE(OFFSET($AM$3,0,0,'Données projet'!$E$10+1,1))-AVERAGE(OFFSET($H$3,0,0,'Données projet'!$E$10+1,1))</f>
        <v>375.77859820466693</v>
      </c>
      <c r="AO48" s="61">
        <f t="shared" si="36"/>
        <v>242.84781402593856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10.869884444155671</v>
      </c>
      <c r="AW48" s="23">
        <f>EXP(-LN(2)/2)*AW47+(1-EXP(-LN(2)/2))/(LN(2)/2)*AQ48*AT48*VLOOKUP('Données projet'!$B$9,Paramètres!$A$1:$I$88,3,0)*0.475*44/12</f>
        <v>0</v>
      </c>
      <c r="AX48" s="23">
        <f t="shared" si="6"/>
        <v>10.869884444155671</v>
      </c>
      <c r="AY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1.8571428571428572</v>
      </c>
      <c r="BD48" s="13">
        <f>IF('Données projet'!$A$88&gt;35,BD47+BC48-BL47,IF(A48&lt;'Données projet'!$A$88,$BA$205^A48,IF(A48='Données projet'!$A$88,'Données projet'!$B$88,BD47+BC48-BL47)))</f>
        <v>83.571428571428569</v>
      </c>
      <c r="BE48" s="14">
        <f>BD48*VLOOKUP('Données projet'!$B$11,Paramètres!$A$1:$I$88,3,0)*VLOOKUP('Données projet'!$B$11,Paramètres!$A$1:$I$88,5,0)</f>
        <v>84.741428571428571</v>
      </c>
      <c r="BF48" s="14">
        <f t="shared" si="37"/>
        <v>23.292574703212534</v>
      </c>
      <c r="BG48" s="22">
        <f t="shared" si="7"/>
        <v>188.15922236999992</v>
      </c>
      <c r="BH48" s="61">
        <f t="shared" si="8"/>
        <v>439.78597992083405</v>
      </c>
      <c r="BI48" s="61">
        <f ca="1">AVERAGE(OFFSET($BH$3,0,0,'Données projet'!$E$11+1,1))-AVERAGE(OFFSET($H$3,0,0,'Données projet'!$E$11+1,1))</f>
        <v>433.57989081194</v>
      </c>
      <c r="BJ48" s="61">
        <f t="shared" si="38"/>
        <v>182.52060621271355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9"/>
        <v>0</v>
      </c>
      <c r="BT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1" t="e">
        <f t="shared" si="11"/>
        <v>#N/A</v>
      </c>
      <c r="CD48" s="61" t="e">
        <f ca="1">AVERAGE(OFFSET($CC$3,0,0,'Données projet'!$E$12+1,1))-AVERAGE(OFFSET($H$3,0,0,'Données projet'!$E$12+1,1))</f>
        <v>#N/A</v>
      </c>
      <c r="CE48" s="61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2"/>
        <v>0</v>
      </c>
      <c r="CO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1" t="e">
        <f t="shared" si="14"/>
        <v>#N/A</v>
      </c>
      <c r="CY48" s="61" t="e">
        <f ca="1">AVERAGE(OFFSET($CX$3,0,0,'Données projet'!$E$13+1,1))-AVERAGE(OFFSET($H$3,0,0,'Données projet'!$E$13+1,1))</f>
        <v>#N/A</v>
      </c>
      <c r="CZ48" s="61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15"/>
        <v>0</v>
      </c>
      <c r="DJ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1" t="e">
        <f t="shared" si="17"/>
        <v>#N/A</v>
      </c>
      <c r="DT48" s="61" t="e">
        <f ca="1">AVERAGE(OFFSET($DS$3,0,0,'Données projet'!$E$14+1,1))-AVERAGE(OFFSET($H$3,0,0,'Données projet'!$E$14+1,1))</f>
        <v>#N/A</v>
      </c>
      <c r="DU48" s="61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18"/>
        <v>0</v>
      </c>
      <c r="EE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1" t="e">
        <f t="shared" si="20"/>
        <v>#N/A</v>
      </c>
      <c r="EO48" s="61" t="e">
        <f ca="1">AVERAGE(OFFSET($EN$3,0,0,'Données projet'!$E$15+1,1))-AVERAGE(OFFSET($H$3,0,0,'Données projet'!$E$15+1,1))</f>
        <v>#N/A</v>
      </c>
      <c r="EP48" s="61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1"/>
        <v>0</v>
      </c>
      <c r="EZ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1" t="e">
        <f t="shared" si="23"/>
        <v>#N/A</v>
      </c>
      <c r="FJ48" s="61" t="e">
        <f ca="1">AVERAGE(OFFSET($FI$3,0,0,'Données projet'!$E$16+1,1))-AVERAGE(OFFSET($H$3,0,0,'Données projet'!$E$16+1,1))</f>
        <v>#N/A</v>
      </c>
      <c r="FK48" s="61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24"/>
        <v>0</v>
      </c>
      <c r="FU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1" t="e">
        <f t="shared" si="26"/>
        <v>#N/A</v>
      </c>
      <c r="GE48" s="61" t="e">
        <f ca="1">AVERAGE(OFFSET($GD$3,0,0,'Données projet'!$E$17+1,1))-AVERAGE(OFFSET($H$3,0,0,'Données projet'!$E$17+1,1))</f>
        <v>#N/A</v>
      </c>
      <c r="GF48" s="61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27"/>
        <v>0</v>
      </c>
      <c r="GP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1" t="e">
        <f t="shared" si="29"/>
        <v>#N/A</v>
      </c>
      <c r="GZ48" s="61" t="e">
        <f ca="1">AVERAGE(OFFSET($GY$3,0,0,'Données projet'!$E$18+1,1))-AVERAGE(OFFSET($H$3,0,0,'Données projet'!$E$18+1,1))</f>
        <v>#N/A</v>
      </c>
      <c r="HA48" s="61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30"/>
        <v>0</v>
      </c>
    </row>
    <row r="49" spans="1:218" s="5" customFormat="1" x14ac:dyDescent="0.45">
      <c r="A49" s="11">
        <f t="shared" si="31"/>
        <v>46</v>
      </c>
      <c r="B49" s="76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9">
        <f t="shared" si="1"/>
        <v>183.33333333333334</v>
      </c>
      <c r="I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17.2</v>
      </c>
      <c r="N49" s="14">
        <f>IF('Données projet'!$A$36&gt;35,N48+M49-V48,IF(A49&lt;'Données projet'!$A$36,$K$205^A49,IF(A49='Données projet'!$A$36,'Données projet'!$B$36,N48+M49-V48)))</f>
        <v>318.19999999999982</v>
      </c>
      <c r="O49" s="14">
        <f>N49*VLOOKUP('Données projet'!$B$9,Paramètres!$A$1:$I$88,3,0)*VLOOKUP('Données projet'!$B$9,Paramètres!$A$1:$I$88,5,0)</f>
        <v>190.28359999999992</v>
      </c>
      <c r="P49" s="14">
        <f t="shared" si="33"/>
        <v>47.602647340821825</v>
      </c>
      <c r="Q49" s="22">
        <f t="shared" si="53"/>
        <v>414.31854745193118</v>
      </c>
      <c r="R49" s="61">
        <f t="shared" si="0"/>
        <v>666.66882085065686</v>
      </c>
      <c r="S49" s="61">
        <f ca="1">AVERAGE(OFFSET($R$3,0,0,'Données projet'!$E$9+1,1))-AVERAGE(OFFSET($H$3,0,0,'Données projet'!$E$9+1,1))</f>
        <v>445.53168057836308</v>
      </c>
      <c r="T49" s="61">
        <f t="shared" si="34"/>
        <v>326.78684646135241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8.0495023813844817</v>
      </c>
      <c r="AA49" s="23">
        <f>EXP(-LN(2)/25)*AA48+(1-EXP(-LN(2)/25))/(LN(2)/25)*Calculateur!V49*Calculateur!X49*VLOOKUP('Données projet'!$B$9,Paramètres!$A$1:$I$88,3,0)*0.475*44/12</f>
        <v>38.640272048179376</v>
      </c>
      <c r="AB49" s="23">
        <f>EXP(-LN(2)/2)*AB48+(1-EXP(-LN(2)/2))/(LN(2)/2)*V49*Y49*VLOOKUP('Données projet'!$B$9,Paramètres!$A$1:$I$88,3,0)*0.475*44/12</f>
        <v>2.634536301806627</v>
      </c>
      <c r="AC49" s="24">
        <f t="shared" si="3"/>
        <v>49.324310731370481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10.7</v>
      </c>
      <c r="AI49" s="14">
        <f>IF('Données projet'!$A$62&gt;35,AI48+AH49-AQ48,IF(A49&lt;'Données projet'!$A$62,$AF$205^A49,IF(A49='Données projet'!$A$62,'Données projet'!$B$62,AI48+AH49-AQ48)))</f>
        <v>277.19999999999987</v>
      </c>
      <c r="AJ49" s="14">
        <f>AI49*VLOOKUP('Données projet'!$B$10,Paramètres!$A$1:$I$88,3,0)*VLOOKUP('Données projet'!$B$10,Paramètres!$A$1:$I$88,5,0)</f>
        <v>129.72959999999992</v>
      </c>
      <c r="AK49" s="14">
        <f t="shared" si="35"/>
        <v>33.933870261867483</v>
      </c>
      <c r="AL49" s="22">
        <f t="shared" si="4"/>
        <v>285.04721070608576</v>
      </c>
      <c r="AM49" s="61">
        <f t="shared" si="5"/>
        <v>537.39748410481138</v>
      </c>
      <c r="AN49" s="61">
        <f ca="1">AVERAGE(OFFSET($AM$3,0,0,'Données projet'!$E$10+1,1))-AVERAGE(OFFSET($H$3,0,0,'Données projet'!$E$10+1,1))</f>
        <v>375.77859820466693</v>
      </c>
      <c r="AO49" s="61">
        <f t="shared" si="36"/>
        <v>242.84781402593856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10.572646882407854</v>
      </c>
      <c r="AW49" s="23">
        <f>EXP(-LN(2)/2)*AW48+(1-EXP(-LN(2)/2))/(LN(2)/2)*AQ49*AT49*VLOOKUP('Données projet'!$B$9,Paramètres!$A$1:$I$88,3,0)*0.475*44/12</f>
        <v>0</v>
      </c>
      <c r="AX49" s="23">
        <f t="shared" si="6"/>
        <v>10.572646882407854</v>
      </c>
      <c r="AY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1.8571428571428572</v>
      </c>
      <c r="BD49" s="13">
        <f>IF('Données projet'!$A$88&gt;35,BD48+BC49-BL48,IF(A49&lt;'Données projet'!$A$88,$BA$205^A49,IF(A49='Données projet'!$A$88,'Données projet'!$B$88,BD48+BC49-BL48)))</f>
        <v>85.428571428571431</v>
      </c>
      <c r="BE49" s="14">
        <f>BD49*VLOOKUP('Données projet'!$B$11,Paramètres!$A$1:$I$88,3,0)*VLOOKUP('Données projet'!$B$11,Paramètres!$A$1:$I$88,5,0)</f>
        <v>86.624571428571443</v>
      </c>
      <c r="BF49" s="14">
        <f t="shared" si="37"/>
        <v>23.749350660415967</v>
      </c>
      <c r="BG49" s="22">
        <f t="shared" si="7"/>
        <v>192.23458097165306</v>
      </c>
      <c r="BH49" s="61">
        <f t="shared" si="8"/>
        <v>444.58485437037871</v>
      </c>
      <c r="BI49" s="61">
        <f ca="1">AVERAGE(OFFSET($BH$3,0,0,'Données projet'!$E$11+1,1))-AVERAGE(OFFSET($H$3,0,0,'Données projet'!$E$11+1,1))</f>
        <v>433.57989081194</v>
      </c>
      <c r="BJ49" s="61">
        <f t="shared" si="38"/>
        <v>182.52060621271355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9"/>
        <v>0</v>
      </c>
      <c r="BT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1" t="e">
        <f t="shared" si="11"/>
        <v>#N/A</v>
      </c>
      <c r="CD49" s="61" t="e">
        <f ca="1">AVERAGE(OFFSET($CC$3,0,0,'Données projet'!$E$12+1,1))-AVERAGE(OFFSET($H$3,0,0,'Données projet'!$E$12+1,1))</f>
        <v>#N/A</v>
      </c>
      <c r="CE49" s="61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2"/>
        <v>0</v>
      </c>
      <c r="CO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1" t="e">
        <f t="shared" si="14"/>
        <v>#N/A</v>
      </c>
      <c r="CY49" s="61" t="e">
        <f ca="1">AVERAGE(OFFSET($CX$3,0,0,'Données projet'!$E$13+1,1))-AVERAGE(OFFSET($H$3,0,0,'Données projet'!$E$13+1,1))</f>
        <v>#N/A</v>
      </c>
      <c r="CZ49" s="61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15"/>
        <v>0</v>
      </c>
      <c r="DJ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1" t="e">
        <f t="shared" si="17"/>
        <v>#N/A</v>
      </c>
      <c r="DT49" s="61" t="e">
        <f ca="1">AVERAGE(OFFSET($DS$3,0,0,'Données projet'!$E$14+1,1))-AVERAGE(OFFSET($H$3,0,0,'Données projet'!$E$14+1,1))</f>
        <v>#N/A</v>
      </c>
      <c r="DU49" s="61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18"/>
        <v>0</v>
      </c>
      <c r="EE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1" t="e">
        <f t="shared" si="20"/>
        <v>#N/A</v>
      </c>
      <c r="EO49" s="61" t="e">
        <f ca="1">AVERAGE(OFFSET($EN$3,0,0,'Données projet'!$E$15+1,1))-AVERAGE(OFFSET($H$3,0,0,'Données projet'!$E$15+1,1))</f>
        <v>#N/A</v>
      </c>
      <c r="EP49" s="61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1"/>
        <v>0</v>
      </c>
      <c r="EZ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1" t="e">
        <f t="shared" si="23"/>
        <v>#N/A</v>
      </c>
      <c r="FJ49" s="61" t="e">
        <f ca="1">AVERAGE(OFFSET($FI$3,0,0,'Données projet'!$E$16+1,1))-AVERAGE(OFFSET($H$3,0,0,'Données projet'!$E$16+1,1))</f>
        <v>#N/A</v>
      </c>
      <c r="FK49" s="61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24"/>
        <v>0</v>
      </c>
      <c r="FU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1" t="e">
        <f t="shared" si="26"/>
        <v>#N/A</v>
      </c>
      <c r="GE49" s="61" t="e">
        <f ca="1">AVERAGE(OFFSET($GD$3,0,0,'Données projet'!$E$17+1,1))-AVERAGE(OFFSET($H$3,0,0,'Données projet'!$E$17+1,1))</f>
        <v>#N/A</v>
      </c>
      <c r="GF49" s="61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27"/>
        <v>0</v>
      </c>
      <c r="GP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1" t="e">
        <f t="shared" si="29"/>
        <v>#N/A</v>
      </c>
      <c r="GZ49" s="61" t="e">
        <f ca="1">AVERAGE(OFFSET($GY$3,0,0,'Données projet'!$E$18+1,1))-AVERAGE(OFFSET($H$3,0,0,'Données projet'!$E$18+1,1))</f>
        <v>#N/A</v>
      </c>
      <c r="HA49" s="61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30"/>
        <v>0</v>
      </c>
    </row>
    <row r="50" spans="1:218" s="5" customFormat="1" x14ac:dyDescent="0.45">
      <c r="A50" s="11">
        <f t="shared" si="31"/>
        <v>47</v>
      </c>
      <c r="B50" s="76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9">
        <f t="shared" si="1"/>
        <v>183.33333333333334</v>
      </c>
      <c r="I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17.2</v>
      </c>
      <c r="N50" s="14">
        <f>IF('Données projet'!$A$36&gt;35,N49+M50-V49,IF(A50&lt;'Données projet'!$A$36,$K$205^A50,IF(A50='Données projet'!$A$36,'Données projet'!$B$36,N49+M50-V49)))</f>
        <v>335.39999999999981</v>
      </c>
      <c r="O50" s="14">
        <f>N50*VLOOKUP('Données projet'!$B$9,Paramètres!$A$1:$I$88,3,0)*VLOOKUP('Données projet'!$B$9,Paramètres!$A$1:$I$88,5,0)</f>
        <v>200.56919999999988</v>
      </c>
      <c r="P50" s="14">
        <f t="shared" si="33"/>
        <v>49.869239959281281</v>
      </c>
      <c r="Q50" s="22">
        <f t="shared" si="53"/>
        <v>436.18028292908139</v>
      </c>
      <c r="R50" s="61">
        <f t="shared" si="0"/>
        <v>689.24152079327678</v>
      </c>
      <c r="S50" s="61">
        <f ca="1">AVERAGE(OFFSET($R$3,0,0,'Données projet'!$E$9+1,1))-AVERAGE(OFFSET($H$3,0,0,'Données projet'!$E$9+1,1))</f>
        <v>445.53168057836308</v>
      </c>
      <c r="T50" s="61">
        <f t="shared" si="34"/>
        <v>326.78684646135241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7.8916565493971911</v>
      </c>
      <c r="AA50" s="23">
        <f>EXP(-LN(2)/25)*AA49+(1-EXP(-LN(2)/25))/(LN(2)/25)*Calculateur!V50*Calculateur!X50*VLOOKUP('Données projet'!$B$9,Paramètres!$A$1:$I$88,3,0)*0.475*44/12</f>
        <v>37.583651777018318</v>
      </c>
      <c r="AB50" s="23">
        <f>EXP(-LN(2)/2)*AB49+(1-EXP(-LN(2)/2))/(LN(2)/2)*V50*Y50*VLOOKUP('Données projet'!$B$9,Paramètres!$A$1:$I$88,3,0)*0.475*44/12</f>
        <v>1.8628984842895948</v>
      </c>
      <c r="AC50" s="24">
        <f t="shared" si="3"/>
        <v>47.338206810705103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10.7</v>
      </c>
      <c r="AI50" s="14">
        <f>IF('Données projet'!$A$62&gt;35,AI49+AH50-AQ49,IF(A50&lt;'Données projet'!$A$62,$AF$205^A50,IF(A50='Données projet'!$A$62,'Données projet'!$B$62,AI49+AH50-AQ49)))</f>
        <v>287.89999999999986</v>
      </c>
      <c r="AJ50" s="14">
        <f>AI50*VLOOKUP('Données projet'!$B$10,Paramètres!$A$1:$I$88,3,0)*VLOOKUP('Données projet'!$B$10,Paramètres!$A$1:$I$88,5,0)</f>
        <v>134.73719999999994</v>
      </c>
      <c r="AK50" s="14">
        <f t="shared" si="35"/>
        <v>35.088696556488401</v>
      </c>
      <c r="AL50" s="22">
        <f t="shared" si="4"/>
        <v>295.78010316921717</v>
      </c>
      <c r="AM50" s="61">
        <f t="shared" si="5"/>
        <v>548.84134103341262</v>
      </c>
      <c r="AN50" s="61">
        <f ca="1">AVERAGE(OFFSET($AM$3,0,0,'Données projet'!$E$10+1,1))-AVERAGE(OFFSET($H$3,0,0,'Données projet'!$E$10+1,1))</f>
        <v>375.77859820466693</v>
      </c>
      <c r="AO50" s="61">
        <f t="shared" si="36"/>
        <v>242.84781402593856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10.283537297417077</v>
      </c>
      <c r="AW50" s="23">
        <f>EXP(-LN(2)/2)*AW49+(1-EXP(-LN(2)/2))/(LN(2)/2)*AQ50*AT50*VLOOKUP('Données projet'!$B$9,Paramètres!$A$1:$I$88,3,0)*0.475*44/12</f>
        <v>0</v>
      </c>
      <c r="AX50" s="23">
        <f t="shared" si="6"/>
        <v>10.283537297417077</v>
      </c>
      <c r="AY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1.8571428571428572</v>
      </c>
      <c r="BD50" s="13">
        <f>IF('Données projet'!$A$88&gt;35,BD49+BC50-BL49,IF(A50&lt;'Données projet'!$A$88,$BA$205^A50,IF(A50='Données projet'!$A$88,'Données projet'!$B$88,BD49+BC50-BL49)))</f>
        <v>87.285714285714292</v>
      </c>
      <c r="BE50" s="14">
        <f>BD50*VLOOKUP('Données projet'!$B$11,Paramètres!$A$1:$I$88,3,0)*VLOOKUP('Données projet'!$B$11,Paramètres!$A$1:$I$88,5,0)</f>
        <v>88.5077142857143</v>
      </c>
      <c r="BF50" s="14">
        <f t="shared" si="37"/>
        <v>24.204972140893926</v>
      </c>
      <c r="BG50" s="22">
        <f t="shared" si="7"/>
        <v>196.30792885967597</v>
      </c>
      <c r="BH50" s="61">
        <f t="shared" si="8"/>
        <v>449.36916672387133</v>
      </c>
      <c r="BI50" s="61">
        <f ca="1">AVERAGE(OFFSET($BH$3,0,0,'Données projet'!$E$11+1,1))-AVERAGE(OFFSET($H$3,0,0,'Données projet'!$E$11+1,1))</f>
        <v>433.57989081194</v>
      </c>
      <c r="BJ50" s="61">
        <f t="shared" si="38"/>
        <v>182.52060621271355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9"/>
        <v>0</v>
      </c>
      <c r="BT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1" t="e">
        <f t="shared" si="11"/>
        <v>#N/A</v>
      </c>
      <c r="CD50" s="61" t="e">
        <f ca="1">AVERAGE(OFFSET($CC$3,0,0,'Données projet'!$E$12+1,1))-AVERAGE(OFFSET($H$3,0,0,'Données projet'!$E$12+1,1))</f>
        <v>#N/A</v>
      </c>
      <c r="CE50" s="61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2"/>
        <v>0</v>
      </c>
      <c r="CO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1" t="e">
        <f t="shared" si="14"/>
        <v>#N/A</v>
      </c>
      <c r="CY50" s="61" t="e">
        <f ca="1">AVERAGE(OFFSET($CX$3,0,0,'Données projet'!$E$13+1,1))-AVERAGE(OFFSET($H$3,0,0,'Données projet'!$E$13+1,1))</f>
        <v>#N/A</v>
      </c>
      <c r="CZ50" s="61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15"/>
        <v>0</v>
      </c>
      <c r="DJ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1" t="e">
        <f t="shared" si="17"/>
        <v>#N/A</v>
      </c>
      <c r="DT50" s="61" t="e">
        <f ca="1">AVERAGE(OFFSET($DS$3,0,0,'Données projet'!$E$14+1,1))-AVERAGE(OFFSET($H$3,0,0,'Données projet'!$E$14+1,1))</f>
        <v>#N/A</v>
      </c>
      <c r="DU50" s="61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18"/>
        <v>0</v>
      </c>
      <c r="EE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1" t="e">
        <f t="shared" si="20"/>
        <v>#N/A</v>
      </c>
      <c r="EO50" s="61" t="e">
        <f ca="1">AVERAGE(OFFSET($EN$3,0,0,'Données projet'!$E$15+1,1))-AVERAGE(OFFSET($H$3,0,0,'Données projet'!$E$15+1,1))</f>
        <v>#N/A</v>
      </c>
      <c r="EP50" s="61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1"/>
        <v>0</v>
      </c>
      <c r="EZ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1" t="e">
        <f t="shared" si="23"/>
        <v>#N/A</v>
      </c>
      <c r="FJ50" s="61" t="e">
        <f ca="1">AVERAGE(OFFSET($FI$3,0,0,'Données projet'!$E$16+1,1))-AVERAGE(OFFSET($H$3,0,0,'Données projet'!$E$16+1,1))</f>
        <v>#N/A</v>
      </c>
      <c r="FK50" s="61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24"/>
        <v>0</v>
      </c>
      <c r="FU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1" t="e">
        <f t="shared" si="26"/>
        <v>#N/A</v>
      </c>
      <c r="GE50" s="61" t="e">
        <f ca="1">AVERAGE(OFFSET($GD$3,0,0,'Données projet'!$E$17+1,1))-AVERAGE(OFFSET($H$3,0,0,'Données projet'!$E$17+1,1))</f>
        <v>#N/A</v>
      </c>
      <c r="GF50" s="61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27"/>
        <v>0</v>
      </c>
      <c r="GP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1" t="e">
        <f t="shared" si="29"/>
        <v>#N/A</v>
      </c>
      <c r="GZ50" s="61" t="e">
        <f ca="1">AVERAGE(OFFSET($GY$3,0,0,'Données projet'!$E$18+1,1))-AVERAGE(OFFSET($H$3,0,0,'Données projet'!$E$18+1,1))</f>
        <v>#N/A</v>
      </c>
      <c r="HA50" s="61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30"/>
        <v>0</v>
      </c>
    </row>
    <row r="51" spans="1:218" s="5" customFormat="1" x14ac:dyDescent="0.45">
      <c r="A51" s="11">
        <f t="shared" si="31"/>
        <v>48</v>
      </c>
      <c r="B51" s="76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9">
        <f t="shared" si="1"/>
        <v>183.33333333333334</v>
      </c>
      <c r="I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17.2</v>
      </c>
      <c r="N51" s="14">
        <f>IF('Données projet'!$A$36&gt;35,N50+M51-V50,IF(A51&lt;'Données projet'!$A$36,$K$205^A51,IF(A51='Données projet'!$A$36,'Données projet'!$B$36,N50+M51-V50)))</f>
        <v>352.5999999999998</v>
      </c>
      <c r="O51" s="14">
        <f>N51*VLOOKUP('Données projet'!$B$9,Paramètres!$A$1:$I$88,3,0)*VLOOKUP('Données projet'!$B$9,Paramètres!$A$1:$I$88,5,0)</f>
        <v>210.8547999999999</v>
      </c>
      <c r="P51" s="14">
        <f t="shared" si="33"/>
        <v>52.122336819514608</v>
      </c>
      <c r="Q51" s="22">
        <f t="shared" si="53"/>
        <v>458.01851329398778</v>
      </c>
      <c r="R51" s="61">
        <f t="shared" si="0"/>
        <v>711.77838197965548</v>
      </c>
      <c r="S51" s="61">
        <f ca="1">AVERAGE(OFFSET($R$3,0,0,'Données projet'!$E$9+1,1))-AVERAGE(OFFSET($H$3,0,0,'Données projet'!$E$9+1,1))</f>
        <v>445.53168057836308</v>
      </c>
      <c r="T51" s="61">
        <f t="shared" si="34"/>
        <v>326.78684646135241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7.7369059778987204</v>
      </c>
      <c r="AA51" s="23">
        <f>EXP(-LN(2)/25)*AA50+(1-EXP(-LN(2)/25))/(LN(2)/25)*Calculateur!V51*Calculateur!X51*VLOOKUP('Données projet'!$B$9,Paramètres!$A$1:$I$88,3,0)*0.475*44/12</f>
        <v>36.555924842737404</v>
      </c>
      <c r="AB51" s="23">
        <f>EXP(-LN(2)/2)*AB50+(1-EXP(-LN(2)/2))/(LN(2)/2)*V51*Y51*VLOOKUP('Données projet'!$B$9,Paramètres!$A$1:$I$88,3,0)*0.475*44/12</f>
        <v>1.3172681509033137</v>
      </c>
      <c r="AC51" s="24">
        <f t="shared" si="3"/>
        <v>45.610098971539443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10.7</v>
      </c>
      <c r="AI51" s="14">
        <f>IF('Données projet'!$A$62&gt;35,AI50+AH51-AQ50,IF(A51&lt;'Données projet'!$A$62,$AF$205^A51,IF(A51='Données projet'!$A$62,'Données projet'!$B$62,AI50+AH51-AQ50)))</f>
        <v>298.59999999999985</v>
      </c>
      <c r="AJ51" s="14">
        <f>AI51*VLOOKUP('Données projet'!$B$10,Paramètres!$A$1:$I$88,3,0)*VLOOKUP('Données projet'!$B$10,Paramètres!$A$1:$I$88,5,0)</f>
        <v>139.74479999999991</v>
      </c>
      <c r="AK51" s="14">
        <f t="shared" si="35"/>
        <v>36.238536552104364</v>
      </c>
      <c r="AL51" s="22">
        <f t="shared" si="4"/>
        <v>306.5043111615816</v>
      </c>
      <c r="AM51" s="61">
        <f t="shared" si="5"/>
        <v>560.26417984724935</v>
      </c>
      <c r="AN51" s="61">
        <f ca="1">AVERAGE(OFFSET($AM$3,0,0,'Données projet'!$E$10+1,1))-AVERAGE(OFFSET($H$3,0,0,'Données projet'!$E$10+1,1))</f>
        <v>375.77859820466693</v>
      </c>
      <c r="AO51" s="61">
        <f t="shared" si="36"/>
        <v>242.84781402593856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10.002333429231484</v>
      </c>
      <c r="AW51" s="23">
        <f>EXP(-LN(2)/2)*AW50+(1-EXP(-LN(2)/2))/(LN(2)/2)*AQ51*AT51*VLOOKUP('Données projet'!$B$9,Paramètres!$A$1:$I$88,3,0)*0.475*44/12</f>
        <v>0</v>
      </c>
      <c r="AX51" s="23">
        <f t="shared" si="6"/>
        <v>10.002333429231484</v>
      </c>
      <c r="AY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1.8571428571428572</v>
      </c>
      <c r="BD51" s="13">
        <f>IF('Données projet'!$A$88&gt;35,BD50+BC51-BL50,IF(A51&lt;'Données projet'!$A$88,$BA$205^A51,IF(A51='Données projet'!$A$88,'Données projet'!$B$88,BD50+BC51-BL50)))</f>
        <v>89.142857142857153</v>
      </c>
      <c r="BE51" s="14">
        <f>BD51*VLOOKUP('Données projet'!$B$11,Paramètres!$A$1:$I$88,3,0)*VLOOKUP('Données projet'!$B$11,Paramètres!$A$1:$I$88,5,0)</f>
        <v>90.390857142857158</v>
      </c>
      <c r="BF51" s="14">
        <f t="shared" si="37"/>
        <v>24.659466537397652</v>
      </c>
      <c r="BG51" s="22">
        <f t="shared" si="7"/>
        <v>200.37931374311043</v>
      </c>
      <c r="BH51" s="61">
        <f t="shared" si="8"/>
        <v>454.1391824287781</v>
      </c>
      <c r="BI51" s="61">
        <f ca="1">AVERAGE(OFFSET($BH$3,0,0,'Données projet'!$E$11+1,1))-AVERAGE(OFFSET($H$3,0,0,'Données projet'!$E$11+1,1))</f>
        <v>433.57989081194</v>
      </c>
      <c r="BJ51" s="61">
        <f t="shared" si="38"/>
        <v>182.52060621271355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9"/>
        <v>0</v>
      </c>
      <c r="BT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1" t="e">
        <f t="shared" si="11"/>
        <v>#N/A</v>
      </c>
      <c r="CD51" s="61" t="e">
        <f ca="1">AVERAGE(OFFSET($CC$3,0,0,'Données projet'!$E$12+1,1))-AVERAGE(OFFSET($H$3,0,0,'Données projet'!$E$12+1,1))</f>
        <v>#N/A</v>
      </c>
      <c r="CE51" s="61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2"/>
        <v>0</v>
      </c>
      <c r="CO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1" t="e">
        <f t="shared" si="14"/>
        <v>#N/A</v>
      </c>
      <c r="CY51" s="61" t="e">
        <f ca="1">AVERAGE(OFFSET($CX$3,0,0,'Données projet'!$E$13+1,1))-AVERAGE(OFFSET($H$3,0,0,'Données projet'!$E$13+1,1))</f>
        <v>#N/A</v>
      </c>
      <c r="CZ51" s="61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15"/>
        <v>0</v>
      </c>
      <c r="DJ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1" t="e">
        <f t="shared" si="17"/>
        <v>#N/A</v>
      </c>
      <c r="DT51" s="61" t="e">
        <f ca="1">AVERAGE(OFFSET($DS$3,0,0,'Données projet'!$E$14+1,1))-AVERAGE(OFFSET($H$3,0,0,'Données projet'!$E$14+1,1))</f>
        <v>#N/A</v>
      </c>
      <c r="DU51" s="61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18"/>
        <v>0</v>
      </c>
      <c r="EE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1" t="e">
        <f t="shared" si="20"/>
        <v>#N/A</v>
      </c>
      <c r="EO51" s="61" t="e">
        <f ca="1">AVERAGE(OFFSET($EN$3,0,0,'Données projet'!$E$15+1,1))-AVERAGE(OFFSET($H$3,0,0,'Données projet'!$E$15+1,1))</f>
        <v>#N/A</v>
      </c>
      <c r="EP51" s="61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1"/>
        <v>0</v>
      </c>
      <c r="EZ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1" t="e">
        <f t="shared" si="23"/>
        <v>#N/A</v>
      </c>
      <c r="FJ51" s="61" t="e">
        <f ca="1">AVERAGE(OFFSET($FI$3,0,0,'Données projet'!$E$16+1,1))-AVERAGE(OFFSET($H$3,0,0,'Données projet'!$E$16+1,1))</f>
        <v>#N/A</v>
      </c>
      <c r="FK51" s="61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24"/>
        <v>0</v>
      </c>
      <c r="FU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1" t="e">
        <f t="shared" si="26"/>
        <v>#N/A</v>
      </c>
      <c r="GE51" s="61" t="e">
        <f ca="1">AVERAGE(OFFSET($GD$3,0,0,'Données projet'!$E$17+1,1))-AVERAGE(OFFSET($H$3,0,0,'Données projet'!$E$17+1,1))</f>
        <v>#N/A</v>
      </c>
      <c r="GF51" s="61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27"/>
        <v>0</v>
      </c>
      <c r="GP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1" t="e">
        <f t="shared" si="29"/>
        <v>#N/A</v>
      </c>
      <c r="GZ51" s="61" t="e">
        <f ca="1">AVERAGE(OFFSET($GY$3,0,0,'Données projet'!$E$18+1,1))-AVERAGE(OFFSET($H$3,0,0,'Données projet'!$E$18+1,1))</f>
        <v>#N/A</v>
      </c>
      <c r="HA51" s="61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30"/>
        <v>0</v>
      </c>
    </row>
    <row r="52" spans="1:218" s="5" customFormat="1" x14ac:dyDescent="0.45">
      <c r="A52" s="11">
        <f t="shared" si="31"/>
        <v>49</v>
      </c>
      <c r="B52" s="76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9">
        <f t="shared" si="1"/>
        <v>183.33333333333334</v>
      </c>
      <c r="I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17.2</v>
      </c>
      <c r="N52" s="14">
        <f>IF('Données projet'!$A$36&gt;35,N51+M52-V51,IF(A52&lt;'Données projet'!$A$36,$K$205^A52,IF(A52='Données projet'!$A$36,'Données projet'!$B$36,N51+M52-V51)))</f>
        <v>369.79999999999978</v>
      </c>
      <c r="O52" s="14">
        <f>N52*VLOOKUP('Données projet'!$B$9,Paramètres!$A$1:$I$88,3,0)*VLOOKUP('Données projet'!$B$9,Paramètres!$A$1:$I$88,5,0)</f>
        <v>221.14039999999991</v>
      </c>
      <c r="P52" s="14">
        <f t="shared" si="33"/>
        <v>54.362671393560895</v>
      </c>
      <c r="Q52" s="22">
        <f t="shared" si="53"/>
        <v>479.83451601045175</v>
      </c>
      <c r="R52" s="61">
        <f t="shared" si="0"/>
        <v>734.28089583474366</v>
      </c>
      <c r="S52" s="61">
        <f ca="1">AVERAGE(OFFSET($R$3,0,0,'Données projet'!$E$9+1,1))-AVERAGE(OFFSET($H$3,0,0,'Données projet'!$E$9+1,1))</f>
        <v>445.53168057836308</v>
      </c>
      <c r="T52" s="61">
        <f t="shared" si="34"/>
        <v>326.78684646135241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7.5851899707188055</v>
      </c>
      <c r="AA52" s="23">
        <f>EXP(-LN(2)/25)*AA51+(1-EXP(-LN(2)/25))/(LN(2)/25)*Calculateur!V52*Calculateur!X52*VLOOKUP('Données projet'!$B$9,Paramètres!$A$1:$I$88,3,0)*0.475*44/12</f>
        <v>35.55630115552021</v>
      </c>
      <c r="AB52" s="23">
        <f>EXP(-LN(2)/2)*AB51+(1-EXP(-LN(2)/2))/(LN(2)/2)*V52*Y52*VLOOKUP('Données projet'!$B$9,Paramètres!$A$1:$I$88,3,0)*0.475*44/12</f>
        <v>0.93144924214479763</v>
      </c>
      <c r="AC52" s="24">
        <f t="shared" si="3"/>
        <v>44.072940368383819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10.7</v>
      </c>
      <c r="AI52" s="14">
        <f>IF('Données projet'!$A$62&gt;35,AI51+AH52-AQ51,IF(A52&lt;'Données projet'!$A$62,$AF$205^A52,IF(A52='Données projet'!$A$62,'Données projet'!$B$62,AI51+AH52-AQ51)))</f>
        <v>309.29999999999984</v>
      </c>
      <c r="AJ52" s="14">
        <f>AI52*VLOOKUP('Données projet'!$B$10,Paramètres!$A$1:$I$88,3,0)*VLOOKUP('Données projet'!$B$10,Paramètres!$A$1:$I$88,5,0)</f>
        <v>144.75239999999994</v>
      </c>
      <c r="AK52" s="14">
        <f t="shared" si="35"/>
        <v>37.383589396626647</v>
      </c>
      <c r="AL52" s="22">
        <f t="shared" si="4"/>
        <v>317.22018153245796</v>
      </c>
      <c r="AM52" s="61">
        <f t="shared" si="5"/>
        <v>571.66656135674998</v>
      </c>
      <c r="AN52" s="61">
        <f ca="1">AVERAGE(OFFSET($AM$3,0,0,'Données projet'!$E$10+1,1))-AVERAGE(OFFSET($H$3,0,0,'Données projet'!$E$10+1,1))</f>
        <v>375.77859820466693</v>
      </c>
      <c r="AO52" s="61">
        <f t="shared" si="36"/>
        <v>242.84781402593856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9.7288190956092944</v>
      </c>
      <c r="AW52" s="23">
        <f>EXP(-LN(2)/2)*AW51+(1-EXP(-LN(2)/2))/(LN(2)/2)*AQ52*AT52*VLOOKUP('Données projet'!$B$9,Paramètres!$A$1:$I$88,3,0)*0.475*44/12</f>
        <v>0</v>
      </c>
      <c r="AX52" s="23">
        <f t="shared" si="6"/>
        <v>9.7288190956092944</v>
      </c>
      <c r="AY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1.8571428571428572</v>
      </c>
      <c r="BD52" s="13">
        <f>IF('Données projet'!$A$88&gt;35,BD51+BC52-BL51,IF(A52&lt;'Données projet'!$A$88,$BA$205^A52,IF(A52='Données projet'!$A$88,'Données projet'!$B$88,BD51+BC52-BL51)))</f>
        <v>91.000000000000014</v>
      </c>
      <c r="BE52" s="14">
        <f>BD52*VLOOKUP('Données projet'!$B$11,Paramètres!$A$1:$I$88,3,0)*VLOOKUP('Données projet'!$B$11,Paramètres!$A$1:$I$88,5,0)</f>
        <v>92.274000000000029</v>
      </c>
      <c r="BF52" s="14">
        <f t="shared" si="37"/>
        <v>25.112860036087575</v>
      </c>
      <c r="BG52" s="22">
        <f t="shared" si="7"/>
        <v>204.44878122951923</v>
      </c>
      <c r="BH52" s="61">
        <f t="shared" si="8"/>
        <v>458.89516105381119</v>
      </c>
      <c r="BI52" s="61">
        <f ca="1">AVERAGE(OFFSET($BH$3,0,0,'Données projet'!$E$11+1,1))-AVERAGE(OFFSET($H$3,0,0,'Données projet'!$E$11+1,1))</f>
        <v>433.57989081194</v>
      </c>
      <c r="BJ52" s="61">
        <f t="shared" si="38"/>
        <v>182.52060621271355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9"/>
        <v>0</v>
      </c>
      <c r="BT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1" t="e">
        <f t="shared" si="11"/>
        <v>#N/A</v>
      </c>
      <c r="CD52" s="61" t="e">
        <f ca="1">AVERAGE(OFFSET($CC$3,0,0,'Données projet'!$E$12+1,1))-AVERAGE(OFFSET($H$3,0,0,'Données projet'!$E$12+1,1))</f>
        <v>#N/A</v>
      </c>
      <c r="CE52" s="61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2"/>
        <v>0</v>
      </c>
      <c r="CO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1" t="e">
        <f t="shared" si="14"/>
        <v>#N/A</v>
      </c>
      <c r="CY52" s="61" t="e">
        <f ca="1">AVERAGE(OFFSET($CX$3,0,0,'Données projet'!$E$13+1,1))-AVERAGE(OFFSET($H$3,0,0,'Données projet'!$E$13+1,1))</f>
        <v>#N/A</v>
      </c>
      <c r="CZ52" s="61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15"/>
        <v>0</v>
      </c>
      <c r="DJ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1" t="e">
        <f t="shared" si="17"/>
        <v>#N/A</v>
      </c>
      <c r="DT52" s="61" t="e">
        <f ca="1">AVERAGE(OFFSET($DS$3,0,0,'Données projet'!$E$14+1,1))-AVERAGE(OFFSET($H$3,0,0,'Données projet'!$E$14+1,1))</f>
        <v>#N/A</v>
      </c>
      <c r="DU52" s="61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18"/>
        <v>0</v>
      </c>
      <c r="EE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1" t="e">
        <f t="shared" si="20"/>
        <v>#N/A</v>
      </c>
      <c r="EO52" s="61" t="e">
        <f ca="1">AVERAGE(OFFSET($EN$3,0,0,'Données projet'!$E$15+1,1))-AVERAGE(OFFSET($H$3,0,0,'Données projet'!$E$15+1,1))</f>
        <v>#N/A</v>
      </c>
      <c r="EP52" s="61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1"/>
        <v>0</v>
      </c>
      <c r="EZ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1" t="e">
        <f t="shared" si="23"/>
        <v>#N/A</v>
      </c>
      <c r="FJ52" s="61" t="e">
        <f ca="1">AVERAGE(OFFSET($FI$3,0,0,'Données projet'!$E$16+1,1))-AVERAGE(OFFSET($H$3,0,0,'Données projet'!$E$16+1,1))</f>
        <v>#N/A</v>
      </c>
      <c r="FK52" s="61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24"/>
        <v>0</v>
      </c>
      <c r="FU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1" t="e">
        <f t="shared" si="26"/>
        <v>#N/A</v>
      </c>
      <c r="GE52" s="61" t="e">
        <f ca="1">AVERAGE(OFFSET($GD$3,0,0,'Données projet'!$E$17+1,1))-AVERAGE(OFFSET($H$3,0,0,'Données projet'!$E$17+1,1))</f>
        <v>#N/A</v>
      </c>
      <c r="GF52" s="61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27"/>
        <v>0</v>
      </c>
      <c r="GP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1" t="e">
        <f t="shared" si="29"/>
        <v>#N/A</v>
      </c>
      <c r="GZ52" s="61" t="e">
        <f ca="1">AVERAGE(OFFSET($GY$3,0,0,'Données projet'!$E$18+1,1))-AVERAGE(OFFSET($H$3,0,0,'Données projet'!$E$18+1,1))</f>
        <v>#N/A</v>
      </c>
      <c r="HA52" s="61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30"/>
        <v>0</v>
      </c>
    </row>
    <row r="53" spans="1:218" s="5" customFormat="1" x14ac:dyDescent="0.45">
      <c r="A53" s="11">
        <f t="shared" si="31"/>
        <v>50</v>
      </c>
      <c r="B53" s="76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9">
        <f t="shared" si="1"/>
        <v>183.33333333333334</v>
      </c>
      <c r="I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387</v>
      </c>
      <c r="L53" s="13">
        <f>VLOOKUP(A53,'Données projet'!$A$35:$I$55,9,0)</f>
        <v>17.2</v>
      </c>
      <c r="M53" s="13">
        <f t="array" ref="M53">INDEX(L:L,MIN(IF(ISNUMBER(L53:L249),ROW(L53:L249),"")))</f>
        <v>17.2</v>
      </c>
      <c r="N53" s="14">
        <f>IF('Données projet'!$A$36&gt;35,N52+M53-V52,IF(A53&lt;'Données projet'!$A$36,$K$205^A53,IF(A53='Données projet'!$A$36,'Données projet'!$B$36,N52+M53-V52)))</f>
        <v>386.99999999999977</v>
      </c>
      <c r="O53" s="14">
        <f>N53*VLOOKUP('Données projet'!$B$9,Paramètres!$A$1:$I$88,3,0)*VLOOKUP('Données projet'!$B$9,Paramètres!$A$1:$I$88,5,0)</f>
        <v>231.42599999999987</v>
      </c>
      <c r="P53" s="14">
        <f t="shared" si="33"/>
        <v>56.590905067453171</v>
      </c>
      <c r="Q53" s="22">
        <f t="shared" si="53"/>
        <v>501.62944299248062</v>
      </c>
      <c r="R53" s="61">
        <f t="shared" si="0"/>
        <v>756.75042452195066</v>
      </c>
      <c r="S53" s="61">
        <f ca="1">AVERAGE(OFFSET($R$3,0,0,'Données projet'!$E$9+1,1))-AVERAGE(OFFSET($H$3,0,0,'Données projet'!$E$9+1,1))</f>
        <v>445.53168057836308</v>
      </c>
      <c r="T53" s="61">
        <f t="shared" si="34"/>
        <v>326.78684646135241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47</v>
      </c>
      <c r="W53" s="17">
        <f>IF(ISNA(VLOOKUP(A53,'Données projet'!$A$35:$I$55,5,0)),0%,VLOOKUP(A53,'Données projet'!$A$35:$I$55,5,0)*VLOOKUP('Données projet'!$B$9,Paramètres!$A$1:$I$88,7,0))</f>
        <v>0.22500000000000001</v>
      </c>
      <c r="X53" s="17">
        <f>IF(ISNA(VLOOKUP(A53,'Données projet'!$A$35:$I$55,6,0)),0%,VLOOKUP(A53,'Données projet'!$A$35:$I$55,6,0)*VLOOKUP('Données projet'!$B$9,Paramètres!$A$1:$I$88,7,0))</f>
        <v>0.18000000000000002</v>
      </c>
      <c r="Y53" s="17">
        <f>IF(ISNA(VLOOKUP(A53,'Données projet'!$A$35:$I$55,7,0)),0%,VLOOKUP(A53,'Données projet'!$A$35:$I$55,7,0))</f>
        <v>0.1</v>
      </c>
      <c r="Z53" s="23">
        <f>EXP(-LN(2)/35)*Z52+(1-EXP(-LN(2)/35))/(LN(2)/35)*V53*W53*VLOOKUP('Données projet'!$B$9,Paramètres!$A$1:$I$88,3,0)*0.475*44/12</f>
        <v>15.8254436534334</v>
      </c>
      <c r="AA53" s="23">
        <f>EXP(-LN(2)/25)*AA52+(1-EXP(-LN(2)/25))/(LN(2)/25)*Calculateur!V53*Calculateur!X53*VLOOKUP('Données projet'!$B$9,Paramètres!$A$1:$I$88,3,0)*0.475*44/12</f>
        <v>41.268783401165457</v>
      </c>
      <c r="AB53" s="23">
        <f>EXP(-LN(2)/2)*AB52+(1-EXP(-LN(2)/2))/(LN(2)/2)*V53*Y53*VLOOKUP('Données projet'!$B$9,Paramètres!$A$1:$I$88,3,0)*0.475*44/12</f>
        <v>3.8408861708795428</v>
      </c>
      <c r="AC53" s="24">
        <f t="shared" si="3"/>
        <v>60.935113225478403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320</v>
      </c>
      <c r="AG53" s="13">
        <f>VLOOKUP(A53,'Données projet'!$A$61:$I$81,9,0)</f>
        <v>10.7</v>
      </c>
      <c r="AH53" s="13">
        <f t="array" ref="AH53">INDEX(AG:AG,MIN(IF(ISNUMBER(AG53:AG249),ROW(AG53:AG249),"")))</f>
        <v>10.7</v>
      </c>
      <c r="AI53" s="14">
        <f>IF('Données projet'!$A$62&gt;35,AI52+AH53-AQ52,IF(A53&lt;'Données projet'!$A$62,$AF$205^A53,IF(A53='Données projet'!$A$62,'Données projet'!$B$62,AI52+AH53-AQ52)))</f>
        <v>319.99999999999983</v>
      </c>
      <c r="AJ53" s="14">
        <f>AI53*VLOOKUP('Données projet'!$B$10,Paramètres!$A$1:$I$88,3,0)*VLOOKUP('Données projet'!$B$10,Paramètres!$A$1:$I$88,5,0)</f>
        <v>149.75999999999991</v>
      </c>
      <c r="AK53" s="14">
        <f t="shared" si="35"/>
        <v>38.524039677774766</v>
      </c>
      <c r="AL53" s="22">
        <f t="shared" si="4"/>
        <v>327.92803577212419</v>
      </c>
      <c r="AM53" s="61">
        <f t="shared" si="5"/>
        <v>583.04901730159429</v>
      </c>
      <c r="AN53" s="61">
        <f ca="1">AVERAGE(OFFSET($AM$3,0,0,'Données projet'!$E$10+1,1))-AVERAGE(OFFSET($H$3,0,0,'Données projet'!$E$10+1,1))</f>
        <v>375.77859820466693</v>
      </c>
      <c r="AO53" s="61">
        <f t="shared" si="36"/>
        <v>242.84781402593856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47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0.27500000000000002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19.675628869746156</v>
      </c>
      <c r="AW53" s="23">
        <f>EXP(-LN(2)/2)*AW52+(1-EXP(-LN(2)/2))/(LN(2)/2)*AQ53*AT53*VLOOKUP('Données projet'!$B$9,Paramètres!$A$1:$I$88,3,0)*0.475*44/12</f>
        <v>0</v>
      </c>
      <c r="AX53" s="23">
        <f t="shared" si="6"/>
        <v>19.675628869746156</v>
      </c>
      <c r="AY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1.8571428571428572</v>
      </c>
      <c r="BD53" s="13">
        <f>IF('Données projet'!$A$88&gt;35,BD52+BC53-BL52,IF(A53&lt;'Données projet'!$A$88,$BA$205^A53,IF(A53='Données projet'!$A$88,'Données projet'!$B$88,BD52+BC53-BL52)))</f>
        <v>92.857142857142875</v>
      </c>
      <c r="BE53" s="14">
        <f>BD53*VLOOKUP('Données projet'!$B$11,Paramètres!$A$1:$I$88,3,0)*VLOOKUP('Données projet'!$B$11,Paramètres!$A$1:$I$88,5,0)</f>
        <v>94.157142857142873</v>
      </c>
      <c r="BF53" s="14">
        <f t="shared" si="37"/>
        <v>25.565177693202692</v>
      </c>
      <c r="BG53" s="22">
        <f t="shared" si="7"/>
        <v>208.51637495851853</v>
      </c>
      <c r="BH53" s="61">
        <f t="shared" si="8"/>
        <v>463.63735648798865</v>
      </c>
      <c r="BI53" s="61">
        <f ca="1">AVERAGE(OFFSET($BH$3,0,0,'Données projet'!$E$11+1,1))-AVERAGE(OFFSET($H$3,0,0,'Données projet'!$E$11+1,1))</f>
        <v>433.57989081194</v>
      </c>
      <c r="BJ53" s="61">
        <f t="shared" si="38"/>
        <v>182.52060621271355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9"/>
        <v>0</v>
      </c>
      <c r="BT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1" t="e">
        <f t="shared" si="11"/>
        <v>#N/A</v>
      </c>
      <c r="CD53" s="61" t="e">
        <f ca="1">AVERAGE(OFFSET($CC$3,0,0,'Données projet'!$E$12+1,1))-AVERAGE(OFFSET($H$3,0,0,'Données projet'!$E$12+1,1))</f>
        <v>#N/A</v>
      </c>
      <c r="CE53" s="61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2"/>
        <v>0</v>
      </c>
      <c r="CO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1" t="e">
        <f t="shared" si="14"/>
        <v>#N/A</v>
      </c>
      <c r="CY53" s="61" t="e">
        <f ca="1">AVERAGE(OFFSET($CX$3,0,0,'Données projet'!$E$13+1,1))-AVERAGE(OFFSET($H$3,0,0,'Données projet'!$E$13+1,1))</f>
        <v>#N/A</v>
      </c>
      <c r="CZ53" s="61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15"/>
        <v>0</v>
      </c>
      <c r="DJ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1" t="e">
        <f t="shared" si="17"/>
        <v>#N/A</v>
      </c>
      <c r="DT53" s="61" t="e">
        <f ca="1">AVERAGE(OFFSET($DS$3,0,0,'Données projet'!$E$14+1,1))-AVERAGE(OFFSET($H$3,0,0,'Données projet'!$E$14+1,1))</f>
        <v>#N/A</v>
      </c>
      <c r="DU53" s="61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18"/>
        <v>0</v>
      </c>
      <c r="EE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1" t="e">
        <f t="shared" si="20"/>
        <v>#N/A</v>
      </c>
      <c r="EO53" s="61" t="e">
        <f ca="1">AVERAGE(OFFSET($EN$3,0,0,'Données projet'!$E$15+1,1))-AVERAGE(OFFSET($H$3,0,0,'Données projet'!$E$15+1,1))</f>
        <v>#N/A</v>
      </c>
      <c r="EP53" s="61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1"/>
        <v>0</v>
      </c>
      <c r="EZ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1" t="e">
        <f t="shared" si="23"/>
        <v>#N/A</v>
      </c>
      <c r="FJ53" s="61" t="e">
        <f ca="1">AVERAGE(OFFSET($FI$3,0,0,'Données projet'!$E$16+1,1))-AVERAGE(OFFSET($H$3,0,0,'Données projet'!$E$16+1,1))</f>
        <v>#N/A</v>
      </c>
      <c r="FK53" s="61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24"/>
        <v>0</v>
      </c>
      <c r="FU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1" t="e">
        <f t="shared" si="26"/>
        <v>#N/A</v>
      </c>
      <c r="GE53" s="61" t="e">
        <f ca="1">AVERAGE(OFFSET($GD$3,0,0,'Données projet'!$E$17+1,1))-AVERAGE(OFFSET($H$3,0,0,'Données projet'!$E$17+1,1))</f>
        <v>#N/A</v>
      </c>
      <c r="GF53" s="61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27"/>
        <v>0</v>
      </c>
      <c r="GP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1" t="e">
        <f t="shared" si="29"/>
        <v>#N/A</v>
      </c>
      <c r="GZ53" s="61" t="e">
        <f ca="1">AVERAGE(OFFSET($GY$3,0,0,'Données projet'!$E$18+1,1))-AVERAGE(OFFSET($H$3,0,0,'Données projet'!$E$18+1,1))</f>
        <v>#N/A</v>
      </c>
      <c r="HA53" s="61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30"/>
        <v>0</v>
      </c>
    </row>
    <row r="54" spans="1:218" s="5" customFormat="1" x14ac:dyDescent="0.45">
      <c r="A54" s="11">
        <f t="shared" si="31"/>
        <v>51</v>
      </c>
      <c r="B54" s="76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9">
        <f t="shared" si="1"/>
        <v>183.33333333333334</v>
      </c>
      <c r="I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16.600000000000001</v>
      </c>
      <c r="N54" s="14">
        <f>IF('Données projet'!$A$36&gt;35,N53+M54-V53,IF(A54&lt;'Données projet'!$A$36,$K$205^A54,IF(A54='Données projet'!$A$36,'Données projet'!$B$36,N53+M54-V53)))</f>
        <v>356.5999999999998</v>
      </c>
      <c r="O54" s="14">
        <f>N54*VLOOKUP('Données projet'!$B$9,Paramètres!$A$1:$I$88,3,0)*VLOOKUP('Données projet'!$B$9,Paramètres!$A$1:$I$88,5,0)</f>
        <v>213.24679999999989</v>
      </c>
      <c r="P54" s="14">
        <f t="shared" si="33"/>
        <v>52.644458395792405</v>
      </c>
      <c r="Q54" s="22">
        <f t="shared" si="53"/>
        <v>463.0939417060049</v>
      </c>
      <c r="R54" s="61">
        <f t="shared" si="0"/>
        <v>718.87782210925172</v>
      </c>
      <c r="S54" s="61">
        <f ca="1">AVERAGE(OFFSET($R$3,0,0,'Données projet'!$E$9+1,1))-AVERAGE(OFFSET($H$3,0,0,'Données projet'!$E$9+1,1))</f>
        <v>445.53168057836308</v>
      </c>
      <c r="T54" s="61">
        <f t="shared" si="34"/>
        <v>326.78684646135241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15.515116355957087</v>
      </c>
      <c r="AA54" s="23">
        <f>EXP(-LN(2)/25)*AA53+(1-EXP(-LN(2)/25))/(LN(2)/25)*Calculateur!V54*Calculateur!X54*VLOOKUP('Données projet'!$B$9,Paramètres!$A$1:$I$88,3,0)*0.475*44/12</f>
        <v>40.140286348829591</v>
      </c>
      <c r="AB54" s="23">
        <f>EXP(-LN(2)/2)*AB53+(1-EXP(-LN(2)/2))/(LN(2)/2)*V54*Y54*VLOOKUP('Données projet'!$B$9,Paramètres!$A$1:$I$88,3,0)*0.475*44/12</f>
        <v>2.7159166571945574</v>
      </c>
      <c r="AC54" s="24">
        <f t="shared" si="3"/>
        <v>58.371319361981236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12.7</v>
      </c>
      <c r="AI54" s="14">
        <f>IF('Données projet'!$A$62&gt;35,AI53+AH54-AQ53,IF(A54&lt;'Données projet'!$A$62,$AF$205^A54,IF(A54='Données projet'!$A$62,'Données projet'!$B$62,AI53+AH54-AQ53)))</f>
        <v>285.69999999999982</v>
      </c>
      <c r="AJ54" s="14">
        <f>AI54*VLOOKUP('Données projet'!$B$10,Paramètres!$A$1:$I$88,3,0)*VLOOKUP('Données projet'!$B$10,Paramètres!$A$1:$I$88,5,0)</f>
        <v>133.70759999999993</v>
      </c>
      <c r="AK54" s="14">
        <f t="shared" si="35"/>
        <v>34.85166966861982</v>
      </c>
      <c r="AL54" s="22">
        <f t="shared" si="4"/>
        <v>293.5740613395127</v>
      </c>
      <c r="AM54" s="61">
        <f t="shared" si="5"/>
        <v>549.35794174275952</v>
      </c>
      <c r="AN54" s="61">
        <f ca="1">AVERAGE(OFFSET($AM$3,0,0,'Données projet'!$E$10+1,1))-AVERAGE(OFFSET($H$3,0,0,'Données projet'!$E$10+1,1))</f>
        <v>375.77859820466693</v>
      </c>
      <c r="AO54" s="61">
        <f t="shared" si="36"/>
        <v>242.84781402593856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19.137597763606593</v>
      </c>
      <c r="AW54" s="23">
        <f>EXP(-LN(2)/2)*AW53+(1-EXP(-LN(2)/2))/(LN(2)/2)*AQ54*AT54*VLOOKUP('Données projet'!$B$9,Paramètres!$A$1:$I$88,3,0)*0.475*44/12</f>
        <v>0</v>
      </c>
      <c r="AX54" s="23">
        <f t="shared" si="6"/>
        <v>19.137597763606593</v>
      </c>
      <c r="AY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1.8571428571428572</v>
      </c>
      <c r="BD54" s="13">
        <f>IF('Données projet'!$A$88&gt;35,BD53+BC54-BL53,IF(A54&lt;'Données projet'!$A$88,$BA$205^A54,IF(A54='Données projet'!$A$88,'Données projet'!$B$88,BD53+BC54-BL53)))</f>
        <v>94.714285714285737</v>
      </c>
      <c r="BE54" s="14">
        <f>BD54*VLOOKUP('Données projet'!$B$11,Paramètres!$A$1:$I$88,3,0)*VLOOKUP('Données projet'!$B$11,Paramètres!$A$1:$I$88,5,0)</f>
        <v>96.040285714285744</v>
      </c>
      <c r="BF54" s="14">
        <f t="shared" si="37"/>
        <v>26.016443505423243</v>
      </c>
      <c r="BG54" s="22">
        <f t="shared" si="7"/>
        <v>212.58213672432646</v>
      </c>
      <c r="BH54" s="61">
        <f t="shared" si="8"/>
        <v>468.36601712757329</v>
      </c>
      <c r="BI54" s="61">
        <f ca="1">AVERAGE(OFFSET($BH$3,0,0,'Données projet'!$E$11+1,1))-AVERAGE(OFFSET($H$3,0,0,'Données projet'!$E$11+1,1))</f>
        <v>433.57989081194</v>
      </c>
      <c r="BJ54" s="61">
        <f t="shared" si="38"/>
        <v>182.52060621271355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9"/>
        <v>0</v>
      </c>
      <c r="BT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1" t="e">
        <f t="shared" si="11"/>
        <v>#N/A</v>
      </c>
      <c r="CD54" s="61" t="e">
        <f ca="1">AVERAGE(OFFSET($CC$3,0,0,'Données projet'!$E$12+1,1))-AVERAGE(OFFSET($H$3,0,0,'Données projet'!$E$12+1,1))</f>
        <v>#N/A</v>
      </c>
      <c r="CE54" s="61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2"/>
        <v>0</v>
      </c>
      <c r="CO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1" t="e">
        <f t="shared" si="14"/>
        <v>#N/A</v>
      </c>
      <c r="CY54" s="61" t="e">
        <f ca="1">AVERAGE(OFFSET($CX$3,0,0,'Données projet'!$E$13+1,1))-AVERAGE(OFFSET($H$3,0,0,'Données projet'!$E$13+1,1))</f>
        <v>#N/A</v>
      </c>
      <c r="CZ54" s="61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15"/>
        <v>0</v>
      </c>
      <c r="DJ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1" t="e">
        <f t="shared" si="17"/>
        <v>#N/A</v>
      </c>
      <c r="DT54" s="61" t="e">
        <f ca="1">AVERAGE(OFFSET($DS$3,0,0,'Données projet'!$E$14+1,1))-AVERAGE(OFFSET($H$3,0,0,'Données projet'!$E$14+1,1))</f>
        <v>#N/A</v>
      </c>
      <c r="DU54" s="61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18"/>
        <v>0</v>
      </c>
      <c r="EE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1" t="e">
        <f t="shared" si="20"/>
        <v>#N/A</v>
      </c>
      <c r="EO54" s="61" t="e">
        <f ca="1">AVERAGE(OFFSET($EN$3,0,0,'Données projet'!$E$15+1,1))-AVERAGE(OFFSET($H$3,0,0,'Données projet'!$E$15+1,1))</f>
        <v>#N/A</v>
      </c>
      <c r="EP54" s="61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1"/>
        <v>0</v>
      </c>
      <c r="EZ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1" t="e">
        <f t="shared" si="23"/>
        <v>#N/A</v>
      </c>
      <c r="FJ54" s="61" t="e">
        <f ca="1">AVERAGE(OFFSET($FI$3,0,0,'Données projet'!$E$16+1,1))-AVERAGE(OFFSET($H$3,0,0,'Données projet'!$E$16+1,1))</f>
        <v>#N/A</v>
      </c>
      <c r="FK54" s="61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24"/>
        <v>0</v>
      </c>
      <c r="FU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1" t="e">
        <f t="shared" si="26"/>
        <v>#N/A</v>
      </c>
      <c r="GE54" s="61" t="e">
        <f ca="1">AVERAGE(OFFSET($GD$3,0,0,'Données projet'!$E$17+1,1))-AVERAGE(OFFSET($H$3,0,0,'Données projet'!$E$17+1,1))</f>
        <v>#N/A</v>
      </c>
      <c r="GF54" s="61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27"/>
        <v>0</v>
      </c>
      <c r="GP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1" t="e">
        <f t="shared" si="29"/>
        <v>#N/A</v>
      </c>
      <c r="GZ54" s="61" t="e">
        <f ca="1">AVERAGE(OFFSET($GY$3,0,0,'Données projet'!$E$18+1,1))-AVERAGE(OFFSET($H$3,0,0,'Données projet'!$E$18+1,1))</f>
        <v>#N/A</v>
      </c>
      <c r="HA54" s="61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30"/>
        <v>0</v>
      </c>
    </row>
    <row r="55" spans="1:218" s="5" customFormat="1" x14ac:dyDescent="0.45">
      <c r="A55" s="11">
        <f t="shared" si="31"/>
        <v>52</v>
      </c>
      <c r="B55" s="76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9">
        <f t="shared" si="1"/>
        <v>183.33333333333334</v>
      </c>
      <c r="I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16.600000000000001</v>
      </c>
      <c r="N55" s="14">
        <f>IF('Données projet'!$A$36&gt;35,N54+M55-V54,IF(A55&lt;'Données projet'!$A$36,$K$205^A55,IF(A55='Données projet'!$A$36,'Données projet'!$B$36,N54+M55-V54)))</f>
        <v>373.19999999999982</v>
      </c>
      <c r="O55" s="14">
        <f>N55*VLOOKUP('Données projet'!$B$9,Paramètres!$A$1:$I$88,3,0)*VLOOKUP('Données projet'!$B$9,Paramètres!$A$1:$I$88,5,0)</f>
        <v>223.17359999999988</v>
      </c>
      <c r="P55" s="14">
        <f t="shared" si="33"/>
        <v>54.804075984483831</v>
      </c>
      <c r="Q55" s="22">
        <f t="shared" si="53"/>
        <v>484.14445233964238</v>
      </c>
      <c r="R55" s="61">
        <f t="shared" si="0"/>
        <v>740.57973180322574</v>
      </c>
      <c r="S55" s="61">
        <f ca="1">AVERAGE(OFFSET($R$3,0,0,'Données projet'!$E$9+1,1))-AVERAGE(OFFSET($H$3,0,0,'Données projet'!$E$9+1,1))</f>
        <v>445.53168057836308</v>
      </c>
      <c r="T55" s="61">
        <f t="shared" si="34"/>
        <v>326.78684646135241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15.210874387503324</v>
      </c>
      <c r="AA55" s="23">
        <f>EXP(-LN(2)/25)*AA54+(1-EXP(-LN(2)/25))/(LN(2)/25)*Calculateur!V55*Calculateur!X55*VLOOKUP('Données projet'!$B$9,Paramètres!$A$1:$I$88,3,0)*0.475*44/12</f>
        <v>39.042648107734927</v>
      </c>
      <c r="AB55" s="23">
        <f>EXP(-LN(2)/2)*AB54+(1-EXP(-LN(2)/2))/(LN(2)/2)*V55*Y55*VLOOKUP('Données projet'!$B$9,Paramètres!$A$1:$I$88,3,0)*0.475*44/12</f>
        <v>1.9204430854397716</v>
      </c>
      <c r="AC55" s="24">
        <f t="shared" si="3"/>
        <v>56.173965580678022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12.7</v>
      </c>
      <c r="AI55" s="14">
        <f>IF('Données projet'!$A$62&gt;35,AI54+AH55-AQ54,IF(A55&lt;'Données projet'!$A$62,$AF$205^A55,IF(A55='Données projet'!$A$62,'Données projet'!$B$62,AI54+AH55-AQ54)))</f>
        <v>298.39999999999981</v>
      </c>
      <c r="AJ55" s="14">
        <f>AI55*VLOOKUP('Données projet'!$B$10,Paramètres!$A$1:$I$88,3,0)*VLOOKUP('Données projet'!$B$10,Paramètres!$A$1:$I$88,5,0)</f>
        <v>139.6511999999999</v>
      </c>
      <c r="AK55" s="14">
        <f t="shared" si="35"/>
        <v>36.217088715919452</v>
      </c>
      <c r="AL55" s="22">
        <f t="shared" si="4"/>
        <v>306.30393618022623</v>
      </c>
      <c r="AM55" s="61">
        <f t="shared" si="5"/>
        <v>562.73921564380953</v>
      </c>
      <c r="AN55" s="61">
        <f ca="1">AVERAGE(OFFSET($AM$3,0,0,'Données projet'!$E$10+1,1))-AVERAGE(OFFSET($H$3,0,0,'Données projet'!$E$10+1,1))</f>
        <v>375.77859820466693</v>
      </c>
      <c r="AO55" s="61">
        <f t="shared" si="36"/>
        <v>242.84781402593856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18.614279146358243</v>
      </c>
      <c r="AW55" s="23">
        <f>EXP(-LN(2)/2)*AW54+(1-EXP(-LN(2)/2))/(LN(2)/2)*AQ55*AT55*VLOOKUP('Données projet'!$B$9,Paramètres!$A$1:$I$88,3,0)*0.475*44/12</f>
        <v>0</v>
      </c>
      <c r="AX55" s="23">
        <f t="shared" si="6"/>
        <v>18.614279146358243</v>
      </c>
      <c r="AY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1.8571428571428572</v>
      </c>
      <c r="BD55" s="13">
        <f>IF('Données projet'!$A$88&gt;35,BD54+BC55-BL54,IF(A55&lt;'Données projet'!$A$88,$BA$205^A55,IF(A55='Données projet'!$A$88,'Données projet'!$B$88,BD54+BC55-BL54)))</f>
        <v>96.571428571428598</v>
      </c>
      <c r="BE55" s="14">
        <f>BD55*VLOOKUP('Données projet'!$B$11,Paramètres!$A$1:$I$88,3,0)*VLOOKUP('Données projet'!$B$11,Paramètres!$A$1:$I$88,5,0)</f>
        <v>97.923428571428616</v>
      </c>
      <c r="BF55" s="14">
        <f t="shared" si="37"/>
        <v>26.46668047455865</v>
      </c>
      <c r="BG55" s="22">
        <f t="shared" si="7"/>
        <v>216.64610658842778</v>
      </c>
      <c r="BH55" s="61">
        <f t="shared" si="8"/>
        <v>473.08138605201111</v>
      </c>
      <c r="BI55" s="61">
        <f ca="1">AVERAGE(OFFSET($BH$3,0,0,'Données projet'!$E$11+1,1))-AVERAGE(OFFSET($H$3,0,0,'Données projet'!$E$11+1,1))</f>
        <v>433.57989081194</v>
      </c>
      <c r="BJ55" s="61">
        <f t="shared" si="38"/>
        <v>182.52060621271355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9"/>
        <v>0</v>
      </c>
      <c r="BT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1" t="e">
        <f t="shared" si="11"/>
        <v>#N/A</v>
      </c>
      <c r="CD55" s="61" t="e">
        <f ca="1">AVERAGE(OFFSET($CC$3,0,0,'Données projet'!$E$12+1,1))-AVERAGE(OFFSET($H$3,0,0,'Données projet'!$E$12+1,1))</f>
        <v>#N/A</v>
      </c>
      <c r="CE55" s="61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2"/>
        <v>0</v>
      </c>
      <c r="CO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1" t="e">
        <f t="shared" si="14"/>
        <v>#N/A</v>
      </c>
      <c r="CY55" s="61" t="e">
        <f ca="1">AVERAGE(OFFSET($CX$3,0,0,'Données projet'!$E$13+1,1))-AVERAGE(OFFSET($H$3,0,0,'Données projet'!$E$13+1,1))</f>
        <v>#N/A</v>
      </c>
      <c r="CZ55" s="61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15"/>
        <v>0</v>
      </c>
      <c r="DJ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1" t="e">
        <f t="shared" si="17"/>
        <v>#N/A</v>
      </c>
      <c r="DT55" s="61" t="e">
        <f ca="1">AVERAGE(OFFSET($DS$3,0,0,'Données projet'!$E$14+1,1))-AVERAGE(OFFSET($H$3,0,0,'Données projet'!$E$14+1,1))</f>
        <v>#N/A</v>
      </c>
      <c r="DU55" s="61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18"/>
        <v>0</v>
      </c>
      <c r="EE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1" t="e">
        <f t="shared" si="20"/>
        <v>#N/A</v>
      </c>
      <c r="EO55" s="61" t="e">
        <f ca="1">AVERAGE(OFFSET($EN$3,0,0,'Données projet'!$E$15+1,1))-AVERAGE(OFFSET($H$3,0,0,'Données projet'!$E$15+1,1))</f>
        <v>#N/A</v>
      </c>
      <c r="EP55" s="61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1"/>
        <v>0</v>
      </c>
      <c r="EZ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1" t="e">
        <f t="shared" si="23"/>
        <v>#N/A</v>
      </c>
      <c r="FJ55" s="61" t="e">
        <f ca="1">AVERAGE(OFFSET($FI$3,0,0,'Données projet'!$E$16+1,1))-AVERAGE(OFFSET($H$3,0,0,'Données projet'!$E$16+1,1))</f>
        <v>#N/A</v>
      </c>
      <c r="FK55" s="61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24"/>
        <v>0</v>
      </c>
      <c r="FU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1" t="e">
        <f t="shared" si="26"/>
        <v>#N/A</v>
      </c>
      <c r="GE55" s="61" t="e">
        <f ca="1">AVERAGE(OFFSET($GD$3,0,0,'Données projet'!$E$17+1,1))-AVERAGE(OFFSET($H$3,0,0,'Données projet'!$E$17+1,1))</f>
        <v>#N/A</v>
      </c>
      <c r="GF55" s="61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27"/>
        <v>0</v>
      </c>
      <c r="GP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1" t="e">
        <f t="shared" si="29"/>
        <v>#N/A</v>
      </c>
      <c r="GZ55" s="61" t="e">
        <f ca="1">AVERAGE(OFFSET($GY$3,0,0,'Données projet'!$E$18+1,1))-AVERAGE(OFFSET($H$3,0,0,'Données projet'!$E$18+1,1))</f>
        <v>#N/A</v>
      </c>
      <c r="HA55" s="61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30"/>
        <v>0</v>
      </c>
    </row>
    <row r="56" spans="1:218" s="5" customFormat="1" x14ac:dyDescent="0.45">
      <c r="A56" s="11">
        <f t="shared" si="31"/>
        <v>53</v>
      </c>
      <c r="B56" s="76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9">
        <f t="shared" si="1"/>
        <v>183.33333333333334</v>
      </c>
      <c r="I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16.600000000000001</v>
      </c>
      <c r="N56" s="14">
        <f>IF('Données projet'!$A$36&gt;35,N55+M56-V55,IF(A56&lt;'Données projet'!$A$36,$K$205^A56,IF(A56='Données projet'!$A$36,'Données projet'!$B$36,N55+M56-V55)))</f>
        <v>389.79999999999984</v>
      </c>
      <c r="O56" s="14">
        <f>N56*VLOOKUP('Données projet'!$B$9,Paramètres!$A$1:$I$88,3,0)*VLOOKUP('Données projet'!$B$9,Paramètres!$A$1:$I$88,5,0)</f>
        <v>233.10039999999992</v>
      </c>
      <c r="P56" s="14">
        <f t="shared" si="33"/>
        <v>56.952537181696577</v>
      </c>
      <c r="Q56" s="22">
        <f t="shared" si="53"/>
        <v>505.17553225812139</v>
      </c>
      <c r="R56" s="61">
        <f t="shared" si="0"/>
        <v>762.25091046465468</v>
      </c>
      <c r="S56" s="61">
        <f ca="1">AVERAGE(OFFSET($R$3,0,0,'Données projet'!$E$9+1,1))-AVERAGE(OFFSET($H$3,0,0,'Données projet'!$E$9+1,1))</f>
        <v>445.53168057836308</v>
      </c>
      <c r="T56" s="61">
        <f t="shared" si="34"/>
        <v>326.78684646135241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14.912598418481663</v>
      </c>
      <c r="AA56" s="23">
        <f>EXP(-LN(2)/25)*AA55+(1-EXP(-LN(2)/25))/(LN(2)/25)*Calculateur!V56*Calculateur!X56*VLOOKUP('Données projet'!$B$9,Paramètres!$A$1:$I$88,3,0)*0.475*44/12</f>
        <v>37.975024842065281</v>
      </c>
      <c r="AB56" s="23">
        <f>EXP(-LN(2)/2)*AB55+(1-EXP(-LN(2)/2))/(LN(2)/2)*V56*Y56*VLOOKUP('Données projet'!$B$9,Paramètres!$A$1:$I$88,3,0)*0.475*44/12</f>
        <v>1.3579583285972789</v>
      </c>
      <c r="AC56" s="24">
        <f t="shared" si="3"/>
        <v>54.245581589144223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12.7</v>
      </c>
      <c r="AI56" s="14">
        <f>IF('Données projet'!$A$62&gt;35,AI55+AH56-AQ55,IF(A56&lt;'Données projet'!$A$62,$AF$205^A56,IF(A56='Données projet'!$A$62,'Données projet'!$B$62,AI55+AH56-AQ55)))</f>
        <v>311.0999999999998</v>
      </c>
      <c r="AJ56" s="14">
        <f>AI56*VLOOKUP('Données projet'!$B$10,Paramètres!$A$1:$I$88,3,0)*VLOOKUP('Données projet'!$B$10,Paramètres!$A$1:$I$88,5,0)</f>
        <v>145.59479999999991</v>
      </c>
      <c r="AK56" s="14">
        <f t="shared" si="35"/>
        <v>37.575758023691684</v>
      </c>
      <c r="AL56" s="22">
        <f t="shared" si="4"/>
        <v>319.02205522459616</v>
      </c>
      <c r="AM56" s="61">
        <f t="shared" si="5"/>
        <v>576.09743343112939</v>
      </c>
      <c r="AN56" s="61">
        <f ca="1">AVERAGE(OFFSET($AM$3,0,0,'Données projet'!$E$10+1,1))-AVERAGE(OFFSET($H$3,0,0,'Données projet'!$E$10+1,1))</f>
        <v>375.77859820466693</v>
      </c>
      <c r="AO56" s="61">
        <f t="shared" si="36"/>
        <v>242.84781402593856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18.105270704218679</v>
      </c>
      <c r="AW56" s="23">
        <f>EXP(-LN(2)/2)*AW55+(1-EXP(-LN(2)/2))/(LN(2)/2)*AQ56*AT56*VLOOKUP('Données projet'!$B$9,Paramètres!$A$1:$I$88,3,0)*0.475*44/12</f>
        <v>0</v>
      </c>
      <c r="AX56" s="23">
        <f t="shared" si="6"/>
        <v>18.105270704218679</v>
      </c>
      <c r="AY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1.8571428571428572</v>
      </c>
      <c r="BD56" s="13">
        <f>IF('Données projet'!$A$88&gt;35,BD55+BC56-BL55,IF(A56&lt;'Données projet'!$A$88,$BA$205^A56,IF(A56='Données projet'!$A$88,'Données projet'!$B$88,BD55+BC56-BL55)))</f>
        <v>98.428571428571459</v>
      </c>
      <c r="BE56" s="14">
        <f>BD56*VLOOKUP('Données projet'!$B$11,Paramètres!$A$1:$I$88,3,0)*VLOOKUP('Données projet'!$B$11,Paramètres!$A$1:$I$88,5,0)</f>
        <v>99.806571428571459</v>
      </c>
      <c r="BF56" s="14">
        <f t="shared" si="37"/>
        <v>26.915910667118954</v>
      </c>
      <c r="BG56" s="22">
        <f t="shared" si="7"/>
        <v>220.70832298332743</v>
      </c>
      <c r="BH56" s="61">
        <f t="shared" si="8"/>
        <v>477.78370118986066</v>
      </c>
      <c r="BI56" s="61">
        <f ca="1">AVERAGE(OFFSET($BH$3,0,0,'Données projet'!$E$11+1,1))-AVERAGE(OFFSET($H$3,0,0,'Données projet'!$E$11+1,1))</f>
        <v>433.57989081194</v>
      </c>
      <c r="BJ56" s="61">
        <f t="shared" si="38"/>
        <v>182.52060621271355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9"/>
        <v>0</v>
      </c>
      <c r="BT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1" t="e">
        <f t="shared" si="11"/>
        <v>#N/A</v>
      </c>
      <c r="CD56" s="61" t="e">
        <f ca="1">AVERAGE(OFFSET($CC$3,0,0,'Données projet'!$E$12+1,1))-AVERAGE(OFFSET($H$3,0,0,'Données projet'!$E$12+1,1))</f>
        <v>#N/A</v>
      </c>
      <c r="CE56" s="61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2"/>
        <v>0</v>
      </c>
      <c r="CO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1" t="e">
        <f t="shared" si="14"/>
        <v>#N/A</v>
      </c>
      <c r="CY56" s="61" t="e">
        <f ca="1">AVERAGE(OFFSET($CX$3,0,0,'Données projet'!$E$13+1,1))-AVERAGE(OFFSET($H$3,0,0,'Données projet'!$E$13+1,1))</f>
        <v>#N/A</v>
      </c>
      <c r="CZ56" s="61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15"/>
        <v>0</v>
      </c>
      <c r="DJ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1" t="e">
        <f t="shared" si="17"/>
        <v>#N/A</v>
      </c>
      <c r="DT56" s="61" t="e">
        <f ca="1">AVERAGE(OFFSET($DS$3,0,0,'Données projet'!$E$14+1,1))-AVERAGE(OFFSET($H$3,0,0,'Données projet'!$E$14+1,1))</f>
        <v>#N/A</v>
      </c>
      <c r="DU56" s="61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18"/>
        <v>0</v>
      </c>
      <c r="EE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1" t="e">
        <f t="shared" si="20"/>
        <v>#N/A</v>
      </c>
      <c r="EO56" s="61" t="e">
        <f ca="1">AVERAGE(OFFSET($EN$3,0,0,'Données projet'!$E$15+1,1))-AVERAGE(OFFSET($H$3,0,0,'Données projet'!$E$15+1,1))</f>
        <v>#N/A</v>
      </c>
      <c r="EP56" s="61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1"/>
        <v>0</v>
      </c>
      <c r="EZ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1" t="e">
        <f t="shared" si="23"/>
        <v>#N/A</v>
      </c>
      <c r="FJ56" s="61" t="e">
        <f ca="1">AVERAGE(OFFSET($FI$3,0,0,'Données projet'!$E$16+1,1))-AVERAGE(OFFSET($H$3,0,0,'Données projet'!$E$16+1,1))</f>
        <v>#N/A</v>
      </c>
      <c r="FK56" s="61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24"/>
        <v>0</v>
      </c>
      <c r="FU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1" t="e">
        <f t="shared" si="26"/>
        <v>#N/A</v>
      </c>
      <c r="GE56" s="61" t="e">
        <f ca="1">AVERAGE(OFFSET($GD$3,0,0,'Données projet'!$E$17+1,1))-AVERAGE(OFFSET($H$3,0,0,'Données projet'!$E$17+1,1))</f>
        <v>#N/A</v>
      </c>
      <c r="GF56" s="61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27"/>
        <v>0</v>
      </c>
      <c r="GP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1" t="e">
        <f t="shared" si="29"/>
        <v>#N/A</v>
      </c>
      <c r="GZ56" s="61" t="e">
        <f ca="1">AVERAGE(OFFSET($GY$3,0,0,'Données projet'!$E$18+1,1))-AVERAGE(OFFSET($H$3,0,0,'Données projet'!$E$18+1,1))</f>
        <v>#N/A</v>
      </c>
      <c r="HA56" s="61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30"/>
        <v>0</v>
      </c>
    </row>
    <row r="57" spans="1:218" s="5" customFormat="1" x14ac:dyDescent="0.45">
      <c r="A57" s="11">
        <f t="shared" si="31"/>
        <v>54</v>
      </c>
      <c r="B57" s="76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9">
        <f t="shared" si="1"/>
        <v>183.33333333333334</v>
      </c>
      <c r="I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16.600000000000001</v>
      </c>
      <c r="N57" s="14">
        <f>IF('Données projet'!$A$36&gt;35,N56+M57-V56,IF(A57&lt;'Données projet'!$A$36,$K$205^A57,IF(A57='Données projet'!$A$36,'Données projet'!$B$36,N56+M57-V56)))</f>
        <v>406.39999999999986</v>
      </c>
      <c r="O57" s="14">
        <f>N57*VLOOKUP('Données projet'!$B$9,Paramètres!$A$1:$I$88,3,0)*VLOOKUP('Données projet'!$B$9,Paramètres!$A$1:$I$88,5,0)</f>
        <v>243.02719999999991</v>
      </c>
      <c r="P57" s="14">
        <f t="shared" si="33"/>
        <v>59.090371409216679</v>
      </c>
      <c r="Q57" s="22">
        <f t="shared" si="53"/>
        <v>526.1881035377188</v>
      </c>
      <c r="R57" s="61">
        <f t="shared" si="0"/>
        <v>783.89247620505807</v>
      </c>
      <c r="S57" s="61">
        <f ca="1">AVERAGE(OFFSET($R$3,0,0,'Données projet'!$E$9+1,1))-AVERAGE(OFFSET($H$3,0,0,'Données projet'!$E$9+1,1))</f>
        <v>445.53168057836308</v>
      </c>
      <c r="T57" s="61">
        <f t="shared" si="34"/>
        <v>326.78684646135241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14.620171459282139</v>
      </c>
      <c r="AA57" s="23">
        <f>EXP(-LN(2)/25)*AA56+(1-EXP(-LN(2)/25))/(LN(2)/25)*Calculateur!V57*Calculateur!X57*VLOOKUP('Données projet'!$B$9,Paramètres!$A$1:$I$88,3,0)*0.475*44/12</f>
        <v>36.93659579073924</v>
      </c>
      <c r="AB57" s="23">
        <f>EXP(-LN(2)/2)*AB56+(1-EXP(-LN(2)/2))/(LN(2)/2)*V57*Y57*VLOOKUP('Données projet'!$B$9,Paramètres!$A$1:$I$88,3,0)*0.475*44/12</f>
        <v>0.96022154271988602</v>
      </c>
      <c r="AC57" s="24">
        <f t="shared" si="3"/>
        <v>52.516988792741266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12.7</v>
      </c>
      <c r="AI57" s="14">
        <f>IF('Données projet'!$A$62&gt;35,AI56+AH57-AQ56,IF(A57&lt;'Données projet'!$A$62,$AF$205^A57,IF(A57='Données projet'!$A$62,'Données projet'!$B$62,AI56+AH57-AQ56)))</f>
        <v>323.79999999999978</v>
      </c>
      <c r="AJ57" s="14">
        <f>AI57*VLOOKUP('Données projet'!$B$10,Paramètres!$A$1:$I$88,3,0)*VLOOKUP('Données projet'!$B$10,Paramètres!$A$1:$I$88,5,0)</f>
        <v>151.53839999999988</v>
      </c>
      <c r="AK57" s="14">
        <f t="shared" si="35"/>
        <v>38.927984653255479</v>
      </c>
      <c r="AL57" s="22">
        <f t="shared" si="4"/>
        <v>331.72895327108643</v>
      </c>
      <c r="AM57" s="61">
        <f t="shared" si="5"/>
        <v>589.4333259384257</v>
      </c>
      <c r="AN57" s="61">
        <f ca="1">AVERAGE(OFFSET($AM$3,0,0,'Données projet'!$E$10+1,1))-AVERAGE(OFFSET($H$3,0,0,'Données projet'!$E$10+1,1))</f>
        <v>375.77859820466693</v>
      </c>
      <c r="AO57" s="61">
        <f t="shared" si="36"/>
        <v>242.84781402593856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17.610181124697014</v>
      </c>
      <c r="AW57" s="23">
        <f>EXP(-LN(2)/2)*AW56+(1-EXP(-LN(2)/2))/(LN(2)/2)*AQ57*AT57*VLOOKUP('Données projet'!$B$9,Paramètres!$A$1:$I$88,3,0)*0.475*44/12</f>
        <v>0</v>
      </c>
      <c r="AX57" s="23">
        <f t="shared" si="6"/>
        <v>17.610181124697014</v>
      </c>
      <c r="AY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1.8571428571428572</v>
      </c>
      <c r="BD57" s="13">
        <f>IF('Données projet'!$A$88&gt;35,BD56+BC57-BL56,IF(A57&lt;'Données projet'!$A$88,$BA$205^A57,IF(A57='Données projet'!$A$88,'Données projet'!$B$88,BD56+BC57-BL56)))</f>
        <v>100.28571428571432</v>
      </c>
      <c r="BE57" s="14">
        <f>BD57*VLOOKUP('Données projet'!$B$11,Paramètres!$A$1:$I$88,3,0)*VLOOKUP('Données projet'!$B$11,Paramètres!$A$1:$I$88,5,0)</f>
        <v>101.68971428571433</v>
      </c>
      <c r="BF57" s="14">
        <f t="shared" si="37"/>
        <v>27.364155269263033</v>
      </c>
      <c r="BG57" s="22">
        <f t="shared" si="7"/>
        <v>224.76882280825222</v>
      </c>
      <c r="BH57" s="61">
        <f t="shared" si="8"/>
        <v>482.47319547559152</v>
      </c>
      <c r="BI57" s="61">
        <f ca="1">AVERAGE(OFFSET($BH$3,0,0,'Données projet'!$E$11+1,1))-AVERAGE(OFFSET($H$3,0,0,'Données projet'!$E$11+1,1))</f>
        <v>433.57989081194</v>
      </c>
      <c r="BJ57" s="61">
        <f t="shared" si="38"/>
        <v>182.52060621271355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9"/>
        <v>0</v>
      </c>
      <c r="BT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1" t="e">
        <f t="shared" si="11"/>
        <v>#N/A</v>
      </c>
      <c r="CD57" s="61" t="e">
        <f ca="1">AVERAGE(OFFSET($CC$3,0,0,'Données projet'!$E$12+1,1))-AVERAGE(OFFSET($H$3,0,0,'Données projet'!$E$12+1,1))</f>
        <v>#N/A</v>
      </c>
      <c r="CE57" s="61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2"/>
        <v>0</v>
      </c>
      <c r="CO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1" t="e">
        <f t="shared" si="14"/>
        <v>#N/A</v>
      </c>
      <c r="CY57" s="61" t="e">
        <f ca="1">AVERAGE(OFFSET($CX$3,0,0,'Données projet'!$E$13+1,1))-AVERAGE(OFFSET($H$3,0,0,'Données projet'!$E$13+1,1))</f>
        <v>#N/A</v>
      </c>
      <c r="CZ57" s="61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15"/>
        <v>0</v>
      </c>
      <c r="DJ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1" t="e">
        <f t="shared" si="17"/>
        <v>#N/A</v>
      </c>
      <c r="DT57" s="61" t="e">
        <f ca="1">AVERAGE(OFFSET($DS$3,0,0,'Données projet'!$E$14+1,1))-AVERAGE(OFFSET($H$3,0,0,'Données projet'!$E$14+1,1))</f>
        <v>#N/A</v>
      </c>
      <c r="DU57" s="61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18"/>
        <v>0</v>
      </c>
      <c r="EE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1" t="e">
        <f t="shared" si="20"/>
        <v>#N/A</v>
      </c>
      <c r="EO57" s="61" t="e">
        <f ca="1">AVERAGE(OFFSET($EN$3,0,0,'Données projet'!$E$15+1,1))-AVERAGE(OFFSET($H$3,0,0,'Données projet'!$E$15+1,1))</f>
        <v>#N/A</v>
      </c>
      <c r="EP57" s="61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1"/>
        <v>0</v>
      </c>
      <c r="EZ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1" t="e">
        <f t="shared" si="23"/>
        <v>#N/A</v>
      </c>
      <c r="FJ57" s="61" t="e">
        <f ca="1">AVERAGE(OFFSET($FI$3,0,0,'Données projet'!$E$16+1,1))-AVERAGE(OFFSET($H$3,0,0,'Données projet'!$E$16+1,1))</f>
        <v>#N/A</v>
      </c>
      <c r="FK57" s="61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24"/>
        <v>0</v>
      </c>
      <c r="FU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1" t="e">
        <f t="shared" si="26"/>
        <v>#N/A</v>
      </c>
      <c r="GE57" s="61" t="e">
        <f ca="1">AVERAGE(OFFSET($GD$3,0,0,'Données projet'!$E$17+1,1))-AVERAGE(OFFSET($H$3,0,0,'Données projet'!$E$17+1,1))</f>
        <v>#N/A</v>
      </c>
      <c r="GF57" s="61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27"/>
        <v>0</v>
      </c>
      <c r="GP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1" t="e">
        <f t="shared" si="29"/>
        <v>#N/A</v>
      </c>
      <c r="GZ57" s="61" t="e">
        <f ca="1">AVERAGE(OFFSET($GY$3,0,0,'Données projet'!$E$18+1,1))-AVERAGE(OFFSET($H$3,0,0,'Données projet'!$E$18+1,1))</f>
        <v>#N/A</v>
      </c>
      <c r="HA57" s="61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30"/>
        <v>0</v>
      </c>
    </row>
    <row r="58" spans="1:218" s="5" customFormat="1" x14ac:dyDescent="0.45">
      <c r="A58" s="11">
        <f t="shared" si="31"/>
        <v>55</v>
      </c>
      <c r="B58" s="76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9">
        <f t="shared" si="1"/>
        <v>183.33333333333334</v>
      </c>
      <c r="I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423</v>
      </c>
      <c r="L58" s="13">
        <f>VLOOKUP(A58,'Données projet'!$A$35:$I$55,9,0)</f>
        <v>16.600000000000001</v>
      </c>
      <c r="M58" s="13">
        <f t="array" ref="M58">INDEX(L:L,MIN(IF(ISNUMBER(L58:L254),ROW(L58:L254),"")))</f>
        <v>16.600000000000001</v>
      </c>
      <c r="N58" s="14">
        <f>IF('Données projet'!$A$36&gt;35,N57+M58-V57,IF(A58&lt;'Données projet'!$A$36,$K$205^A58,IF(A58='Données projet'!$A$36,'Données projet'!$B$36,N57+M58-V57)))</f>
        <v>422.99999999999989</v>
      </c>
      <c r="O58" s="14">
        <f>N58*VLOOKUP('Données projet'!$B$9,Paramètres!$A$1:$I$88,3,0)*VLOOKUP('Données projet'!$B$9,Paramètres!$A$1:$I$88,5,0)</f>
        <v>252.95399999999995</v>
      </c>
      <c r="P58" s="14">
        <f t="shared" si="33"/>
        <v>61.218062391350024</v>
      </c>
      <c r="Q58" s="22">
        <f t="shared" si="53"/>
        <v>547.18300866493462</v>
      </c>
      <c r="R58" s="61">
        <f t="shared" si="0"/>
        <v>805.50546414540599</v>
      </c>
      <c r="S58" s="61">
        <f ca="1">AVERAGE(OFFSET($R$3,0,0,'Données projet'!$E$9+1,1))-AVERAGE(OFFSET($H$3,0,0,'Données projet'!$E$9+1,1))</f>
        <v>445.53168057836308</v>
      </c>
      <c r="T58" s="61">
        <f t="shared" si="34"/>
        <v>326.78684646135241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48</v>
      </c>
      <c r="W58" s="17">
        <f>IF(ISNA(VLOOKUP(A58,'Données projet'!$A$35:$I$55,5,0)),0%,VLOOKUP(A58,'Données projet'!$A$35:$I$55,5,0)*VLOOKUP('Données projet'!$B$9,Paramètres!$A$1:$I$88,7,0))</f>
        <v>0.22500000000000001</v>
      </c>
      <c r="X58" s="17">
        <f>IF(ISNA(VLOOKUP(A58,'Données projet'!$A$35:$I$55,6,0)),0%,VLOOKUP(A58,'Données projet'!$A$35:$I$55,6,0)*VLOOKUP('Données projet'!$B$9,Paramètres!$A$1:$I$88,7,0))</f>
        <v>0.18000000000000002</v>
      </c>
      <c r="Y58" s="17">
        <f>IF(ISNA(VLOOKUP(A58,'Données projet'!$A$35:$I$55,7,0)),0%,VLOOKUP(A58,'Données projet'!$A$35:$I$55,7,0))</f>
        <v>0.1</v>
      </c>
      <c r="Z58" s="23">
        <f>EXP(-LN(2)/35)*Z57+(1-EXP(-LN(2)/35))/(LN(2)/35)*V58*W58*VLOOKUP('Données projet'!$B$9,Paramètres!$A$1:$I$88,3,0)*0.475*44/12</f>
        <v>22.900962693400412</v>
      </c>
      <c r="AA58" s="23">
        <f>EXP(-LN(2)/25)*AA57+(1-EXP(-LN(2)/25))/(LN(2)/25)*Calculateur!V58*Calculateur!X58*VLOOKUP('Données projet'!$B$9,Paramètres!$A$1:$I$88,3,0)*0.475*44/12</f>
        <v>42.753562980839746</v>
      </c>
      <c r="AB58" s="23">
        <f>EXP(-LN(2)/2)*AB57+(1-EXP(-LN(2)/2))/(LN(2)/2)*V58*Y58*VLOOKUP('Données projet'!$B$9,Paramètres!$A$1:$I$88,3,0)*0.475*44/12</f>
        <v>3.9289387511186074</v>
      </c>
      <c r="AC58" s="24">
        <f t="shared" si="3"/>
        <v>69.58346442535877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12.7</v>
      </c>
      <c r="AI58" s="14">
        <f>IF('Données projet'!$A$62&gt;35,AI57+AH58-AQ57,IF(A58&lt;'Données projet'!$A$62,$AF$205^A58,IF(A58='Données projet'!$A$62,'Données projet'!$B$62,AI57+AH58-AQ57)))</f>
        <v>336.49999999999977</v>
      </c>
      <c r="AJ58" s="14">
        <f>AI58*VLOOKUP('Données projet'!$B$10,Paramètres!$A$1:$I$88,3,0)*VLOOKUP('Données projet'!$B$10,Paramètres!$A$1:$I$88,5,0)</f>
        <v>157.48199999999989</v>
      </c>
      <c r="AK58" s="14">
        <f t="shared" si="35"/>
        <v>40.274050215237921</v>
      </c>
      <c r="AL58" s="22">
        <f t="shared" si="4"/>
        <v>344.42512079153909</v>
      </c>
      <c r="AM58" s="61">
        <f t="shared" si="5"/>
        <v>602.74757627201052</v>
      </c>
      <c r="AN58" s="61">
        <f ca="1">AVERAGE(OFFSET($AM$3,0,0,'Données projet'!$E$10+1,1))-AVERAGE(OFFSET($H$3,0,0,'Données projet'!$E$10+1,1))</f>
        <v>375.77859820466693</v>
      </c>
      <c r="AO58" s="61">
        <f t="shared" si="36"/>
        <v>242.84781402593856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17.128629795762997</v>
      </c>
      <c r="AW58" s="23">
        <f>EXP(-LN(2)/2)*AW57+(1-EXP(-LN(2)/2))/(LN(2)/2)*AQ58*AT58*VLOOKUP('Données projet'!$B$9,Paramètres!$A$1:$I$88,3,0)*0.475*44/12</f>
        <v>0</v>
      </c>
      <c r="AX58" s="23">
        <f t="shared" si="6"/>
        <v>17.128629795762997</v>
      </c>
      <c r="AY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1.8571428571428572</v>
      </c>
      <c r="BD58" s="13">
        <f>IF('Données projet'!$A$88&gt;35,BD57+BC58-BL57,IF(A58&lt;'Données projet'!$A$88,$BA$205^A58,IF(A58='Données projet'!$A$88,'Données projet'!$B$88,BD57+BC58-BL57)))</f>
        <v>102.14285714285718</v>
      </c>
      <c r="BE58" s="14">
        <f>BD58*VLOOKUP('Données projet'!$B$11,Paramètres!$A$1:$I$88,3,0)*VLOOKUP('Données projet'!$B$11,Paramètres!$A$1:$I$88,5,0)</f>
        <v>103.57285714285719</v>
      </c>
      <c r="BF58" s="14">
        <f t="shared" si="37"/>
        <v>27.811434637561561</v>
      </c>
      <c r="BG58" s="22">
        <f t="shared" si="7"/>
        <v>228.82764151756263</v>
      </c>
      <c r="BH58" s="61">
        <f t="shared" si="8"/>
        <v>487.15009699803397</v>
      </c>
      <c r="BI58" s="61">
        <f ca="1">AVERAGE(OFFSET($BH$3,0,0,'Données projet'!$E$11+1,1))-AVERAGE(OFFSET($H$3,0,0,'Données projet'!$E$11+1,1))</f>
        <v>433.57989081194</v>
      </c>
      <c r="BJ58" s="61">
        <f t="shared" si="38"/>
        <v>182.52060621271355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9"/>
        <v>0</v>
      </c>
      <c r="BT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1" t="e">
        <f t="shared" si="11"/>
        <v>#N/A</v>
      </c>
      <c r="CD58" s="61" t="e">
        <f ca="1">AVERAGE(OFFSET($CC$3,0,0,'Données projet'!$E$12+1,1))-AVERAGE(OFFSET($H$3,0,0,'Données projet'!$E$12+1,1))</f>
        <v>#N/A</v>
      </c>
      <c r="CE58" s="61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2"/>
        <v>0</v>
      </c>
      <c r="CO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1" t="e">
        <f t="shared" si="14"/>
        <v>#N/A</v>
      </c>
      <c r="CY58" s="61" t="e">
        <f ca="1">AVERAGE(OFFSET($CX$3,0,0,'Données projet'!$E$13+1,1))-AVERAGE(OFFSET($H$3,0,0,'Données projet'!$E$13+1,1))</f>
        <v>#N/A</v>
      </c>
      <c r="CZ58" s="61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15"/>
        <v>0</v>
      </c>
      <c r="DJ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1" t="e">
        <f t="shared" si="17"/>
        <v>#N/A</v>
      </c>
      <c r="DT58" s="61" t="e">
        <f ca="1">AVERAGE(OFFSET($DS$3,0,0,'Données projet'!$E$14+1,1))-AVERAGE(OFFSET($H$3,0,0,'Données projet'!$E$14+1,1))</f>
        <v>#N/A</v>
      </c>
      <c r="DU58" s="61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18"/>
        <v>0</v>
      </c>
      <c r="EE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1" t="e">
        <f t="shared" si="20"/>
        <v>#N/A</v>
      </c>
      <c r="EO58" s="61" t="e">
        <f ca="1">AVERAGE(OFFSET($EN$3,0,0,'Données projet'!$E$15+1,1))-AVERAGE(OFFSET($H$3,0,0,'Données projet'!$E$15+1,1))</f>
        <v>#N/A</v>
      </c>
      <c r="EP58" s="61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1"/>
        <v>0</v>
      </c>
      <c r="EZ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1" t="e">
        <f t="shared" si="23"/>
        <v>#N/A</v>
      </c>
      <c r="FJ58" s="61" t="e">
        <f ca="1">AVERAGE(OFFSET($FI$3,0,0,'Données projet'!$E$16+1,1))-AVERAGE(OFFSET($H$3,0,0,'Données projet'!$E$16+1,1))</f>
        <v>#N/A</v>
      </c>
      <c r="FK58" s="61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24"/>
        <v>0</v>
      </c>
      <c r="FU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1" t="e">
        <f t="shared" si="26"/>
        <v>#N/A</v>
      </c>
      <c r="GE58" s="61" t="e">
        <f ca="1">AVERAGE(OFFSET($GD$3,0,0,'Données projet'!$E$17+1,1))-AVERAGE(OFFSET($H$3,0,0,'Données projet'!$E$17+1,1))</f>
        <v>#N/A</v>
      </c>
      <c r="GF58" s="61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27"/>
        <v>0</v>
      </c>
      <c r="GP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1" t="e">
        <f t="shared" si="29"/>
        <v>#N/A</v>
      </c>
      <c r="GZ58" s="61" t="e">
        <f ca="1">AVERAGE(OFFSET($GY$3,0,0,'Données projet'!$E$18+1,1))-AVERAGE(OFFSET($H$3,0,0,'Données projet'!$E$18+1,1))</f>
        <v>#N/A</v>
      </c>
      <c r="HA58" s="61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30"/>
        <v>0</v>
      </c>
    </row>
    <row r="59" spans="1:218" s="5" customFormat="1" x14ac:dyDescent="0.45">
      <c r="A59" s="11">
        <f t="shared" si="31"/>
        <v>56</v>
      </c>
      <c r="B59" s="76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9">
        <f t="shared" si="1"/>
        <v>183.33333333333334</v>
      </c>
      <c r="I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16</v>
      </c>
      <c r="N59" s="14">
        <f>IF('Données projet'!$A$36&gt;35,N58+M59-V58,IF(A59&lt;'Données projet'!$A$36,$K$205^A59,IF(A59='Données projet'!$A$36,'Données projet'!$B$36,N58+M59-V58)))</f>
        <v>390.99999999999989</v>
      </c>
      <c r="O59" s="14">
        <f>N59*VLOOKUP('Données projet'!$B$9,Paramètres!$A$1:$I$88,3,0)*VLOOKUP('Données projet'!$B$9,Paramètres!$A$1:$I$88,5,0)</f>
        <v>233.81799999999996</v>
      </c>
      <c r="P59" s="14">
        <f t="shared" si="33"/>
        <v>57.107429708554093</v>
      </c>
      <c r="Q59" s="22">
        <f t="shared" si="53"/>
        <v>506.69512340906493</v>
      </c>
      <c r="R59" s="61">
        <f t="shared" si="0"/>
        <v>765.62493934768668</v>
      </c>
      <c r="S59" s="61">
        <f ca="1">AVERAGE(OFFSET($R$3,0,0,'Données projet'!$E$9+1,1))-AVERAGE(OFFSET($H$3,0,0,'Données projet'!$E$9+1,1))</f>
        <v>445.53168057836308</v>
      </c>
      <c r="T59" s="61">
        <f t="shared" si="34"/>
        <v>326.78684646135241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22.451888783190828</v>
      </c>
      <c r="AA59" s="23">
        <f>EXP(-LN(2)/25)*AA58+(1-EXP(-LN(2)/25))/(LN(2)/25)*Calculateur!V59*Calculateur!X59*VLOOKUP('Données projet'!$B$9,Paramètres!$A$1:$I$88,3,0)*0.475*44/12</f>
        <v>41.58446455281652</v>
      </c>
      <c r="AB59" s="23">
        <f>EXP(-LN(2)/2)*AB58+(1-EXP(-LN(2)/2))/(LN(2)/2)*V59*Y59*VLOOKUP('Données projet'!$B$9,Paramètres!$A$1:$I$88,3,0)*0.475*44/12</f>
        <v>2.7781792337825726</v>
      </c>
      <c r="AC59" s="24">
        <f t="shared" si="3"/>
        <v>66.814532569789918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12.7</v>
      </c>
      <c r="AI59" s="14">
        <f>IF('Données projet'!$A$62&gt;35,AI58+AH59-AQ58,IF(A59&lt;'Données projet'!$A$62,$AF$205^A59,IF(A59='Données projet'!$A$62,'Données projet'!$B$62,AI58+AH59-AQ58)))</f>
        <v>349.19999999999976</v>
      </c>
      <c r="AJ59" s="14">
        <f>AI59*VLOOKUP('Données projet'!$B$10,Paramètres!$A$1:$I$88,3,0)*VLOOKUP('Données projet'!$B$10,Paramètres!$A$1:$I$88,5,0)</f>
        <v>163.42559999999989</v>
      </c>
      <c r="AK59" s="14">
        <f t="shared" si="35"/>
        <v>41.614213859377138</v>
      </c>
      <c r="AL59" s="22">
        <f t="shared" si="4"/>
        <v>357.111009138415</v>
      </c>
      <c r="AM59" s="61">
        <f t="shared" si="5"/>
        <v>616.04082507703674</v>
      </c>
      <c r="AN59" s="61">
        <f ca="1">AVERAGE(OFFSET($AM$3,0,0,'Données projet'!$E$10+1,1))-AVERAGE(OFFSET($H$3,0,0,'Données projet'!$E$10+1,1))</f>
        <v>375.77859820466693</v>
      </c>
      <c r="AO59" s="61">
        <f t="shared" si="36"/>
        <v>242.84781402593856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16.660246513242363</v>
      </c>
      <c r="AW59" s="23">
        <f>EXP(-LN(2)/2)*AW58+(1-EXP(-LN(2)/2))/(LN(2)/2)*AQ59*AT59*VLOOKUP('Données projet'!$B$9,Paramètres!$A$1:$I$88,3,0)*0.475*44/12</f>
        <v>0</v>
      </c>
      <c r="AX59" s="23">
        <f t="shared" si="6"/>
        <v>16.660246513242363</v>
      </c>
      <c r="AY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1.8571428571428572</v>
      </c>
      <c r="BD59" s="13">
        <f>IF('Données projet'!$A$88&gt;35,BD58+BC59-BL58,IF(A59&lt;'Données projet'!$A$88,$BA$205^A59,IF(A59='Données projet'!$A$88,'Données projet'!$B$88,BD58+BC59-BL58)))</f>
        <v>104.00000000000004</v>
      </c>
      <c r="BE59" s="14">
        <f>BD59*VLOOKUP('Données projet'!$B$11,Paramètres!$A$1:$I$88,3,0)*VLOOKUP('Données projet'!$B$11,Paramètres!$A$1:$I$88,5,0)</f>
        <v>105.45600000000006</v>
      </c>
      <c r="BF59" s="14">
        <f t="shared" si="37"/>
        <v>28.257768345963573</v>
      </c>
      <c r="BG59" s="22">
        <f t="shared" si="7"/>
        <v>232.88481320255332</v>
      </c>
      <c r="BH59" s="61">
        <f t="shared" si="8"/>
        <v>491.81462914117503</v>
      </c>
      <c r="BI59" s="61">
        <f ca="1">AVERAGE(OFFSET($BH$3,0,0,'Données projet'!$E$11+1,1))-AVERAGE(OFFSET($H$3,0,0,'Données projet'!$E$11+1,1))</f>
        <v>433.57989081194</v>
      </c>
      <c r="BJ59" s="61">
        <f t="shared" si="38"/>
        <v>182.52060621271355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9"/>
        <v>0</v>
      </c>
      <c r="BT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1" t="e">
        <f t="shared" si="11"/>
        <v>#N/A</v>
      </c>
      <c r="CD59" s="61" t="e">
        <f ca="1">AVERAGE(OFFSET($CC$3,0,0,'Données projet'!$E$12+1,1))-AVERAGE(OFFSET($H$3,0,0,'Données projet'!$E$12+1,1))</f>
        <v>#N/A</v>
      </c>
      <c r="CE59" s="61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2"/>
        <v>0</v>
      </c>
      <c r="CO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1" t="e">
        <f t="shared" si="14"/>
        <v>#N/A</v>
      </c>
      <c r="CY59" s="61" t="e">
        <f ca="1">AVERAGE(OFFSET($CX$3,0,0,'Données projet'!$E$13+1,1))-AVERAGE(OFFSET($H$3,0,0,'Données projet'!$E$13+1,1))</f>
        <v>#N/A</v>
      </c>
      <c r="CZ59" s="61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15"/>
        <v>0</v>
      </c>
      <c r="DJ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1" t="e">
        <f t="shared" si="17"/>
        <v>#N/A</v>
      </c>
      <c r="DT59" s="61" t="e">
        <f ca="1">AVERAGE(OFFSET($DS$3,0,0,'Données projet'!$E$14+1,1))-AVERAGE(OFFSET($H$3,0,0,'Données projet'!$E$14+1,1))</f>
        <v>#N/A</v>
      </c>
      <c r="DU59" s="61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18"/>
        <v>0</v>
      </c>
      <c r="EE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1" t="e">
        <f t="shared" si="20"/>
        <v>#N/A</v>
      </c>
      <c r="EO59" s="61" t="e">
        <f ca="1">AVERAGE(OFFSET($EN$3,0,0,'Données projet'!$E$15+1,1))-AVERAGE(OFFSET($H$3,0,0,'Données projet'!$E$15+1,1))</f>
        <v>#N/A</v>
      </c>
      <c r="EP59" s="61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1"/>
        <v>0</v>
      </c>
      <c r="EZ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1" t="e">
        <f t="shared" si="23"/>
        <v>#N/A</v>
      </c>
      <c r="FJ59" s="61" t="e">
        <f ca="1">AVERAGE(OFFSET($FI$3,0,0,'Données projet'!$E$16+1,1))-AVERAGE(OFFSET($H$3,0,0,'Données projet'!$E$16+1,1))</f>
        <v>#N/A</v>
      </c>
      <c r="FK59" s="61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24"/>
        <v>0</v>
      </c>
      <c r="FU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1" t="e">
        <f t="shared" si="26"/>
        <v>#N/A</v>
      </c>
      <c r="GE59" s="61" t="e">
        <f ca="1">AVERAGE(OFFSET($GD$3,0,0,'Données projet'!$E$17+1,1))-AVERAGE(OFFSET($H$3,0,0,'Données projet'!$E$17+1,1))</f>
        <v>#N/A</v>
      </c>
      <c r="GF59" s="61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27"/>
        <v>0</v>
      </c>
      <c r="GP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1" t="e">
        <f t="shared" si="29"/>
        <v>#N/A</v>
      </c>
      <c r="GZ59" s="61" t="e">
        <f ca="1">AVERAGE(OFFSET($GY$3,0,0,'Données projet'!$E$18+1,1))-AVERAGE(OFFSET($H$3,0,0,'Données projet'!$E$18+1,1))</f>
        <v>#N/A</v>
      </c>
      <c r="HA59" s="61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30"/>
        <v>0</v>
      </c>
    </row>
    <row r="60" spans="1:218" s="5" customFormat="1" x14ac:dyDescent="0.45">
      <c r="A60" s="11">
        <f t="shared" si="31"/>
        <v>57</v>
      </c>
      <c r="B60" s="76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9">
        <f t="shared" si="1"/>
        <v>183.33333333333334</v>
      </c>
      <c r="I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16</v>
      </c>
      <c r="N60" s="14">
        <f>IF('Données projet'!$A$36&gt;35,N59+M60-V59,IF(A60&lt;'Données projet'!$A$36,$K$205^A60,IF(A60='Données projet'!$A$36,'Données projet'!$B$36,N59+M60-V59)))</f>
        <v>406.99999999999989</v>
      </c>
      <c r="O60" s="14">
        <f>N60*VLOOKUP('Données projet'!$B$9,Paramètres!$A$1:$I$88,3,0)*VLOOKUP('Données projet'!$B$9,Paramètres!$A$1:$I$88,5,0)</f>
        <v>243.38599999999994</v>
      </c>
      <c r="P60" s="14">
        <f t="shared" si="33"/>
        <v>59.167449807285593</v>
      </c>
      <c r="Q60" s="22">
        <f t="shared" si="53"/>
        <v>526.94725841435559</v>
      </c>
      <c r="R60" s="61">
        <f t="shared" si="0"/>
        <v>786.47389846503324</v>
      </c>
      <c r="S60" s="61">
        <f ca="1">AVERAGE(OFFSET($R$3,0,0,'Données projet'!$E$9+1,1))-AVERAGE(OFFSET($H$3,0,0,'Données projet'!$E$9+1,1))</f>
        <v>445.53168057836308</v>
      </c>
      <c r="T60" s="61">
        <f t="shared" si="34"/>
        <v>326.78684646135241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22.011620938452413</v>
      </c>
      <c r="AA60" s="23">
        <f>EXP(-LN(2)/25)*AA59+(1-EXP(-LN(2)/25))/(LN(2)/25)*Calculateur!V60*Calculateur!X60*VLOOKUP('Données projet'!$B$9,Paramètres!$A$1:$I$88,3,0)*0.475*44/12</f>
        <v>40.447335182787803</v>
      </c>
      <c r="AB60" s="23">
        <f>EXP(-LN(2)/2)*AB59+(1-EXP(-LN(2)/2))/(LN(2)/2)*V60*Y60*VLOOKUP('Données projet'!$B$9,Paramètres!$A$1:$I$88,3,0)*0.475*44/12</f>
        <v>1.9644693755593039</v>
      </c>
      <c r="AC60" s="24">
        <f t="shared" si="3"/>
        <v>64.423425496799524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12.7</v>
      </c>
      <c r="AI60" s="14">
        <f>IF('Données projet'!$A$62&gt;35,AI59+AH60-AQ59,IF(A60&lt;'Données projet'!$A$62,$AF$205^A60,IF(A60='Données projet'!$A$62,'Données projet'!$B$62,AI59+AH60-AQ59)))</f>
        <v>361.89999999999975</v>
      </c>
      <c r="AJ60" s="14">
        <f>AI60*VLOOKUP('Données projet'!$B$10,Paramètres!$A$1:$I$88,3,0)*VLOOKUP('Données projet'!$B$10,Paramètres!$A$1:$I$88,5,0)</f>
        <v>169.36919999999989</v>
      </c>
      <c r="AK60" s="14">
        <f t="shared" si="35"/>
        <v>42.948714817158674</v>
      </c>
      <c r="AL60" s="22">
        <f t="shared" si="4"/>
        <v>369.78703497321777</v>
      </c>
      <c r="AM60" s="61">
        <f t="shared" si="5"/>
        <v>629.31367502389548</v>
      </c>
      <c r="AN60" s="61">
        <f ca="1">AVERAGE(OFFSET($AM$3,0,0,'Données projet'!$E$10+1,1))-AVERAGE(OFFSET($H$3,0,0,'Données projet'!$E$10+1,1))</f>
        <v>375.77859820466693</v>
      </c>
      <c r="AO60" s="61">
        <f t="shared" si="36"/>
        <v>242.84781402593856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16.204671196213464</v>
      </c>
      <c r="AW60" s="23">
        <f>EXP(-LN(2)/2)*AW59+(1-EXP(-LN(2)/2))/(LN(2)/2)*AQ60*AT60*VLOOKUP('Données projet'!$B$9,Paramètres!$A$1:$I$88,3,0)*0.475*44/12</f>
        <v>0</v>
      </c>
      <c r="AX60" s="23">
        <f t="shared" si="6"/>
        <v>16.204671196213464</v>
      </c>
      <c r="AY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1.8571428571428572</v>
      </c>
      <c r="BD60" s="13">
        <f>IF('Données projet'!$A$88&gt;35,BD59+BC60-BL59,IF(A60&lt;'Données projet'!$A$88,$BA$205^A60,IF(A60='Données projet'!$A$88,'Données projet'!$B$88,BD59+BC60-BL59)))</f>
        <v>105.8571428571429</v>
      </c>
      <c r="BE60" s="14">
        <f>BD60*VLOOKUP('Données projet'!$B$11,Paramètres!$A$1:$I$88,3,0)*VLOOKUP('Données projet'!$B$11,Paramètres!$A$1:$I$88,5,0)</f>
        <v>107.33914285714292</v>
      </c>
      <c r="BF60" s="14">
        <f t="shared" si="37"/>
        <v>28.703175229313331</v>
      </c>
      <c r="BG60" s="22">
        <f t="shared" si="7"/>
        <v>236.94037066724459</v>
      </c>
      <c r="BH60" s="61">
        <f t="shared" si="8"/>
        <v>496.46701071792234</v>
      </c>
      <c r="BI60" s="61">
        <f ca="1">AVERAGE(OFFSET($BH$3,0,0,'Données projet'!$E$11+1,1))-AVERAGE(OFFSET($H$3,0,0,'Données projet'!$E$11+1,1))</f>
        <v>433.57989081194</v>
      </c>
      <c r="BJ60" s="61">
        <f t="shared" si="38"/>
        <v>182.52060621271355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9"/>
        <v>0</v>
      </c>
      <c r="BT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1" t="e">
        <f t="shared" si="11"/>
        <v>#N/A</v>
      </c>
      <c r="CD60" s="61" t="e">
        <f ca="1">AVERAGE(OFFSET($CC$3,0,0,'Données projet'!$E$12+1,1))-AVERAGE(OFFSET($H$3,0,0,'Données projet'!$E$12+1,1))</f>
        <v>#N/A</v>
      </c>
      <c r="CE60" s="61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2"/>
        <v>0</v>
      </c>
      <c r="CO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1" t="e">
        <f t="shared" si="14"/>
        <v>#N/A</v>
      </c>
      <c r="CY60" s="61" t="e">
        <f ca="1">AVERAGE(OFFSET($CX$3,0,0,'Données projet'!$E$13+1,1))-AVERAGE(OFFSET($H$3,0,0,'Données projet'!$E$13+1,1))</f>
        <v>#N/A</v>
      </c>
      <c r="CZ60" s="61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15"/>
        <v>0</v>
      </c>
      <c r="DJ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1" t="e">
        <f t="shared" si="17"/>
        <v>#N/A</v>
      </c>
      <c r="DT60" s="61" t="e">
        <f ca="1">AVERAGE(OFFSET($DS$3,0,0,'Données projet'!$E$14+1,1))-AVERAGE(OFFSET($H$3,0,0,'Données projet'!$E$14+1,1))</f>
        <v>#N/A</v>
      </c>
      <c r="DU60" s="61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18"/>
        <v>0</v>
      </c>
      <c r="EE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1" t="e">
        <f t="shared" si="20"/>
        <v>#N/A</v>
      </c>
      <c r="EO60" s="61" t="e">
        <f ca="1">AVERAGE(OFFSET($EN$3,0,0,'Données projet'!$E$15+1,1))-AVERAGE(OFFSET($H$3,0,0,'Données projet'!$E$15+1,1))</f>
        <v>#N/A</v>
      </c>
      <c r="EP60" s="61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1"/>
        <v>0</v>
      </c>
      <c r="EZ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1" t="e">
        <f t="shared" si="23"/>
        <v>#N/A</v>
      </c>
      <c r="FJ60" s="61" t="e">
        <f ca="1">AVERAGE(OFFSET($FI$3,0,0,'Données projet'!$E$16+1,1))-AVERAGE(OFFSET($H$3,0,0,'Données projet'!$E$16+1,1))</f>
        <v>#N/A</v>
      </c>
      <c r="FK60" s="61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24"/>
        <v>0</v>
      </c>
      <c r="FU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1" t="e">
        <f t="shared" si="26"/>
        <v>#N/A</v>
      </c>
      <c r="GE60" s="61" t="e">
        <f ca="1">AVERAGE(OFFSET($GD$3,0,0,'Données projet'!$E$17+1,1))-AVERAGE(OFFSET($H$3,0,0,'Données projet'!$E$17+1,1))</f>
        <v>#N/A</v>
      </c>
      <c r="GF60" s="61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27"/>
        <v>0</v>
      </c>
      <c r="GP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1" t="e">
        <f t="shared" si="29"/>
        <v>#N/A</v>
      </c>
      <c r="GZ60" s="61" t="e">
        <f ca="1">AVERAGE(OFFSET($GY$3,0,0,'Données projet'!$E$18+1,1))-AVERAGE(OFFSET($H$3,0,0,'Données projet'!$E$18+1,1))</f>
        <v>#N/A</v>
      </c>
      <c r="HA60" s="61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30"/>
        <v>0</v>
      </c>
    </row>
    <row r="61" spans="1:218" s="5" customFormat="1" x14ac:dyDescent="0.45">
      <c r="A61" s="11">
        <f t="shared" si="31"/>
        <v>58</v>
      </c>
      <c r="B61" s="76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9">
        <f t="shared" si="1"/>
        <v>183.33333333333334</v>
      </c>
      <c r="I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16</v>
      </c>
      <c r="N61" s="14">
        <f>IF('Données projet'!$A$36&gt;35,N60+M61-V60,IF(A61&lt;'Données projet'!$A$36,$K$205^A61,IF(A61='Données projet'!$A$36,'Données projet'!$B$36,N60+M61-V60)))</f>
        <v>422.99999999999989</v>
      </c>
      <c r="O61" s="14">
        <f>N61*VLOOKUP('Données projet'!$B$9,Paramètres!$A$1:$I$88,3,0)*VLOOKUP('Données projet'!$B$9,Paramètres!$A$1:$I$88,5,0)</f>
        <v>252.95399999999995</v>
      </c>
      <c r="P61" s="14">
        <f t="shared" si="33"/>
        <v>61.218062391350024</v>
      </c>
      <c r="Q61" s="22">
        <f t="shared" si="53"/>
        <v>547.18300866493462</v>
      </c>
      <c r="R61" s="61">
        <f t="shared" si="0"/>
        <v>807.29611926362304</v>
      </c>
      <c r="S61" s="61">
        <f ca="1">AVERAGE(OFFSET($R$3,0,0,'Données projet'!$E$9+1,1))-AVERAGE(OFFSET($H$3,0,0,'Données projet'!$E$9+1,1))</f>
        <v>445.53168057836308</v>
      </c>
      <c r="T61" s="61">
        <f t="shared" si="34"/>
        <v>326.78684646135241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21.579986477612451</v>
      </c>
      <c r="AA61" s="23">
        <f>EXP(-LN(2)/25)*AA60+(1-EXP(-LN(2)/25))/(LN(2)/25)*Calculateur!V61*Calculateur!X61*VLOOKUP('Données projet'!$B$9,Paramètres!$A$1:$I$88,3,0)*0.475*44/12</f>
        <v>39.341300675181557</v>
      </c>
      <c r="AB61" s="23">
        <f>EXP(-LN(2)/2)*AB60+(1-EXP(-LN(2)/2))/(LN(2)/2)*V61*Y61*VLOOKUP('Données projet'!$B$9,Paramètres!$A$1:$I$88,3,0)*0.475*44/12</f>
        <v>1.3890896168912865</v>
      </c>
      <c r="AC61" s="24">
        <f t="shared" si="3"/>
        <v>62.310376769685291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12.7</v>
      </c>
      <c r="AI61" s="14">
        <f>IF('Données projet'!$A$62&gt;35,AI60+AH61-AQ60,IF(A61&lt;'Données projet'!$A$62,$AF$205^A61,IF(A61='Données projet'!$A$62,'Données projet'!$B$62,AI60+AH61-AQ60)))</f>
        <v>374.59999999999974</v>
      </c>
      <c r="AJ61" s="14">
        <f>AI61*VLOOKUP('Données projet'!$B$10,Paramètres!$A$1:$I$88,3,0)*VLOOKUP('Données projet'!$B$10,Paramètres!$A$1:$I$88,5,0)</f>
        <v>175.3127999999999</v>
      </c>
      <c r="AK61" s="14">
        <f t="shared" si="35"/>
        <v>44.277774577512552</v>
      </c>
      <c r="AL61" s="22">
        <f t="shared" si="4"/>
        <v>382.4535840558342</v>
      </c>
      <c r="AM61" s="61">
        <f t="shared" si="5"/>
        <v>642.56669465452262</v>
      </c>
      <c r="AN61" s="61">
        <f ca="1">AVERAGE(OFFSET($AM$3,0,0,'Données projet'!$E$10+1,1))-AVERAGE(OFFSET($H$3,0,0,'Données projet'!$E$10+1,1))</f>
        <v>375.77859820466693</v>
      </c>
      <c r="AO61" s="61">
        <f t="shared" si="36"/>
        <v>242.84781402593856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15.761553610186386</v>
      </c>
      <c r="AW61" s="23">
        <f>EXP(-LN(2)/2)*AW60+(1-EXP(-LN(2)/2))/(LN(2)/2)*AQ61*AT61*VLOOKUP('Données projet'!$B$9,Paramètres!$A$1:$I$88,3,0)*0.475*44/12</f>
        <v>0</v>
      </c>
      <c r="AX61" s="23">
        <f t="shared" si="6"/>
        <v>15.761553610186386</v>
      </c>
      <c r="AY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1.8571428571428572</v>
      </c>
      <c r="BD61" s="13">
        <f>IF('Données projet'!$A$88&gt;35,BD60+BC61-BL60,IF(A61&lt;'Données projet'!$A$88,$BA$205^A61,IF(A61='Données projet'!$A$88,'Données projet'!$B$88,BD60+BC61-BL60)))</f>
        <v>107.71428571428577</v>
      </c>
      <c r="BE61" s="14">
        <f>BD61*VLOOKUP('Données projet'!$B$11,Paramètres!$A$1:$I$88,3,0)*VLOOKUP('Données projet'!$B$11,Paramètres!$A$1:$I$88,5,0)</f>
        <v>109.22228571428577</v>
      </c>
      <c r="BF61" s="14">
        <f t="shared" si="37"/>
        <v>29.147673423727039</v>
      </c>
      <c r="BG61" s="22">
        <f t="shared" si="7"/>
        <v>240.99434549870566</v>
      </c>
      <c r="BH61" s="61">
        <f t="shared" si="8"/>
        <v>501.10745609739411</v>
      </c>
      <c r="BI61" s="61">
        <f ca="1">AVERAGE(OFFSET($BH$3,0,0,'Données projet'!$E$11+1,1))-AVERAGE(OFFSET($H$3,0,0,'Données projet'!$E$11+1,1))</f>
        <v>433.57989081194</v>
      </c>
      <c r="BJ61" s="61">
        <f t="shared" si="38"/>
        <v>182.52060621271355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9"/>
        <v>0</v>
      </c>
      <c r="BT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1" t="e">
        <f t="shared" si="11"/>
        <v>#N/A</v>
      </c>
      <c r="CD61" s="61" t="e">
        <f ca="1">AVERAGE(OFFSET($CC$3,0,0,'Données projet'!$E$12+1,1))-AVERAGE(OFFSET($H$3,0,0,'Données projet'!$E$12+1,1))</f>
        <v>#N/A</v>
      </c>
      <c r="CE61" s="61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2"/>
        <v>0</v>
      </c>
      <c r="CO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1" t="e">
        <f t="shared" si="14"/>
        <v>#N/A</v>
      </c>
      <c r="CY61" s="61" t="e">
        <f ca="1">AVERAGE(OFFSET($CX$3,0,0,'Données projet'!$E$13+1,1))-AVERAGE(OFFSET($H$3,0,0,'Données projet'!$E$13+1,1))</f>
        <v>#N/A</v>
      </c>
      <c r="CZ61" s="61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15"/>
        <v>0</v>
      </c>
      <c r="DJ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1" t="e">
        <f t="shared" si="17"/>
        <v>#N/A</v>
      </c>
      <c r="DT61" s="61" t="e">
        <f ca="1">AVERAGE(OFFSET($DS$3,0,0,'Données projet'!$E$14+1,1))-AVERAGE(OFFSET($H$3,0,0,'Données projet'!$E$14+1,1))</f>
        <v>#N/A</v>
      </c>
      <c r="DU61" s="61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18"/>
        <v>0</v>
      </c>
      <c r="EE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1" t="e">
        <f t="shared" si="20"/>
        <v>#N/A</v>
      </c>
      <c r="EO61" s="61" t="e">
        <f ca="1">AVERAGE(OFFSET($EN$3,0,0,'Données projet'!$E$15+1,1))-AVERAGE(OFFSET($H$3,0,0,'Données projet'!$E$15+1,1))</f>
        <v>#N/A</v>
      </c>
      <c r="EP61" s="61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1"/>
        <v>0</v>
      </c>
      <c r="EZ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1" t="e">
        <f t="shared" si="23"/>
        <v>#N/A</v>
      </c>
      <c r="FJ61" s="61" t="e">
        <f ca="1">AVERAGE(OFFSET($FI$3,0,0,'Données projet'!$E$16+1,1))-AVERAGE(OFFSET($H$3,0,0,'Données projet'!$E$16+1,1))</f>
        <v>#N/A</v>
      </c>
      <c r="FK61" s="61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24"/>
        <v>0</v>
      </c>
      <c r="FU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1" t="e">
        <f t="shared" si="26"/>
        <v>#N/A</v>
      </c>
      <c r="GE61" s="61" t="e">
        <f ca="1">AVERAGE(OFFSET($GD$3,0,0,'Données projet'!$E$17+1,1))-AVERAGE(OFFSET($H$3,0,0,'Données projet'!$E$17+1,1))</f>
        <v>#N/A</v>
      </c>
      <c r="GF61" s="61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27"/>
        <v>0</v>
      </c>
      <c r="GP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1" t="e">
        <f t="shared" si="29"/>
        <v>#N/A</v>
      </c>
      <c r="GZ61" s="61" t="e">
        <f ca="1">AVERAGE(OFFSET($GY$3,0,0,'Données projet'!$E$18+1,1))-AVERAGE(OFFSET($H$3,0,0,'Données projet'!$E$18+1,1))</f>
        <v>#N/A</v>
      </c>
      <c r="HA61" s="61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30"/>
        <v>0</v>
      </c>
    </row>
    <row r="62" spans="1:218" s="5" customFormat="1" x14ac:dyDescent="0.45">
      <c r="A62" s="11">
        <f t="shared" si="31"/>
        <v>59</v>
      </c>
      <c r="B62" s="76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9">
        <f t="shared" si="1"/>
        <v>183.33333333333334</v>
      </c>
      <c r="I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</v>
      </c>
      <c r="N62" s="14">
        <f>IF('Données projet'!$A$36&gt;35,N61+M62-V61,IF(A62&lt;'Données projet'!$A$36,$K$205^A62,IF(A62='Données projet'!$A$36,'Données projet'!$B$36,N61+M62-V61)))</f>
        <v>438.99999999999989</v>
      </c>
      <c r="O62" s="14">
        <f>N62*VLOOKUP('Données projet'!$B$9,Paramètres!$A$1:$I$88,3,0)*VLOOKUP('Données projet'!$B$9,Paramètres!$A$1:$I$88,5,0)</f>
        <v>262.52199999999999</v>
      </c>
      <c r="P62" s="14">
        <f t="shared" si="33"/>
        <v>63.259664039550067</v>
      </c>
      <c r="Q62" s="22">
        <f t="shared" si="53"/>
        <v>567.40306486888301</v>
      </c>
      <c r="R62" s="61">
        <f t="shared" si="0"/>
        <v>828.09247206272585</v>
      </c>
      <c r="S62" s="61">
        <f ca="1">AVERAGE(OFFSET($R$3,0,0,'Données projet'!$E$9+1,1))-AVERAGE(OFFSET($H$3,0,0,'Données projet'!$E$9+1,1))</f>
        <v>445.53168057836308</v>
      </c>
      <c r="T62" s="61">
        <f t="shared" si="34"/>
        <v>326.78684646135241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21.156816105278534</v>
      </c>
      <c r="AA62" s="23">
        <f>EXP(-LN(2)/25)*AA61+(1-EXP(-LN(2)/25))/(LN(2)/25)*Calculateur!V62*Calculateur!X62*VLOOKUP('Données projet'!$B$9,Paramètres!$A$1:$I$88,3,0)*0.475*44/12</f>
        <v>38.265510739349629</v>
      </c>
      <c r="AB62" s="23">
        <f>EXP(-LN(2)/2)*AB61+(1-EXP(-LN(2)/2))/(LN(2)/2)*V62*Y62*VLOOKUP('Données projet'!$B$9,Paramètres!$A$1:$I$88,3,0)*0.475*44/12</f>
        <v>0.98223468777965217</v>
      </c>
      <c r="AC62" s="24">
        <f t="shared" si="3"/>
        <v>60.404561532407811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12.7</v>
      </c>
      <c r="AI62" s="14">
        <f>IF('Données projet'!$A$62&gt;35,AI61+AH62-AQ61,IF(A62&lt;'Données projet'!$A$62,$AF$205^A62,IF(A62='Données projet'!$A$62,'Données projet'!$B$62,AI61+AH62-AQ61)))</f>
        <v>387.29999999999973</v>
      </c>
      <c r="AJ62" s="14">
        <f>AI62*VLOOKUP('Données projet'!$B$10,Paramètres!$A$1:$I$88,3,0)*VLOOKUP('Données projet'!$B$10,Paramètres!$A$1:$I$88,5,0)</f>
        <v>181.25639999999984</v>
      </c>
      <c r="AK62" s="14">
        <f t="shared" si="35"/>
        <v>45.601598759172866</v>
      </c>
      <c r="AL62" s="22">
        <f t="shared" si="4"/>
        <v>395.11101450555913</v>
      </c>
      <c r="AM62" s="61">
        <f t="shared" si="5"/>
        <v>655.80042169940191</v>
      </c>
      <c r="AN62" s="61">
        <f ca="1">AVERAGE(OFFSET($AM$3,0,0,'Données projet'!$E$10+1,1))-AVERAGE(OFFSET($H$3,0,0,'Données projet'!$E$10+1,1))</f>
        <v>375.77859820466693</v>
      </c>
      <c r="AO62" s="61">
        <f t="shared" si="36"/>
        <v>242.84781402593856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15.330553097851759</v>
      </c>
      <c r="AW62" s="23">
        <f>EXP(-LN(2)/2)*AW61+(1-EXP(-LN(2)/2))/(LN(2)/2)*AQ62*AT62*VLOOKUP('Données projet'!$B$9,Paramètres!$A$1:$I$88,3,0)*0.475*44/12</f>
        <v>0</v>
      </c>
      <c r="AX62" s="23">
        <f t="shared" si="6"/>
        <v>15.330553097851759</v>
      </c>
      <c r="AY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1.8571428571428572</v>
      </c>
      <c r="BD62" s="13">
        <f>IF('Données projet'!$A$88&gt;35,BD61+BC62-BL61,IF(A62&lt;'Données projet'!$A$88,$BA$205^A62,IF(A62='Données projet'!$A$88,'Données projet'!$B$88,BD61+BC62-BL61)))</f>
        <v>109.57142857142863</v>
      </c>
      <c r="BE62" s="14">
        <f>BD62*VLOOKUP('Données projet'!$B$11,Paramètres!$A$1:$I$88,3,0)*VLOOKUP('Données projet'!$B$11,Paramètres!$A$1:$I$88,5,0)</f>
        <v>111.10542857142863</v>
      </c>
      <c r="BF62" s="14">
        <f t="shared" si="37"/>
        <v>29.591280404105795</v>
      </c>
      <c r="BG62" s="22">
        <f t="shared" si="7"/>
        <v>245.04676813238908</v>
      </c>
      <c r="BH62" s="61">
        <f t="shared" si="8"/>
        <v>505.73617532623189</v>
      </c>
      <c r="BI62" s="61">
        <f ca="1">AVERAGE(OFFSET($BH$3,0,0,'Données projet'!$E$11+1,1))-AVERAGE(OFFSET($H$3,0,0,'Données projet'!$E$11+1,1))</f>
        <v>433.57989081194</v>
      </c>
      <c r="BJ62" s="61">
        <f t="shared" si="38"/>
        <v>182.52060621271355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9"/>
        <v>0</v>
      </c>
      <c r="BT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1" t="e">
        <f t="shared" si="11"/>
        <v>#N/A</v>
      </c>
      <c r="CD62" s="61" t="e">
        <f ca="1">AVERAGE(OFFSET($CC$3,0,0,'Données projet'!$E$12+1,1))-AVERAGE(OFFSET($H$3,0,0,'Données projet'!$E$12+1,1))</f>
        <v>#N/A</v>
      </c>
      <c r="CE62" s="61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2"/>
        <v>0</v>
      </c>
      <c r="CO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1" t="e">
        <f t="shared" si="14"/>
        <v>#N/A</v>
      </c>
      <c r="CY62" s="61" t="e">
        <f ca="1">AVERAGE(OFFSET($CX$3,0,0,'Données projet'!$E$13+1,1))-AVERAGE(OFFSET($H$3,0,0,'Données projet'!$E$13+1,1))</f>
        <v>#N/A</v>
      </c>
      <c r="CZ62" s="61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15"/>
        <v>0</v>
      </c>
      <c r="DJ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1" t="e">
        <f t="shared" si="17"/>
        <v>#N/A</v>
      </c>
      <c r="DT62" s="61" t="e">
        <f ca="1">AVERAGE(OFFSET($DS$3,0,0,'Données projet'!$E$14+1,1))-AVERAGE(OFFSET($H$3,0,0,'Données projet'!$E$14+1,1))</f>
        <v>#N/A</v>
      </c>
      <c r="DU62" s="61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18"/>
        <v>0</v>
      </c>
      <c r="EE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1" t="e">
        <f t="shared" si="20"/>
        <v>#N/A</v>
      </c>
      <c r="EO62" s="61" t="e">
        <f ca="1">AVERAGE(OFFSET($EN$3,0,0,'Données projet'!$E$15+1,1))-AVERAGE(OFFSET($H$3,0,0,'Données projet'!$E$15+1,1))</f>
        <v>#N/A</v>
      </c>
      <c r="EP62" s="61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1"/>
        <v>0</v>
      </c>
      <c r="EZ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1" t="e">
        <f t="shared" si="23"/>
        <v>#N/A</v>
      </c>
      <c r="FJ62" s="61" t="e">
        <f ca="1">AVERAGE(OFFSET($FI$3,0,0,'Données projet'!$E$16+1,1))-AVERAGE(OFFSET($H$3,0,0,'Données projet'!$E$16+1,1))</f>
        <v>#N/A</v>
      </c>
      <c r="FK62" s="61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24"/>
        <v>0</v>
      </c>
      <c r="FU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1" t="e">
        <f t="shared" si="26"/>
        <v>#N/A</v>
      </c>
      <c r="GE62" s="61" t="e">
        <f ca="1">AVERAGE(OFFSET($GD$3,0,0,'Données projet'!$E$17+1,1))-AVERAGE(OFFSET($H$3,0,0,'Données projet'!$E$17+1,1))</f>
        <v>#N/A</v>
      </c>
      <c r="GF62" s="61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27"/>
        <v>0</v>
      </c>
      <c r="GP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1" t="e">
        <f t="shared" si="29"/>
        <v>#N/A</v>
      </c>
      <c r="GZ62" s="61" t="e">
        <f ca="1">AVERAGE(OFFSET($GY$3,0,0,'Données projet'!$E$18+1,1))-AVERAGE(OFFSET($H$3,0,0,'Données projet'!$E$18+1,1))</f>
        <v>#N/A</v>
      </c>
      <c r="HA62" s="61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30"/>
        <v>0</v>
      </c>
    </row>
    <row r="63" spans="1:218" s="5" customFormat="1" x14ac:dyDescent="0.45">
      <c r="A63" s="11">
        <f t="shared" si="31"/>
        <v>60</v>
      </c>
      <c r="B63" s="76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9">
        <f t="shared" si="1"/>
        <v>183.33333333333334</v>
      </c>
      <c r="I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455</v>
      </c>
      <c r="L63" s="13">
        <f>VLOOKUP(A63,'Données projet'!$A$35:$I$55,9,0)</f>
        <v>16</v>
      </c>
      <c r="M63" s="13">
        <f t="array" ref="M63">INDEX(L:L,MIN(IF(ISNUMBER(L63:L259),ROW(L63:L259),"")))</f>
        <v>16</v>
      </c>
      <c r="N63" s="14">
        <f>IF('Données projet'!$A$36&gt;35,N62+M63-V62,IF(A63&lt;'Données projet'!$A$36,$K$205^A63,IF(A63='Données projet'!$A$36,'Données projet'!$B$36,N62+M63-V62)))</f>
        <v>454.99999999999989</v>
      </c>
      <c r="O63" s="14">
        <f>N63*VLOOKUP('Données projet'!$B$9,Paramètres!$A$1:$I$88,3,0)*VLOOKUP('Données projet'!$B$9,Paramètres!$A$1:$I$88,5,0)</f>
        <v>272.08999999999997</v>
      </c>
      <c r="P63" s="14">
        <f t="shared" si="33"/>
        <v>65.292620784624702</v>
      </c>
      <c r="Q63" s="22">
        <f t="shared" si="53"/>
        <v>587.6080645332213</v>
      </c>
      <c r="R63" s="61">
        <f t="shared" si="0"/>
        <v>848.86377086469884</v>
      </c>
      <c r="S63" s="61">
        <f ca="1">AVERAGE(OFFSET($R$3,0,0,'Données projet'!$E$9+1,1))-AVERAGE(OFFSET($H$3,0,0,'Données projet'!$E$9+1,1))</f>
        <v>445.53168057836308</v>
      </c>
      <c r="T63" s="61">
        <f t="shared" si="34"/>
        <v>326.78684646135241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47</v>
      </c>
      <c r="W63" s="17">
        <f>IF(ISNA(VLOOKUP(A63,'Données projet'!$A$35:$I$55,5,0)),0%,VLOOKUP(A63,'Données projet'!$A$35:$I$55,5,0)*VLOOKUP('Données projet'!$B$9,Paramètres!$A$1:$I$88,7,0))</f>
        <v>0.22500000000000001</v>
      </c>
      <c r="X63" s="17">
        <f>IF(ISNA(VLOOKUP(A63,'Données projet'!$A$35:$I$55,6,0)),0%,VLOOKUP(A63,'Données projet'!$A$35:$I$55,6,0)*VLOOKUP('Données projet'!$B$9,Paramètres!$A$1:$I$88,7,0))</f>
        <v>0.18000000000000002</v>
      </c>
      <c r="Y63" s="17">
        <f>IF(ISNA(VLOOKUP(A63,'Données projet'!$A$35:$I$55,7,0)),0%,VLOOKUP(A63,'Données projet'!$A$35:$I$55,7,0))</f>
        <v>0.1</v>
      </c>
      <c r="Z63" s="23">
        <f>EXP(-LN(2)/35)*Z62+(1-EXP(-LN(2)/35))/(LN(2)/35)*V63*W63*VLOOKUP('Données projet'!$B$9,Paramètres!$A$1:$I$88,3,0)*0.475*44/12</f>
        <v>29.130938477368979</v>
      </c>
      <c r="AA63" s="23">
        <f>EXP(-LN(2)/25)*AA62+(1-EXP(-LN(2)/25))/(LN(2)/25)*Calculateur!V63*Calculateur!X63*VLOOKUP('Données projet'!$B$9,Paramètres!$A$1:$I$88,3,0)*0.475*44/12</f>
        <v>43.903909506453921</v>
      </c>
      <c r="AB63" s="23">
        <f>EXP(-LN(2)/2)*AB62+(1-EXP(-LN(2)/2))/(LN(2)/2)*V63*Y63*VLOOKUP('Données projet'!$B$9,Paramètres!$A$1:$I$88,3,0)*0.475*44/12</f>
        <v>3.876796903873529</v>
      </c>
      <c r="AC63" s="24">
        <f t="shared" si="3"/>
        <v>76.911644887696426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400</v>
      </c>
      <c r="AG63" s="13">
        <f>VLOOKUP(A63,'Données projet'!$A$61:$I$81,9,0)</f>
        <v>12.7</v>
      </c>
      <c r="AH63" s="13">
        <f t="array" ref="AH63">INDEX(AG:AG,MIN(IF(ISNUMBER(AG63:AG259),ROW(AG63:AG259),"")))</f>
        <v>12.7</v>
      </c>
      <c r="AI63" s="14">
        <f>IF('Données projet'!$A$62&gt;35,AI62+AH63-AQ62,IF(A63&lt;'Données projet'!$A$62,$AF$205^A63,IF(A63='Données projet'!$A$62,'Données projet'!$B$62,AI62+AH63-AQ62)))</f>
        <v>399.99999999999972</v>
      </c>
      <c r="AJ63" s="14">
        <f>AI63*VLOOKUP('Données projet'!$B$10,Paramètres!$A$1:$I$88,3,0)*VLOOKUP('Données projet'!$B$10,Paramètres!$A$1:$I$88,5,0)</f>
        <v>187.19999999999985</v>
      </c>
      <c r="AK63" s="14">
        <f t="shared" si="35"/>
        <v>46.920378730551299</v>
      </c>
      <c r="AL63" s="22">
        <f t="shared" si="4"/>
        <v>407.7596596223766</v>
      </c>
      <c r="AM63" s="61">
        <f t="shared" si="5"/>
        <v>669.01536595385414</v>
      </c>
      <c r="AN63" s="61">
        <f ca="1">AVERAGE(OFFSET($AM$3,0,0,'Données projet'!$E$10+1,1))-AVERAGE(OFFSET($H$3,0,0,'Données projet'!$E$10+1,1))</f>
        <v>375.77859820466693</v>
      </c>
      <c r="AO63" s="61">
        <f t="shared" si="36"/>
        <v>242.84781402593856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59</v>
      </c>
      <c r="AR63" s="17">
        <f>IF(ISNA(VLOOKUP(A63,'Données projet'!$A$61:$I$81,5,0)),0%,VLOOKUP(A63,'Données projet'!$A$61:$I$81,5,0)*VLOOKUP('Données projet'!$B$10,Paramètres!$A$1:$I$88,7,0))</f>
        <v>0.27500000000000002</v>
      </c>
      <c r="AS63" s="17">
        <f>IF(ISNA(VLOOKUP(A63,'Données projet'!$A$61:$I$81,6,0)),0%,VLOOKUP(A63,'Données projet'!$A$61:$I$81,6,0)*VLOOKUP('Données projet'!$B$10,Paramètres!$A$1:$I$88,7,0))</f>
        <v>0.27500000000000002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12.871057957124911</v>
      </c>
      <c r="AV63" s="23">
        <f>EXP(-LN(2)/25)*AV62+(1-EXP(-LN(2)/25))/(LN(2)/25)*Calculateur!AQ63*Calculateur!AS63*VLOOKUP('Données projet'!$B$9,Paramètres!$A$1:$I$88,3,0)*0.475*44/12</f>
        <v>27.731718014882397</v>
      </c>
      <c r="AW63" s="23">
        <f>EXP(-LN(2)/2)*AW62+(1-EXP(-LN(2)/2))/(LN(2)/2)*AQ63*AT63*VLOOKUP('Données projet'!$B$9,Paramètres!$A$1:$I$88,3,0)*0.475*44/12</f>
        <v>0</v>
      </c>
      <c r="AX63" s="23">
        <f t="shared" si="6"/>
        <v>40.602775972007308</v>
      </c>
      <c r="AY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1.8571428571428572</v>
      </c>
      <c r="BD63" s="13">
        <f>IF('Données projet'!$A$88&gt;35,BD62+BC63-BL62,IF(A63&lt;'Données projet'!$A$88,$BA$205^A63,IF(A63='Données projet'!$A$88,'Données projet'!$B$88,BD62+BC63-BL62)))</f>
        <v>111.42857142857149</v>
      </c>
      <c r="BE63" s="14">
        <f>BD63*VLOOKUP('Données projet'!$B$11,Paramètres!$A$1:$I$88,3,0)*VLOOKUP('Données projet'!$B$11,Paramètres!$A$1:$I$88,5,0)</f>
        <v>112.9885714285715</v>
      </c>
      <c r="BF63" s="14">
        <f t="shared" si="37"/>
        <v>30.034013019033612</v>
      </c>
      <c r="BG63" s="22">
        <f t="shared" si="7"/>
        <v>249.09766791291221</v>
      </c>
      <c r="BH63" s="61">
        <f t="shared" si="8"/>
        <v>510.35337424438967</v>
      </c>
      <c r="BI63" s="61">
        <f ca="1">AVERAGE(OFFSET($BH$3,0,0,'Données projet'!$E$11+1,1))-AVERAGE(OFFSET($H$3,0,0,'Données projet'!$E$11+1,1))</f>
        <v>433.57989081194</v>
      </c>
      <c r="BJ63" s="61">
        <f t="shared" si="38"/>
        <v>182.52060621271355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9"/>
        <v>0</v>
      </c>
      <c r="BT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1" t="e">
        <f t="shared" si="11"/>
        <v>#N/A</v>
      </c>
      <c r="CD63" s="61" t="e">
        <f ca="1">AVERAGE(OFFSET($CC$3,0,0,'Données projet'!$E$12+1,1))-AVERAGE(OFFSET($H$3,0,0,'Données projet'!$E$12+1,1))</f>
        <v>#N/A</v>
      </c>
      <c r="CE63" s="61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2"/>
        <v>0</v>
      </c>
      <c r="CO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1" t="e">
        <f t="shared" si="14"/>
        <v>#N/A</v>
      </c>
      <c r="CY63" s="61" t="e">
        <f ca="1">AVERAGE(OFFSET($CX$3,0,0,'Données projet'!$E$13+1,1))-AVERAGE(OFFSET($H$3,0,0,'Données projet'!$E$13+1,1))</f>
        <v>#N/A</v>
      </c>
      <c r="CZ63" s="61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15"/>
        <v>0</v>
      </c>
      <c r="DJ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1" t="e">
        <f t="shared" si="17"/>
        <v>#N/A</v>
      </c>
      <c r="DT63" s="61" t="e">
        <f ca="1">AVERAGE(OFFSET($DS$3,0,0,'Données projet'!$E$14+1,1))-AVERAGE(OFFSET($H$3,0,0,'Données projet'!$E$14+1,1))</f>
        <v>#N/A</v>
      </c>
      <c r="DU63" s="61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18"/>
        <v>0</v>
      </c>
      <c r="EE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1" t="e">
        <f t="shared" si="20"/>
        <v>#N/A</v>
      </c>
      <c r="EO63" s="61" t="e">
        <f ca="1">AVERAGE(OFFSET($EN$3,0,0,'Données projet'!$E$15+1,1))-AVERAGE(OFFSET($H$3,0,0,'Données projet'!$E$15+1,1))</f>
        <v>#N/A</v>
      </c>
      <c r="EP63" s="61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1"/>
        <v>0</v>
      </c>
      <c r="EZ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1" t="e">
        <f t="shared" si="23"/>
        <v>#N/A</v>
      </c>
      <c r="FJ63" s="61" t="e">
        <f ca="1">AVERAGE(OFFSET($FI$3,0,0,'Données projet'!$E$16+1,1))-AVERAGE(OFFSET($H$3,0,0,'Données projet'!$E$16+1,1))</f>
        <v>#N/A</v>
      </c>
      <c r="FK63" s="61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24"/>
        <v>0</v>
      </c>
      <c r="FU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1" t="e">
        <f t="shared" si="26"/>
        <v>#N/A</v>
      </c>
      <c r="GE63" s="61" t="e">
        <f ca="1">AVERAGE(OFFSET($GD$3,0,0,'Données projet'!$E$17+1,1))-AVERAGE(OFFSET($H$3,0,0,'Données projet'!$E$17+1,1))</f>
        <v>#N/A</v>
      </c>
      <c r="GF63" s="61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27"/>
        <v>0</v>
      </c>
      <c r="GP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1" t="e">
        <f t="shared" si="29"/>
        <v>#N/A</v>
      </c>
      <c r="GZ63" s="61" t="e">
        <f ca="1">AVERAGE(OFFSET($GY$3,0,0,'Données projet'!$E$18+1,1))-AVERAGE(OFFSET($H$3,0,0,'Données projet'!$E$18+1,1))</f>
        <v>#N/A</v>
      </c>
      <c r="HA63" s="61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30"/>
        <v>0</v>
      </c>
    </row>
    <row r="64" spans="1:218" s="5" customFormat="1" x14ac:dyDescent="0.45">
      <c r="A64" s="11">
        <f t="shared" si="31"/>
        <v>61</v>
      </c>
      <c r="B64" s="76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9">
        <f t="shared" si="1"/>
        <v>183.33333333333334</v>
      </c>
      <c r="I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15.2</v>
      </c>
      <c r="N64" s="14">
        <f>IF('Données projet'!$A$36&gt;35,N63+M64-V63,IF(A64&lt;'Données projet'!$A$36,$K$205^A64,IF(A64='Données projet'!$A$36,'Données projet'!$B$36,N63+M64-V63)))</f>
        <v>423.19999999999987</v>
      </c>
      <c r="O64" s="14">
        <f>N64*VLOOKUP('Données projet'!$B$9,Paramètres!$A$1:$I$88,3,0)*VLOOKUP('Données projet'!$B$9,Paramètres!$A$1:$I$88,5,0)</f>
        <v>253.07359999999994</v>
      </c>
      <c r="P64" s="14">
        <f t="shared" si="33"/>
        <v>61.243637233758619</v>
      </c>
      <c r="Q64" s="22">
        <f t="shared" si="53"/>
        <v>547.43585484879611</v>
      </c>
      <c r="R64" s="61">
        <f t="shared" si="0"/>
        <v>809.24803629392545</v>
      </c>
      <c r="S64" s="61">
        <f ca="1">AVERAGE(OFFSET($R$3,0,0,'Données projet'!$E$9+1,1))-AVERAGE(OFFSET($H$3,0,0,'Données projet'!$E$9+1,1))</f>
        <v>445.53168057836308</v>
      </c>
      <c r="T64" s="61">
        <f t="shared" si="34"/>
        <v>326.78684646135241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28.559698541945789</v>
      </c>
      <c r="AA64" s="23">
        <f>EXP(-LN(2)/25)*AA63+(1-EXP(-LN(2)/25))/(LN(2)/25)*Calculateur!V64*Calculateur!X64*VLOOKUP('Données projet'!$B$9,Paramètres!$A$1:$I$88,3,0)*0.475*44/12</f>
        <v>42.703354792193679</v>
      </c>
      <c r="AB64" s="23">
        <f>EXP(-LN(2)/2)*AB63+(1-EXP(-LN(2)/2))/(LN(2)/2)*V64*Y64*VLOOKUP('Données projet'!$B$9,Paramètres!$A$1:$I$88,3,0)*0.475*44/12</f>
        <v>2.7413093800119848</v>
      </c>
      <c r="AC64" s="24">
        <f t="shared" si="3"/>
        <v>74.004362714151455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13.4</v>
      </c>
      <c r="AI64" s="14">
        <f>IF('Données projet'!$A$62&gt;35,AI63+AH64-AQ63,IF(A64&lt;'Données projet'!$A$62,$AF$205^A64,IF(A64='Données projet'!$A$62,'Données projet'!$B$62,AI63+AH64-AQ63)))</f>
        <v>354.39999999999969</v>
      </c>
      <c r="AJ64" s="14">
        <f>AI64*VLOOKUP('Données projet'!$B$10,Paramètres!$A$1:$I$88,3,0)*VLOOKUP('Données projet'!$B$10,Paramètres!$A$1:$I$88,5,0)</f>
        <v>165.85919999999987</v>
      </c>
      <c r="AK64" s="14">
        <f t="shared" si="35"/>
        <v>42.16129536067745</v>
      </c>
      <c r="AL64" s="22">
        <f t="shared" si="4"/>
        <v>362.30236275317969</v>
      </c>
      <c r="AM64" s="61">
        <f t="shared" si="5"/>
        <v>624.11454419830898</v>
      </c>
      <c r="AN64" s="61">
        <f ca="1">AVERAGE(OFFSET($AM$3,0,0,'Données projet'!$E$10+1,1))-AVERAGE(OFFSET($H$3,0,0,'Données projet'!$E$10+1,1))</f>
        <v>375.77859820466693</v>
      </c>
      <c r="AO64" s="61">
        <f t="shared" si="36"/>
        <v>242.84781402593856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12.618664361155867</v>
      </c>
      <c r="AV64" s="23">
        <f>EXP(-LN(2)/25)*AV63+(1-EXP(-LN(2)/25))/(LN(2)/25)*Calculateur!AQ64*Calculateur!AS64*VLOOKUP('Données projet'!$B$9,Paramètres!$A$1:$I$88,3,0)*0.475*44/12</f>
        <v>26.973392727417767</v>
      </c>
      <c r="AW64" s="23">
        <f>EXP(-LN(2)/2)*AW63+(1-EXP(-LN(2)/2))/(LN(2)/2)*AQ64*AT64*VLOOKUP('Données projet'!$B$9,Paramètres!$A$1:$I$88,3,0)*0.475*44/12</f>
        <v>0</v>
      </c>
      <c r="AX64" s="23">
        <f t="shared" si="6"/>
        <v>39.592057088573632</v>
      </c>
      <c r="AY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1.8571428571428572</v>
      </c>
      <c r="BD64" s="13">
        <f>IF('Données projet'!$A$88&gt;35,BD63+BC64-BL63,IF(A64&lt;'Données projet'!$A$88,$BA$205^A64,IF(A64='Données projet'!$A$88,'Données projet'!$B$88,BD63+BC64-BL63)))</f>
        <v>113.28571428571435</v>
      </c>
      <c r="BE64" s="14">
        <f>BD64*VLOOKUP('Données projet'!$B$11,Paramètres!$A$1:$I$88,3,0)*VLOOKUP('Données projet'!$B$11,Paramètres!$A$1:$I$88,5,0)</f>
        <v>114.87171428571436</v>
      </c>
      <c r="BF64" s="14">
        <f t="shared" si="37"/>
        <v>30.475887523282662</v>
      </c>
      <c r="BG64" s="22">
        <f t="shared" si="7"/>
        <v>253.1470731506698</v>
      </c>
      <c r="BH64" s="61">
        <f t="shared" si="8"/>
        <v>514.95925459579917</v>
      </c>
      <c r="BI64" s="61">
        <f ca="1">AVERAGE(OFFSET($BH$3,0,0,'Données projet'!$E$11+1,1))-AVERAGE(OFFSET($H$3,0,0,'Données projet'!$E$11+1,1))</f>
        <v>433.57989081194</v>
      </c>
      <c r="BJ64" s="61">
        <f t="shared" si="38"/>
        <v>182.52060621271355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9"/>
        <v>0</v>
      </c>
      <c r="BT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1" t="e">
        <f t="shared" si="11"/>
        <v>#N/A</v>
      </c>
      <c r="CD64" s="61" t="e">
        <f ca="1">AVERAGE(OFFSET($CC$3,0,0,'Données projet'!$E$12+1,1))-AVERAGE(OFFSET($H$3,0,0,'Données projet'!$E$12+1,1))</f>
        <v>#N/A</v>
      </c>
      <c r="CE64" s="61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2"/>
        <v>0</v>
      </c>
      <c r="CO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1" t="e">
        <f t="shared" si="14"/>
        <v>#N/A</v>
      </c>
      <c r="CY64" s="61" t="e">
        <f ca="1">AVERAGE(OFFSET($CX$3,0,0,'Données projet'!$E$13+1,1))-AVERAGE(OFFSET($H$3,0,0,'Données projet'!$E$13+1,1))</f>
        <v>#N/A</v>
      </c>
      <c r="CZ64" s="61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15"/>
        <v>0</v>
      </c>
      <c r="DJ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1" t="e">
        <f t="shared" si="17"/>
        <v>#N/A</v>
      </c>
      <c r="DT64" s="61" t="e">
        <f ca="1">AVERAGE(OFFSET($DS$3,0,0,'Données projet'!$E$14+1,1))-AVERAGE(OFFSET($H$3,0,0,'Données projet'!$E$14+1,1))</f>
        <v>#N/A</v>
      </c>
      <c r="DU64" s="61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18"/>
        <v>0</v>
      </c>
      <c r="EE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1" t="e">
        <f t="shared" si="20"/>
        <v>#N/A</v>
      </c>
      <c r="EO64" s="61" t="e">
        <f ca="1">AVERAGE(OFFSET($EN$3,0,0,'Données projet'!$E$15+1,1))-AVERAGE(OFFSET($H$3,0,0,'Données projet'!$E$15+1,1))</f>
        <v>#N/A</v>
      </c>
      <c r="EP64" s="61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1"/>
        <v>0</v>
      </c>
      <c r="EZ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1" t="e">
        <f t="shared" si="23"/>
        <v>#N/A</v>
      </c>
      <c r="FJ64" s="61" t="e">
        <f ca="1">AVERAGE(OFFSET($FI$3,0,0,'Données projet'!$E$16+1,1))-AVERAGE(OFFSET($H$3,0,0,'Données projet'!$E$16+1,1))</f>
        <v>#N/A</v>
      </c>
      <c r="FK64" s="61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24"/>
        <v>0</v>
      </c>
      <c r="FU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1" t="e">
        <f t="shared" si="26"/>
        <v>#N/A</v>
      </c>
      <c r="GE64" s="61" t="e">
        <f ca="1">AVERAGE(OFFSET($GD$3,0,0,'Données projet'!$E$17+1,1))-AVERAGE(OFFSET($H$3,0,0,'Données projet'!$E$17+1,1))</f>
        <v>#N/A</v>
      </c>
      <c r="GF64" s="61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27"/>
        <v>0</v>
      </c>
      <c r="GP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1" t="e">
        <f t="shared" si="29"/>
        <v>#N/A</v>
      </c>
      <c r="GZ64" s="61" t="e">
        <f ca="1">AVERAGE(OFFSET($GY$3,0,0,'Données projet'!$E$18+1,1))-AVERAGE(OFFSET($H$3,0,0,'Données projet'!$E$18+1,1))</f>
        <v>#N/A</v>
      </c>
      <c r="HA64" s="61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30"/>
        <v>0</v>
      </c>
    </row>
    <row r="65" spans="1:218" s="5" customFormat="1" x14ac:dyDescent="0.45">
      <c r="A65" s="11">
        <f t="shared" si="31"/>
        <v>62</v>
      </c>
      <c r="B65" s="76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9">
        <f t="shared" si="1"/>
        <v>183.33333333333334</v>
      </c>
      <c r="I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15.2</v>
      </c>
      <c r="N65" s="14">
        <f>IF('Données projet'!$A$36&gt;35,N64+M65-V64,IF(A65&lt;'Données projet'!$A$36,$K$205^A65,IF(A65='Données projet'!$A$36,'Données projet'!$B$36,N64+M65-V64)))</f>
        <v>438.39999999999986</v>
      </c>
      <c r="O65" s="14">
        <f>N65*VLOOKUP('Données projet'!$B$9,Paramètres!$A$1:$I$88,3,0)*VLOOKUP('Données projet'!$B$9,Paramètres!$A$1:$I$88,5,0)</f>
        <v>262.16319999999996</v>
      </c>
      <c r="P65" s="14">
        <f t="shared" si="33"/>
        <v>63.183262188558373</v>
      </c>
      <c r="Q65" s="22">
        <f t="shared" si="53"/>
        <v>566.64508831173907</v>
      </c>
      <c r="R65" s="61">
        <f t="shared" si="0"/>
        <v>829.00409127139039</v>
      </c>
      <c r="S65" s="61">
        <f ca="1">AVERAGE(OFFSET($R$3,0,0,'Données projet'!$E$9+1,1))-AVERAGE(OFFSET($H$3,0,0,'Données projet'!$E$9+1,1))</f>
        <v>445.53168057836308</v>
      </c>
      <c r="T65" s="61">
        <f t="shared" si="34"/>
        <v>326.78684646135241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27.999660273234291</v>
      </c>
      <c r="AA65" s="23">
        <f>EXP(-LN(2)/25)*AA64+(1-EXP(-LN(2)/25))/(LN(2)/25)*Calculateur!V65*Calculateur!X65*VLOOKUP('Données projet'!$B$9,Paramètres!$A$1:$I$88,3,0)*0.475*44/12</f>
        <v>41.535629309729316</v>
      </c>
      <c r="AB65" s="23">
        <f>EXP(-LN(2)/2)*AB64+(1-EXP(-LN(2)/2))/(LN(2)/2)*V65*Y65*VLOOKUP('Données projet'!$B$9,Paramètres!$A$1:$I$88,3,0)*0.475*44/12</f>
        <v>1.938398451936765</v>
      </c>
      <c r="AC65" s="24">
        <f t="shared" si="3"/>
        <v>71.473688034900363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13.4</v>
      </c>
      <c r="AI65" s="14">
        <f>IF('Données projet'!$A$62&gt;35,AI64+AH65-AQ64,IF(A65&lt;'Données projet'!$A$62,$AF$205^A65,IF(A65='Données projet'!$A$62,'Données projet'!$B$62,AI64+AH65-AQ64)))</f>
        <v>367.79999999999967</v>
      </c>
      <c r="AJ65" s="14">
        <f>AI65*VLOOKUP('Données projet'!$B$10,Paramètres!$A$1:$I$88,3,0)*VLOOKUP('Données projet'!$B$10,Paramètres!$A$1:$I$88,5,0)</f>
        <v>172.13039999999984</v>
      </c>
      <c r="AK65" s="14">
        <f t="shared" si="35"/>
        <v>43.56681592788015</v>
      </c>
      <c r="AL65" s="22">
        <f t="shared" si="4"/>
        <v>375.67265107439101</v>
      </c>
      <c r="AM65" s="61">
        <f t="shared" si="5"/>
        <v>638.03165403404228</v>
      </c>
      <c r="AN65" s="61">
        <f ca="1">AVERAGE(OFFSET($AM$3,0,0,'Données projet'!$E$10+1,1))-AVERAGE(OFFSET($H$3,0,0,'Données projet'!$E$10+1,1))</f>
        <v>375.77859820466693</v>
      </c>
      <c r="AO65" s="61">
        <f t="shared" si="36"/>
        <v>242.84781402593856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12.371220049658882</v>
      </c>
      <c r="AV65" s="23">
        <f>EXP(-LN(2)/25)*AV64+(1-EXP(-LN(2)/25))/(LN(2)/25)*Calculateur!AQ65*Calculateur!AS65*VLOOKUP('Données projet'!$B$9,Paramètres!$A$1:$I$88,3,0)*0.475*44/12</f>
        <v>26.235803884817454</v>
      </c>
      <c r="AW65" s="23">
        <f>EXP(-LN(2)/2)*AW64+(1-EXP(-LN(2)/2))/(LN(2)/2)*AQ65*AT65*VLOOKUP('Données projet'!$B$9,Paramètres!$A$1:$I$88,3,0)*0.475*44/12</f>
        <v>0</v>
      </c>
      <c r="AX65" s="23">
        <f t="shared" si="6"/>
        <v>38.607023934476338</v>
      </c>
      <c r="AY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1.8571428571428572</v>
      </c>
      <c r="BD65" s="13">
        <f>IF('Données projet'!$A$88&gt;35,BD64+BC65-BL64,IF(A65&lt;'Données projet'!$A$88,$BA$205^A65,IF(A65='Données projet'!$A$88,'Données projet'!$B$88,BD64+BC65-BL64)))</f>
        <v>115.14285714285721</v>
      </c>
      <c r="BE65" s="14">
        <f>BD65*VLOOKUP('Données projet'!$B$11,Paramètres!$A$1:$I$88,3,0)*VLOOKUP('Données projet'!$B$11,Paramètres!$A$1:$I$88,5,0)</f>
        <v>116.7548571428572</v>
      </c>
      <c r="BF65" s="14">
        <f t="shared" si="37"/>
        <v>30.916919608126769</v>
      </c>
      <c r="BG65" s="22">
        <f t="shared" si="7"/>
        <v>257.19501117463039</v>
      </c>
      <c r="BH65" s="61">
        <f t="shared" si="8"/>
        <v>519.55401413428172</v>
      </c>
      <c r="BI65" s="61">
        <f ca="1">AVERAGE(OFFSET($BH$3,0,0,'Données projet'!$E$11+1,1))-AVERAGE(OFFSET($H$3,0,0,'Données projet'!$E$11+1,1))</f>
        <v>433.57989081194</v>
      </c>
      <c r="BJ65" s="61">
        <f t="shared" si="38"/>
        <v>182.52060621271355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9"/>
        <v>0</v>
      </c>
      <c r="BT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1" t="e">
        <f t="shared" si="11"/>
        <v>#N/A</v>
      </c>
      <c r="CD65" s="61" t="e">
        <f ca="1">AVERAGE(OFFSET($CC$3,0,0,'Données projet'!$E$12+1,1))-AVERAGE(OFFSET($H$3,0,0,'Données projet'!$E$12+1,1))</f>
        <v>#N/A</v>
      </c>
      <c r="CE65" s="61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2"/>
        <v>0</v>
      </c>
      <c r="CO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1" t="e">
        <f t="shared" si="14"/>
        <v>#N/A</v>
      </c>
      <c r="CY65" s="61" t="e">
        <f ca="1">AVERAGE(OFFSET($CX$3,0,0,'Données projet'!$E$13+1,1))-AVERAGE(OFFSET($H$3,0,0,'Données projet'!$E$13+1,1))</f>
        <v>#N/A</v>
      </c>
      <c r="CZ65" s="61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15"/>
        <v>0</v>
      </c>
      <c r="DJ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1" t="e">
        <f t="shared" si="17"/>
        <v>#N/A</v>
      </c>
      <c r="DT65" s="61" t="e">
        <f ca="1">AVERAGE(OFFSET($DS$3,0,0,'Données projet'!$E$14+1,1))-AVERAGE(OFFSET($H$3,0,0,'Données projet'!$E$14+1,1))</f>
        <v>#N/A</v>
      </c>
      <c r="DU65" s="61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18"/>
        <v>0</v>
      </c>
      <c r="EE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1" t="e">
        <f t="shared" si="20"/>
        <v>#N/A</v>
      </c>
      <c r="EO65" s="61" t="e">
        <f ca="1">AVERAGE(OFFSET($EN$3,0,0,'Données projet'!$E$15+1,1))-AVERAGE(OFFSET($H$3,0,0,'Données projet'!$E$15+1,1))</f>
        <v>#N/A</v>
      </c>
      <c r="EP65" s="61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1"/>
        <v>0</v>
      </c>
      <c r="EZ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1" t="e">
        <f t="shared" si="23"/>
        <v>#N/A</v>
      </c>
      <c r="FJ65" s="61" t="e">
        <f ca="1">AVERAGE(OFFSET($FI$3,0,0,'Données projet'!$E$16+1,1))-AVERAGE(OFFSET($H$3,0,0,'Données projet'!$E$16+1,1))</f>
        <v>#N/A</v>
      </c>
      <c r="FK65" s="61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24"/>
        <v>0</v>
      </c>
      <c r="FU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1" t="e">
        <f t="shared" si="26"/>
        <v>#N/A</v>
      </c>
      <c r="GE65" s="61" t="e">
        <f ca="1">AVERAGE(OFFSET($GD$3,0,0,'Données projet'!$E$17+1,1))-AVERAGE(OFFSET($H$3,0,0,'Données projet'!$E$17+1,1))</f>
        <v>#N/A</v>
      </c>
      <c r="GF65" s="61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27"/>
        <v>0</v>
      </c>
      <c r="GP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1" t="e">
        <f t="shared" si="29"/>
        <v>#N/A</v>
      </c>
      <c r="GZ65" s="61" t="e">
        <f ca="1">AVERAGE(OFFSET($GY$3,0,0,'Données projet'!$E$18+1,1))-AVERAGE(OFFSET($H$3,0,0,'Données projet'!$E$18+1,1))</f>
        <v>#N/A</v>
      </c>
      <c r="HA65" s="61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30"/>
        <v>0</v>
      </c>
    </row>
    <row r="66" spans="1:218" s="5" customFormat="1" x14ac:dyDescent="0.45">
      <c r="A66" s="11">
        <f t="shared" si="31"/>
        <v>63</v>
      </c>
      <c r="B66" s="76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9">
        <f t="shared" si="1"/>
        <v>183.33333333333334</v>
      </c>
      <c r="I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15.2</v>
      </c>
      <c r="N66" s="14">
        <f>IF('Données projet'!$A$36&gt;35,N65+M66-V65,IF(A66&lt;'Données projet'!$A$36,$K$205^A66,IF(A66='Données projet'!$A$36,'Données projet'!$B$36,N65+M66-V65)))</f>
        <v>453.59999999999985</v>
      </c>
      <c r="O66" s="14">
        <f>N66*VLOOKUP('Données projet'!$B$9,Paramètres!$A$1:$I$88,3,0)*VLOOKUP('Données projet'!$B$9,Paramètres!$A$1:$I$88,5,0)</f>
        <v>271.25279999999992</v>
      </c>
      <c r="P66" s="14">
        <f t="shared" si="33"/>
        <v>65.115073390838859</v>
      </c>
      <c r="Q66" s="22">
        <f t="shared" si="53"/>
        <v>585.84071282237755</v>
      </c>
      <c r="R66" s="61">
        <f t="shared" si="0"/>
        <v>848.73705116578367</v>
      </c>
      <c r="S66" s="61">
        <f ca="1">AVERAGE(OFFSET($R$3,0,0,'Données projet'!$E$9+1,1))-AVERAGE(OFFSET($H$3,0,0,'Données projet'!$E$9+1,1))</f>
        <v>445.53168057836308</v>
      </c>
      <c r="T66" s="61">
        <f t="shared" si="34"/>
        <v>326.78684646135241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27.450604013382609</v>
      </c>
      <c r="AA66" s="23">
        <f>EXP(-LN(2)/25)*AA65+(1-EXP(-LN(2)/25))/(LN(2)/25)*Calculateur!V66*Calculateur!X66*VLOOKUP('Données projet'!$B$9,Paramètres!$A$1:$I$88,3,0)*0.475*44/12</f>
        <v>40.399835341990951</v>
      </c>
      <c r="AB66" s="23">
        <f>EXP(-LN(2)/2)*AB65+(1-EXP(-LN(2)/2))/(LN(2)/2)*V66*Y66*VLOOKUP('Données projet'!$B$9,Paramètres!$A$1:$I$88,3,0)*0.475*44/12</f>
        <v>1.3706546900059926</v>
      </c>
      <c r="AC66" s="24">
        <f t="shared" si="3"/>
        <v>69.221094045379559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13.4</v>
      </c>
      <c r="AI66" s="14">
        <f>IF('Données projet'!$A$62&gt;35,AI65+AH66-AQ65,IF(A66&lt;'Données projet'!$A$62,$AF$205^A66,IF(A66='Données projet'!$A$62,'Données projet'!$B$62,AI65+AH66-AQ65)))</f>
        <v>381.19999999999965</v>
      </c>
      <c r="AJ66" s="14">
        <f>AI66*VLOOKUP('Données projet'!$B$10,Paramètres!$A$1:$I$88,3,0)*VLOOKUP('Données projet'!$B$10,Paramètres!$A$1:$I$88,5,0)</f>
        <v>178.40159999999983</v>
      </c>
      <c r="AK66" s="14">
        <f t="shared" si="35"/>
        <v>44.966387217844144</v>
      </c>
      <c r="AL66" s="22">
        <f t="shared" si="4"/>
        <v>389.03257773774493</v>
      </c>
      <c r="AM66" s="61">
        <f t="shared" si="5"/>
        <v>651.9289160811511</v>
      </c>
      <c r="AN66" s="61">
        <f ca="1">AVERAGE(OFFSET($AM$3,0,0,'Données projet'!$E$10+1,1))-AVERAGE(OFFSET($H$3,0,0,'Données projet'!$E$10+1,1))</f>
        <v>375.77859820466693</v>
      </c>
      <c r="AO66" s="61">
        <f t="shared" si="36"/>
        <v>242.84781402593856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12.128627970184226</v>
      </c>
      <c r="AV66" s="23">
        <f>EXP(-LN(2)/25)*AV65+(1-EXP(-LN(2)/25))/(LN(2)/25)*Calculateur!AQ66*Calculateur!AS66*VLOOKUP('Données projet'!$B$9,Paramètres!$A$1:$I$88,3,0)*0.475*44/12</f>
        <v>25.518384447906158</v>
      </c>
      <c r="AW66" s="23">
        <f>EXP(-LN(2)/2)*AW65+(1-EXP(-LN(2)/2))/(LN(2)/2)*AQ66*AT66*VLOOKUP('Données projet'!$B$9,Paramètres!$A$1:$I$88,3,0)*0.475*44/12</f>
        <v>0</v>
      </c>
      <c r="AX66" s="23">
        <f t="shared" si="6"/>
        <v>37.647012418090384</v>
      </c>
      <c r="AY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117</v>
      </c>
      <c r="BB66" s="13">
        <f>VLOOKUP(A66,'Données projet'!$A$87:$I$107,9,0)</f>
        <v>1.8571428571428572</v>
      </c>
      <c r="BC66" s="13">
        <f t="array" ref="BC66">INDEX(BB:BB,MIN(IF(ISNUMBER(BB66:BB262),ROW(BB66:BB262),"")))</f>
        <v>1.8571428571428572</v>
      </c>
      <c r="BD66" s="13">
        <f>IF('Données projet'!$A$88&gt;35,BD65+BC66-BL65,IF(A66&lt;'Données projet'!$A$88,$BA$205^A66,IF(A66='Données projet'!$A$88,'Données projet'!$B$88,BD65+BC66-BL65)))</f>
        <v>117.00000000000007</v>
      </c>
      <c r="BE66" s="14">
        <f>BD66*VLOOKUP('Données projet'!$B$11,Paramètres!$A$1:$I$88,3,0)*VLOOKUP('Données projet'!$B$11,Paramètres!$A$1:$I$88,5,0)</f>
        <v>118.63800000000009</v>
      </c>
      <c r="BF66" s="14">
        <f t="shared" si="37"/>
        <v>31.357124429643715</v>
      </c>
      <c r="BG66" s="22">
        <f t="shared" si="7"/>
        <v>261.24150838162961</v>
      </c>
      <c r="BH66" s="61">
        <f t="shared" si="8"/>
        <v>524.13784672503573</v>
      </c>
      <c r="BI66" s="61">
        <f ca="1">AVERAGE(OFFSET($BH$3,0,0,'Données projet'!$E$11+1,1))-AVERAGE(OFFSET($H$3,0,0,'Données projet'!$E$11+1,1))</f>
        <v>433.57989081194</v>
      </c>
      <c r="BJ66" s="61">
        <f t="shared" si="38"/>
        <v>182.52060621271355</v>
      </c>
      <c r="BK66" s="16">
        <f>IF(ISNA(VLOOKUP(A66,'Données projet'!$A$87:$I$107,3,0)),0,VLOOKUP(A66,'Données projet'!$A$87:$I$107,3,0))</f>
        <v>1</v>
      </c>
      <c r="BL66" s="16">
        <f>IF(ISNA(VLOOKUP(A66,'Données projet'!$A$87:$I$107,4,0)),0,VLOOKUP(A66,'Données projet'!$A$87:$I$107,4,0))</f>
        <v>24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9"/>
        <v>0</v>
      </c>
      <c r="BT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1" t="e">
        <f t="shared" si="11"/>
        <v>#N/A</v>
      </c>
      <c r="CD66" s="61" t="e">
        <f ca="1">AVERAGE(OFFSET($CC$3,0,0,'Données projet'!$E$12+1,1))-AVERAGE(OFFSET($H$3,0,0,'Données projet'!$E$12+1,1))</f>
        <v>#N/A</v>
      </c>
      <c r="CE66" s="61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2"/>
        <v>0</v>
      </c>
      <c r="CO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1" t="e">
        <f t="shared" si="14"/>
        <v>#N/A</v>
      </c>
      <c r="CY66" s="61" t="e">
        <f ca="1">AVERAGE(OFFSET($CX$3,0,0,'Données projet'!$E$13+1,1))-AVERAGE(OFFSET($H$3,0,0,'Données projet'!$E$13+1,1))</f>
        <v>#N/A</v>
      </c>
      <c r="CZ66" s="61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15"/>
        <v>0</v>
      </c>
      <c r="DJ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1" t="e">
        <f t="shared" si="17"/>
        <v>#N/A</v>
      </c>
      <c r="DT66" s="61" t="e">
        <f ca="1">AVERAGE(OFFSET($DS$3,0,0,'Données projet'!$E$14+1,1))-AVERAGE(OFFSET($H$3,0,0,'Données projet'!$E$14+1,1))</f>
        <v>#N/A</v>
      </c>
      <c r="DU66" s="61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18"/>
        <v>0</v>
      </c>
      <c r="EE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1" t="e">
        <f t="shared" si="20"/>
        <v>#N/A</v>
      </c>
      <c r="EO66" s="61" t="e">
        <f ca="1">AVERAGE(OFFSET($EN$3,0,0,'Données projet'!$E$15+1,1))-AVERAGE(OFFSET($H$3,0,0,'Données projet'!$E$15+1,1))</f>
        <v>#N/A</v>
      </c>
      <c r="EP66" s="61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1"/>
        <v>0</v>
      </c>
      <c r="EZ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1" t="e">
        <f t="shared" si="23"/>
        <v>#N/A</v>
      </c>
      <c r="FJ66" s="61" t="e">
        <f ca="1">AVERAGE(OFFSET($FI$3,0,0,'Données projet'!$E$16+1,1))-AVERAGE(OFFSET($H$3,0,0,'Données projet'!$E$16+1,1))</f>
        <v>#N/A</v>
      </c>
      <c r="FK66" s="61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24"/>
        <v>0</v>
      </c>
      <c r="FU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1" t="e">
        <f t="shared" si="26"/>
        <v>#N/A</v>
      </c>
      <c r="GE66" s="61" t="e">
        <f ca="1">AVERAGE(OFFSET($GD$3,0,0,'Données projet'!$E$17+1,1))-AVERAGE(OFFSET($H$3,0,0,'Données projet'!$E$17+1,1))</f>
        <v>#N/A</v>
      </c>
      <c r="GF66" s="61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27"/>
        <v>0</v>
      </c>
      <c r="GP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1" t="e">
        <f t="shared" si="29"/>
        <v>#N/A</v>
      </c>
      <c r="GZ66" s="61" t="e">
        <f ca="1">AVERAGE(OFFSET($GY$3,0,0,'Données projet'!$E$18+1,1))-AVERAGE(OFFSET($H$3,0,0,'Données projet'!$E$18+1,1))</f>
        <v>#N/A</v>
      </c>
      <c r="HA66" s="61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30"/>
        <v>0</v>
      </c>
    </row>
    <row r="67" spans="1:218" s="5" customFormat="1" x14ac:dyDescent="0.45">
      <c r="A67" s="11">
        <f t="shared" si="31"/>
        <v>64</v>
      </c>
      <c r="B67" s="76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9">
        <f t="shared" si="1"/>
        <v>183.33333333333334</v>
      </c>
      <c r="I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15.2</v>
      </c>
      <c r="N67" s="14">
        <f>IF('Données projet'!$A$36&gt;35,N66+M67-V66,IF(A67&lt;'Données projet'!$A$36,$K$205^A67,IF(A67='Données projet'!$A$36,'Données projet'!$B$36,N66+M67-V66)))</f>
        <v>468.79999999999984</v>
      </c>
      <c r="O67" s="14">
        <f>N67*VLOOKUP('Données projet'!$B$9,Paramètres!$A$1:$I$88,3,0)*VLOOKUP('Données projet'!$B$9,Paramètres!$A$1:$I$88,5,0)</f>
        <v>280.34239999999994</v>
      </c>
      <c r="P67" s="14">
        <f t="shared" si="33"/>
        <v>67.039362696476971</v>
      </c>
      <c r="Q67" s="22">
        <f t="shared" ref="Q67:Q98" si="54">(O67+P67)*0.475*44/12</f>
        <v>605.02323669636394</v>
      </c>
      <c r="R67" s="61">
        <f t="shared" ref="R67:R130" si="55">Q67+(I67+J67)*44/12</f>
        <v>868.44758885591864</v>
      </c>
      <c r="S67" s="61">
        <f ca="1">AVERAGE(OFFSET($R$3,0,0,'Données projet'!$E$9+1,1))-AVERAGE(OFFSET($H$3,0,0,'Données projet'!$E$9+1,1))</f>
        <v>445.53168057836308</v>
      </c>
      <c r="T67" s="61">
        <f t="shared" si="34"/>
        <v>326.78684646135241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26.91231441189537</v>
      </c>
      <c r="AA67" s="23">
        <f>EXP(-LN(2)/25)*AA66+(1-EXP(-LN(2)/25))/(LN(2)/25)*Calculateur!V67*Calculateur!X67*VLOOKUP('Données projet'!$B$9,Paramètres!$A$1:$I$88,3,0)*0.475*44/12</f>
        <v>39.295099720029199</v>
      </c>
      <c r="AB67" s="23">
        <f>EXP(-LN(2)/2)*AB66+(1-EXP(-LN(2)/2))/(LN(2)/2)*V67*Y67*VLOOKUP('Données projet'!$B$9,Paramètres!$A$1:$I$88,3,0)*0.475*44/12</f>
        <v>0.96919922596838259</v>
      </c>
      <c r="AC67" s="24">
        <f t="shared" si="3"/>
        <v>67.176613357892947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13.4</v>
      </c>
      <c r="AI67" s="14">
        <f>IF('Données projet'!$A$62&gt;35,AI66+AH67-AQ66,IF(A67&lt;'Données projet'!$A$62,$AF$205^A67,IF(A67='Données projet'!$A$62,'Données projet'!$B$62,AI66+AH67-AQ66)))</f>
        <v>394.59999999999962</v>
      </c>
      <c r="AJ67" s="14">
        <f>AI67*VLOOKUP('Données projet'!$B$10,Paramètres!$A$1:$I$88,3,0)*VLOOKUP('Données projet'!$B$10,Paramètres!$A$1:$I$88,5,0)</f>
        <v>184.67279999999982</v>
      </c>
      <c r="AK67" s="14">
        <f t="shared" si="35"/>
        <v>46.360242323772709</v>
      </c>
      <c r="AL67" s="22">
        <f t="shared" si="4"/>
        <v>402.38254871390376</v>
      </c>
      <c r="AM67" s="61">
        <f t="shared" si="5"/>
        <v>665.80690087345852</v>
      </c>
      <c r="AN67" s="61">
        <f ca="1">AVERAGE(OFFSET($AM$3,0,0,'Données projet'!$E$10+1,1))-AVERAGE(OFFSET($H$3,0,0,'Données projet'!$E$10+1,1))</f>
        <v>375.77859820466693</v>
      </c>
      <c r="AO67" s="61">
        <f t="shared" si="36"/>
        <v>242.84781402593856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11.89079297342151</v>
      </c>
      <c r="AV67" s="23">
        <f>EXP(-LN(2)/25)*AV66+(1-EXP(-LN(2)/25))/(LN(2)/25)*Calculateur!AQ67*Calculateur!AS67*VLOOKUP('Données projet'!$B$9,Paramètres!$A$1:$I$88,3,0)*0.475*44/12</f>
        <v>24.820582883224649</v>
      </c>
      <c r="AW67" s="23">
        <f>EXP(-LN(2)/2)*AW66+(1-EXP(-LN(2)/2))/(LN(2)/2)*AQ67*AT67*VLOOKUP('Données projet'!$B$9,Paramètres!$A$1:$I$88,3,0)*0.475*44/12</f>
        <v>0</v>
      </c>
      <c r="AX67" s="23">
        <f t="shared" si="6"/>
        <v>36.711375856646157</v>
      </c>
      <c r="AY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4.4000000000000004</v>
      </c>
      <c r="BD67" s="13">
        <f>IF('Données projet'!$A$88&gt;35,BD66+BC67-BL66,IF(A67&lt;'Données projet'!$A$88,$BA$205^A67,IF(A67='Données projet'!$A$88,'Données projet'!$B$88,BD66+BC67-BL66)))</f>
        <v>97.400000000000077</v>
      </c>
      <c r="BE67" s="14">
        <f>BD67*VLOOKUP('Données projet'!$B$11,Paramètres!$A$1:$I$88,3,0)*VLOOKUP('Données projet'!$B$11,Paramètres!$A$1:$I$88,5,0)</f>
        <v>98.763600000000082</v>
      </c>
      <c r="BF67" s="14">
        <f t="shared" si="37"/>
        <v>26.667229358751385</v>
      </c>
      <c r="BG67" s="22">
        <f t="shared" si="7"/>
        <v>218.45869446649212</v>
      </c>
      <c r="BH67" s="61">
        <f t="shared" si="8"/>
        <v>481.88304662604685</v>
      </c>
      <c r="BI67" s="61">
        <f ca="1">AVERAGE(OFFSET($BH$3,0,0,'Données projet'!$E$11+1,1))-AVERAGE(OFFSET($H$3,0,0,'Données projet'!$E$11+1,1))</f>
        <v>433.57989081194</v>
      </c>
      <c r="BJ67" s="61">
        <f t="shared" si="38"/>
        <v>182.52060621271355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9"/>
        <v>0</v>
      </c>
      <c r="BT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1" t="e">
        <f t="shared" si="11"/>
        <v>#N/A</v>
      </c>
      <c r="CD67" s="61" t="e">
        <f ca="1">AVERAGE(OFFSET($CC$3,0,0,'Données projet'!$E$12+1,1))-AVERAGE(OFFSET($H$3,0,0,'Données projet'!$E$12+1,1))</f>
        <v>#N/A</v>
      </c>
      <c r="CE67" s="61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2"/>
        <v>0</v>
      </c>
      <c r="CO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1" t="e">
        <f t="shared" si="14"/>
        <v>#N/A</v>
      </c>
      <c r="CY67" s="61" t="e">
        <f ca="1">AVERAGE(OFFSET($CX$3,0,0,'Données projet'!$E$13+1,1))-AVERAGE(OFFSET($H$3,0,0,'Données projet'!$E$13+1,1))</f>
        <v>#N/A</v>
      </c>
      <c r="CZ67" s="61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15"/>
        <v>0</v>
      </c>
      <c r="DJ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1" t="e">
        <f t="shared" si="17"/>
        <v>#N/A</v>
      </c>
      <c r="DT67" s="61" t="e">
        <f ca="1">AVERAGE(OFFSET($DS$3,0,0,'Données projet'!$E$14+1,1))-AVERAGE(OFFSET($H$3,0,0,'Données projet'!$E$14+1,1))</f>
        <v>#N/A</v>
      </c>
      <c r="DU67" s="61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18"/>
        <v>0</v>
      </c>
      <c r="EE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1" t="e">
        <f t="shared" si="20"/>
        <v>#N/A</v>
      </c>
      <c r="EO67" s="61" t="e">
        <f ca="1">AVERAGE(OFFSET($EN$3,0,0,'Données projet'!$E$15+1,1))-AVERAGE(OFFSET($H$3,0,0,'Données projet'!$E$15+1,1))</f>
        <v>#N/A</v>
      </c>
      <c r="EP67" s="61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1"/>
        <v>0</v>
      </c>
      <c r="EZ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1" t="e">
        <f t="shared" si="23"/>
        <v>#N/A</v>
      </c>
      <c r="FJ67" s="61" t="e">
        <f ca="1">AVERAGE(OFFSET($FI$3,0,0,'Données projet'!$E$16+1,1))-AVERAGE(OFFSET($H$3,0,0,'Données projet'!$E$16+1,1))</f>
        <v>#N/A</v>
      </c>
      <c r="FK67" s="61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24"/>
        <v>0</v>
      </c>
      <c r="FU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1" t="e">
        <f t="shared" si="26"/>
        <v>#N/A</v>
      </c>
      <c r="GE67" s="61" t="e">
        <f ca="1">AVERAGE(OFFSET($GD$3,0,0,'Données projet'!$E$17+1,1))-AVERAGE(OFFSET($H$3,0,0,'Données projet'!$E$17+1,1))</f>
        <v>#N/A</v>
      </c>
      <c r="GF67" s="61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27"/>
        <v>0</v>
      </c>
      <c r="GP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1" t="e">
        <f t="shared" si="29"/>
        <v>#N/A</v>
      </c>
      <c r="GZ67" s="61" t="e">
        <f ca="1">AVERAGE(OFFSET($GY$3,0,0,'Données projet'!$E$18+1,1))-AVERAGE(OFFSET($H$3,0,0,'Données projet'!$E$18+1,1))</f>
        <v>#N/A</v>
      </c>
      <c r="HA67" s="61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30"/>
        <v>0</v>
      </c>
    </row>
    <row r="68" spans="1:218" s="5" customFormat="1" x14ac:dyDescent="0.45">
      <c r="A68" s="11">
        <f t="shared" si="31"/>
        <v>65</v>
      </c>
      <c r="B68" s="76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9">
        <f t="shared" ref="H68:H131" si="56">(B68+E68+F68)*44/12+(C68+D68)*0.475*44/12</f>
        <v>183.33333333333334</v>
      </c>
      <c r="I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484</v>
      </c>
      <c r="L68" s="13">
        <f>VLOOKUP(A68,'Données projet'!$A$35:$I$55,9,0)</f>
        <v>15.2</v>
      </c>
      <c r="M68" s="13">
        <f t="array" ref="M68">INDEX(L:L,MIN(IF(ISNUMBER(L68:L264),ROW(L68:L264),"")))</f>
        <v>15.2</v>
      </c>
      <c r="N68" s="14">
        <f>IF('Données projet'!$A$36&gt;35,N67+M68-V67,IF(A68&lt;'Données projet'!$A$36,$K$205^A68,IF(A68='Données projet'!$A$36,'Données projet'!$B$36,N67+M68-V67)))</f>
        <v>483.99999999999983</v>
      </c>
      <c r="O68" s="14">
        <f>N68*VLOOKUP('Données projet'!$B$9,Paramètres!$A$1:$I$88,3,0)*VLOOKUP('Données projet'!$B$9,Paramètres!$A$1:$I$88,5,0)</f>
        <v>289.4319999999999</v>
      </c>
      <c r="P68" s="14">
        <f t="shared" si="33"/>
        <v>68.956401961158619</v>
      </c>
      <c r="Q68" s="22">
        <f t="shared" si="54"/>
        <v>624.19313341568443</v>
      </c>
      <c r="R68" s="61">
        <f t="shared" si="55"/>
        <v>888.13633953213957</v>
      </c>
      <c r="S68" s="61">
        <f ca="1">AVERAGE(OFFSET($R$3,0,0,'Données projet'!$E$9+1,1))-AVERAGE(OFFSET($H$3,0,0,'Données projet'!$E$9+1,1))</f>
        <v>445.53168057836308</v>
      </c>
      <c r="T68" s="61">
        <f t="shared" si="34"/>
        <v>326.78684646135241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46</v>
      </c>
      <c r="W68" s="17">
        <f>IF(ISNA(VLOOKUP(A68,'Données projet'!$A$35:$I$55,5,0)),0%,VLOOKUP(A68,'Données projet'!$A$35:$I$55,5,0)*VLOOKUP('Données projet'!$B$9,Paramètres!$A$1:$I$88,7,0))</f>
        <v>0.22500000000000001</v>
      </c>
      <c r="X68" s="17">
        <f>IF(ISNA(VLOOKUP(A68,'Données projet'!$A$35:$I$55,6,0)),0%,VLOOKUP(A68,'Données projet'!$A$35:$I$55,6,0)*VLOOKUP('Données projet'!$B$9,Paramètres!$A$1:$I$88,7,0))</f>
        <v>0.18000000000000002</v>
      </c>
      <c r="Y68" s="17">
        <f>IF(ISNA(VLOOKUP(A68,'Données projet'!$A$35:$I$55,7,0)),0%,VLOOKUP(A68,'Données projet'!$A$35:$I$55,7,0))</f>
        <v>0.1</v>
      </c>
      <c r="Z68" s="23">
        <f>EXP(-LN(2)/35)*Z67+(1-EXP(-LN(2)/35))/(LN(2)/35)*V68*W68*VLOOKUP('Données projet'!$B$9,Paramètres!$A$1:$I$88,3,0)*0.475*44/12</f>
        <v>34.595085725221004</v>
      </c>
      <c r="AA68" s="23">
        <f>EXP(-LN(2)/25)*AA67+(1-EXP(-LN(2)/25))/(LN(2)/25)*Calculateur!V68*Calculateur!X68*VLOOKUP('Données projet'!$B$9,Paramètres!$A$1:$I$88,3,0)*0.475*44/12</f>
        <v>44.763115148471215</v>
      </c>
      <c r="AB68" s="23">
        <f>EXP(-LN(2)/2)*AB67+(1-EXP(-LN(2)/2))/(LN(2)/2)*V68*Y68*VLOOKUP('Données projet'!$B$9,Paramètres!$A$1:$I$88,3,0)*0.475*44/12</f>
        <v>3.7998719490387991</v>
      </c>
      <c r="AC68" s="24">
        <f t="shared" ref="AC68:AC131" si="57">SUM(Z68:AB68)</f>
        <v>83.158072822731029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13.4</v>
      </c>
      <c r="AI68" s="14">
        <f>IF('Données projet'!$A$62&gt;35,AI67+AH68-AQ67,IF(A68&lt;'Données projet'!$A$62,$AF$205^A68,IF(A68='Données projet'!$A$62,'Données projet'!$B$62,AI67+AH68-AQ67)))</f>
        <v>407.9999999999996</v>
      </c>
      <c r="AJ68" s="14">
        <f>AI68*VLOOKUP('Données projet'!$B$10,Paramètres!$A$1:$I$88,3,0)*VLOOKUP('Données projet'!$B$10,Paramètres!$A$1:$I$88,5,0)</f>
        <v>190.94399999999982</v>
      </c>
      <c r="AK68" s="14">
        <f t="shared" si="35"/>
        <v>47.748597609826554</v>
      </c>
      <c r="AL68" s="22">
        <f t="shared" ref="AL68:AL131" si="58">(AJ68+AK68)*0.475*44/12</f>
        <v>415.72294083711427</v>
      </c>
      <c r="AM68" s="61">
        <f t="shared" ref="AM68:AM131" si="59">AL68+(AD68+AE68)*44/12</f>
        <v>679.66614695356952</v>
      </c>
      <c r="AN68" s="61">
        <f ca="1">AVERAGE(OFFSET($AM$3,0,0,'Données projet'!$E$10+1,1))-AVERAGE(OFFSET($H$3,0,0,'Données projet'!$E$10+1,1))</f>
        <v>375.77859820466693</v>
      </c>
      <c r="AO68" s="61">
        <f t="shared" si="36"/>
        <v>242.84781402593856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11.657621775880287</v>
      </c>
      <c r="AV68" s="23">
        <f>EXP(-LN(2)/25)*AV67+(1-EXP(-LN(2)/25))/(LN(2)/25)*Calculateur!AQ68*Calculateur!AS68*VLOOKUP('Données projet'!$B$9,Paramètres!$A$1:$I$88,3,0)*0.475*44/12</f>
        <v>24.141862739025147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0">SUM(AU68:AW68)</f>
        <v>35.79948451490543</v>
      </c>
      <c r="AY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4.4000000000000004</v>
      </c>
      <c r="BD68" s="13">
        <f>IF('Données projet'!$A$88&gt;35,BD67+BC68-BL67,IF(A68&lt;'Données projet'!$A$88,$BA$205^A68,IF(A68='Données projet'!$A$88,'Données projet'!$B$88,BD67+BC68-BL67)))</f>
        <v>101.80000000000008</v>
      </c>
      <c r="BE68" s="14">
        <f>BD68*VLOOKUP('Données projet'!$B$11,Paramètres!$A$1:$I$88,3,0)*VLOOKUP('Données projet'!$B$11,Paramètres!$A$1:$I$88,5,0)</f>
        <v>103.2252000000001</v>
      </c>
      <c r="BF68" s="14">
        <f t="shared" si="37"/>
        <v>27.728931732779039</v>
      </c>
      <c r="BG68" s="22">
        <f t="shared" ref="BG68:BG131" si="61">(BE68+BF68)*0.475*44/12</f>
        <v>228.07844610125699</v>
      </c>
      <c r="BH68" s="61">
        <f t="shared" ref="BH68:BH131" si="62">BG68+(AY68+AZ68)*44/12</f>
        <v>492.02165221771219</v>
      </c>
      <c r="BI68" s="61">
        <f ca="1">AVERAGE(OFFSET($BH$3,0,0,'Données projet'!$E$11+1,1))-AVERAGE(OFFSET($H$3,0,0,'Données projet'!$E$11+1,1))</f>
        <v>433.57989081194</v>
      </c>
      <c r="BJ68" s="61">
        <f t="shared" si="38"/>
        <v>182.52060621271355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3">SUM(BP68:BR68)</f>
        <v>0</v>
      </c>
      <c r="BT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1" t="e">
        <f t="shared" ref="CC68:CC131" si="65">CB68+(BT68+BU68)*44/12</f>
        <v>#N/A</v>
      </c>
      <c r="CD68" s="61" t="e">
        <f ca="1">AVERAGE(OFFSET($CC$3,0,0,'Données projet'!$E$12+1,1))-AVERAGE(OFFSET($H$3,0,0,'Données projet'!$E$12+1,1))</f>
        <v>#N/A</v>
      </c>
      <c r="CE68" s="61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66">SUM(CK68:CM68)</f>
        <v>0</v>
      </c>
      <c r="CO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1" t="e">
        <f t="shared" ref="CX68:CX131" si="68">CW68+(CO68+CP68)*44/12</f>
        <v>#N/A</v>
      </c>
      <c r="CY68" s="61" t="e">
        <f ca="1">AVERAGE(OFFSET($CX$3,0,0,'Données projet'!$E$13+1,1))-AVERAGE(OFFSET($H$3,0,0,'Données projet'!$E$13+1,1))</f>
        <v>#N/A</v>
      </c>
      <c r="CZ68" s="61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69">SUM(DF68:DH68)</f>
        <v>0</v>
      </c>
      <c r="DJ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1" t="e">
        <f t="shared" ref="DS68:DS131" si="71">DR68+(DJ68+DK68)*44/12</f>
        <v>#N/A</v>
      </c>
      <c r="DT68" s="61" t="e">
        <f ca="1">AVERAGE(OFFSET($DS$3,0,0,'Données projet'!$E$14+1,1))-AVERAGE(OFFSET($H$3,0,0,'Données projet'!$E$14+1,1))</f>
        <v>#N/A</v>
      </c>
      <c r="DU68" s="61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2">SUM(EA68:EC68)</f>
        <v>0</v>
      </c>
      <c r="EE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1" t="e">
        <f t="shared" ref="EN68:EN131" si="74">EM68+(EE68+EF68)*44/12</f>
        <v>#N/A</v>
      </c>
      <c r="EO68" s="61" t="e">
        <f ca="1">AVERAGE(OFFSET($EN$3,0,0,'Données projet'!$E$15+1,1))-AVERAGE(OFFSET($H$3,0,0,'Données projet'!$E$15+1,1))</f>
        <v>#N/A</v>
      </c>
      <c r="EP68" s="61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75">SUM(EV68:EX68)</f>
        <v>0</v>
      </c>
      <c r="EZ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1" t="e">
        <f t="shared" ref="FI68:FI131" si="77">FH68+(EZ68+FA68)*44/12</f>
        <v>#N/A</v>
      </c>
      <c r="FJ68" s="61" t="e">
        <f ca="1">AVERAGE(OFFSET($FI$3,0,0,'Données projet'!$E$16+1,1))-AVERAGE(OFFSET($H$3,0,0,'Données projet'!$E$16+1,1))</f>
        <v>#N/A</v>
      </c>
      <c r="FK68" s="61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78">SUM(FQ68:FS68)</f>
        <v>0</v>
      </c>
      <c r="FU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1" t="e">
        <f t="shared" ref="GD68:GD131" si="80">GC68+(FU68+FV68)*44/12</f>
        <v>#N/A</v>
      </c>
      <c r="GE68" s="61" t="e">
        <f ca="1">AVERAGE(OFFSET($GD$3,0,0,'Données projet'!$E$17+1,1))-AVERAGE(OFFSET($H$3,0,0,'Données projet'!$E$17+1,1))</f>
        <v>#N/A</v>
      </c>
      <c r="GF68" s="61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81">SUM(GL68:GN68)</f>
        <v>0</v>
      </c>
      <c r="GP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1" t="e">
        <f t="shared" ref="GY68:GY131" si="83">GX68+(GP68+GQ68)*44/12</f>
        <v>#N/A</v>
      </c>
      <c r="GZ68" s="61" t="e">
        <f ca="1">AVERAGE(OFFSET($GY$3,0,0,'Données projet'!$E$18+1,1))-AVERAGE(OFFSET($H$3,0,0,'Données projet'!$E$18+1,1))</f>
        <v>#N/A</v>
      </c>
      <c r="HA68" s="61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84">SUM(HG68:HI68)</f>
        <v>0</v>
      </c>
    </row>
    <row r="69" spans="1:218" s="5" customFormat="1" x14ac:dyDescent="0.45">
      <c r="A69" s="11">
        <f t="shared" ref="A69:A132" si="85">A68+1</f>
        <v>66</v>
      </c>
      <c r="B69" s="76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9">
        <f t="shared" si="56"/>
        <v>183.33333333333334</v>
      </c>
      <c r="I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14.4</v>
      </c>
      <c r="N69" s="14">
        <f>IF('Données projet'!$A$36&gt;35,N68+M69-V68,IF(A69&lt;'Données projet'!$A$36,$K$205^A69,IF(A69='Données projet'!$A$36,'Données projet'!$B$36,N68+M69-V68)))</f>
        <v>452.39999999999981</v>
      </c>
      <c r="O69" s="14">
        <f>N69*VLOOKUP('Données projet'!$B$9,Paramètres!$A$1:$I$88,3,0)*VLOOKUP('Données projet'!$B$9,Paramètres!$A$1:$I$88,5,0)</f>
        <v>270.53519999999992</v>
      </c>
      <c r="P69" s="14">
        <f t="shared" ref="P69:P132" si="87">EXP(-1.0587+0.8836*LN(O69)+0.284)</f>
        <v>64.962839141501405</v>
      </c>
      <c r="Q69" s="22">
        <f t="shared" si="54"/>
        <v>584.32575150478135</v>
      </c>
      <c r="R69" s="61">
        <f t="shared" si="55"/>
        <v>848.77881062196843</v>
      </c>
      <c r="S69" s="61">
        <f ca="1">AVERAGE(OFFSET($R$3,0,0,'Données projet'!$E$9+1,1))-AVERAGE(OFFSET($H$3,0,0,'Données projet'!$E$9+1,1))</f>
        <v>445.53168057836308</v>
      </c>
      <c r="T69" s="61">
        <f t="shared" ref="T69:T132" si="88">$T$3</f>
        <v>326.78684646135241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33.916697195068167</v>
      </c>
      <c r="AA69" s="23">
        <f>EXP(-LN(2)/25)*AA68+(1-EXP(-LN(2)/25))/(LN(2)/25)*Calculateur!V69*Calculateur!X69*VLOOKUP('Données projet'!$B$9,Paramètres!$A$1:$I$88,3,0)*0.475*44/12</f>
        <v>43.539065410746353</v>
      </c>
      <c r="AB69" s="23">
        <f>EXP(-LN(2)/2)*AB68+(1-EXP(-LN(2)/2))/(LN(2)/2)*V69*Y69*VLOOKUP('Données projet'!$B$9,Paramètres!$A$1:$I$88,3,0)*0.475*44/12</f>
        <v>2.6869152228058781</v>
      </c>
      <c r="AC69" s="24">
        <f t="shared" si="57"/>
        <v>80.142677828620407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13.4</v>
      </c>
      <c r="AI69" s="14">
        <f>IF('Données projet'!$A$62&gt;35,AI68+AH69-AQ68,IF(A69&lt;'Données projet'!$A$62,$AF$205^A69,IF(A69='Données projet'!$A$62,'Données projet'!$B$62,AI68+AH69-AQ68)))</f>
        <v>421.39999999999958</v>
      </c>
      <c r="AJ69" s="14">
        <f>AI69*VLOOKUP('Données projet'!$B$10,Paramètres!$A$1:$I$88,3,0)*VLOOKUP('Données projet'!$B$10,Paramètres!$A$1:$I$88,5,0)</f>
        <v>197.21519999999978</v>
      </c>
      <c r="AK69" s="14">
        <f t="shared" ref="AK69:AK132" si="89">EXP(-1.0587+0.8836*LN(AJ69)+0.284)</f>
        <v>49.131654421367571</v>
      </c>
      <c r="AL69" s="22">
        <f t="shared" si="58"/>
        <v>429.05410478388148</v>
      </c>
      <c r="AM69" s="61">
        <f t="shared" si="59"/>
        <v>693.50716390106857</v>
      </c>
      <c r="AN69" s="61">
        <f ca="1">AVERAGE(OFFSET($AM$3,0,0,'Données projet'!$E$10+1,1))-AVERAGE(OFFSET($H$3,0,0,'Données projet'!$E$10+1,1))</f>
        <v>375.77859820466693</v>
      </c>
      <c r="AO69" s="61">
        <f t="shared" ref="AO69:AO132" si="90">$AO$3</f>
        <v>242.84781402593856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11.42902292330246</v>
      </c>
      <c r="AV69" s="23">
        <f>EXP(-LN(2)/25)*AV68+(1-EXP(-LN(2)/25))/(LN(2)/25)*Calculateur!AQ69*Calculateur!AS69*VLOOKUP('Données projet'!$B$9,Paramètres!$A$1:$I$88,3,0)*0.475*44/12</f>
        <v>23.481702232861121</v>
      </c>
      <c r="AW69" s="23">
        <f>EXP(-LN(2)/2)*AW68+(1-EXP(-LN(2)/2))/(LN(2)/2)*AQ69*AT69*VLOOKUP('Données projet'!$B$9,Paramètres!$A$1:$I$88,3,0)*0.475*44/12</f>
        <v>0</v>
      </c>
      <c r="AX69" s="23">
        <f t="shared" si="60"/>
        <v>34.910725156163579</v>
      </c>
      <c r="AY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4.4000000000000004</v>
      </c>
      <c r="BD69" s="13">
        <f>IF('Données projet'!$A$88&gt;35,BD68+BC69-BL68,IF(A69&lt;'Données projet'!$A$88,$BA$205^A69,IF(A69='Données projet'!$A$88,'Données projet'!$B$88,BD68+BC69-BL68)))</f>
        <v>106.20000000000009</v>
      </c>
      <c r="BE69" s="14">
        <f>BD69*VLOOKUP('Données projet'!$B$11,Paramètres!$A$1:$I$88,3,0)*VLOOKUP('Données projet'!$B$11,Paramètres!$A$1:$I$88,5,0)</f>
        <v>107.68680000000009</v>
      </c>
      <c r="BF69" s="14">
        <f t="shared" ref="BF69:BF132" si="91">EXP(-1.0587+0.8836*LN(BE69)+0.284)</f>
        <v>28.785304299995154</v>
      </c>
      <c r="BG69" s="22">
        <f t="shared" si="61"/>
        <v>237.68891498915841</v>
      </c>
      <c r="BH69" s="61">
        <f t="shared" si="62"/>
        <v>502.14197410634551</v>
      </c>
      <c r="BI69" s="61">
        <f ca="1">AVERAGE(OFFSET($BH$3,0,0,'Données projet'!$E$11+1,1))-AVERAGE(OFFSET($H$3,0,0,'Données projet'!$E$11+1,1))</f>
        <v>433.57989081194</v>
      </c>
      <c r="BJ69" s="61">
        <f t="shared" ref="BJ69:BJ132" si="92">$BJ$3</f>
        <v>182.52060621271355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3"/>
        <v>0</v>
      </c>
      <c r="BT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1" t="e">
        <f t="shared" si="65"/>
        <v>#N/A</v>
      </c>
      <c r="CD69" s="61" t="e">
        <f ca="1">AVERAGE(OFFSET($CC$3,0,0,'Données projet'!$E$12+1,1))-AVERAGE(OFFSET($H$3,0,0,'Données projet'!$E$12+1,1))</f>
        <v>#N/A</v>
      </c>
      <c r="CE69" s="61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66"/>
        <v>0</v>
      </c>
      <c r="CO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1" t="e">
        <f t="shared" si="68"/>
        <v>#N/A</v>
      </c>
      <c r="CY69" s="61" t="e">
        <f ca="1">AVERAGE(OFFSET($CX$3,0,0,'Données projet'!$E$13+1,1))-AVERAGE(OFFSET($H$3,0,0,'Données projet'!$E$13+1,1))</f>
        <v>#N/A</v>
      </c>
      <c r="CZ69" s="61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69"/>
        <v>0</v>
      </c>
      <c r="DJ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1" t="e">
        <f t="shared" si="71"/>
        <v>#N/A</v>
      </c>
      <c r="DT69" s="61" t="e">
        <f ca="1">AVERAGE(OFFSET($DS$3,0,0,'Données projet'!$E$14+1,1))-AVERAGE(OFFSET($H$3,0,0,'Données projet'!$E$14+1,1))</f>
        <v>#N/A</v>
      </c>
      <c r="DU69" s="61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2"/>
        <v>0</v>
      </c>
      <c r="EE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1" t="e">
        <f t="shared" si="74"/>
        <v>#N/A</v>
      </c>
      <c r="EO69" s="61" t="e">
        <f ca="1">AVERAGE(OFFSET($EN$3,0,0,'Données projet'!$E$15+1,1))-AVERAGE(OFFSET($H$3,0,0,'Données projet'!$E$15+1,1))</f>
        <v>#N/A</v>
      </c>
      <c r="EP69" s="61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75"/>
        <v>0</v>
      </c>
      <c r="EZ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1" t="e">
        <f t="shared" si="77"/>
        <v>#N/A</v>
      </c>
      <c r="FJ69" s="61" t="e">
        <f ca="1">AVERAGE(OFFSET($FI$3,0,0,'Données projet'!$E$16+1,1))-AVERAGE(OFFSET($H$3,0,0,'Données projet'!$E$16+1,1))</f>
        <v>#N/A</v>
      </c>
      <c r="FK69" s="61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78"/>
        <v>0</v>
      </c>
      <c r="FU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1" t="e">
        <f t="shared" si="80"/>
        <v>#N/A</v>
      </c>
      <c r="GE69" s="61" t="e">
        <f ca="1">AVERAGE(OFFSET($GD$3,0,0,'Données projet'!$E$17+1,1))-AVERAGE(OFFSET($H$3,0,0,'Données projet'!$E$17+1,1))</f>
        <v>#N/A</v>
      </c>
      <c r="GF69" s="61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81"/>
        <v>0</v>
      </c>
      <c r="GP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1" t="e">
        <f t="shared" si="83"/>
        <v>#N/A</v>
      </c>
      <c r="GZ69" s="61" t="e">
        <f ca="1">AVERAGE(OFFSET($GY$3,0,0,'Données projet'!$E$18+1,1))-AVERAGE(OFFSET($H$3,0,0,'Données projet'!$E$18+1,1))</f>
        <v>#N/A</v>
      </c>
      <c r="HA69" s="61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84"/>
        <v>0</v>
      </c>
    </row>
    <row r="70" spans="1:218" s="5" customFormat="1" x14ac:dyDescent="0.45">
      <c r="A70" s="11">
        <f t="shared" si="85"/>
        <v>67</v>
      </c>
      <c r="B70" s="76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9">
        <f t="shared" si="56"/>
        <v>183.33333333333334</v>
      </c>
      <c r="I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14.4</v>
      </c>
      <c r="N70" s="14">
        <f>IF('Données projet'!$A$36&gt;35,N69+M70-V69,IF(A70&lt;'Données projet'!$A$36,$K$205^A70,IF(A70='Données projet'!$A$36,'Données projet'!$B$36,N69+M70-V69)))</f>
        <v>466.79999999999978</v>
      </c>
      <c r="O70" s="14">
        <f>N70*VLOOKUP('Données projet'!$B$9,Paramètres!$A$1:$I$88,3,0)*VLOOKUP('Données projet'!$B$9,Paramètres!$A$1:$I$88,5,0)</f>
        <v>279.14639999999991</v>
      </c>
      <c r="P70" s="14">
        <f t="shared" si="87"/>
        <v>66.786586620573985</v>
      </c>
      <c r="Q70" s="22">
        <f t="shared" si="54"/>
        <v>602.49995169749945</v>
      </c>
      <c r="R70" s="61">
        <f t="shared" si="55"/>
        <v>867.45401900571642</v>
      </c>
      <c r="S70" s="61">
        <f ca="1">AVERAGE(OFFSET($R$3,0,0,'Données projet'!$E$9+1,1))-AVERAGE(OFFSET($H$3,0,0,'Données projet'!$E$9+1,1))</f>
        <v>445.53168057836308</v>
      </c>
      <c r="T70" s="61">
        <f t="shared" si="88"/>
        <v>326.78684646135241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33.251611450215485</v>
      </c>
      <c r="AA70" s="23">
        <f>EXP(-LN(2)/25)*AA69+(1-EXP(-LN(2)/25))/(LN(2)/25)*Calculateur!V70*Calculateur!X70*VLOOKUP('Données projet'!$B$9,Paramètres!$A$1:$I$88,3,0)*0.475*44/12</f>
        <v>42.348487377469553</v>
      </c>
      <c r="AB70" s="23">
        <f>EXP(-LN(2)/2)*AB69+(1-EXP(-LN(2)/2))/(LN(2)/2)*V70*Y70*VLOOKUP('Données projet'!$B$9,Paramètres!$A$1:$I$88,3,0)*0.475*44/12</f>
        <v>1.8999359745193998</v>
      </c>
      <c r="AC70" s="24">
        <f t="shared" si="57"/>
        <v>77.500034802204425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13.4</v>
      </c>
      <c r="AI70" s="14">
        <f>IF('Données projet'!$A$62&gt;35,AI69+AH70-AQ69,IF(A70&lt;'Données projet'!$A$62,$AF$205^A70,IF(A70='Données projet'!$A$62,'Données projet'!$B$62,AI69+AH70-AQ69)))</f>
        <v>434.79999999999956</v>
      </c>
      <c r="AJ70" s="14">
        <f>AI70*VLOOKUP('Données projet'!$B$10,Paramètres!$A$1:$I$88,3,0)*VLOOKUP('Données projet'!$B$10,Paramètres!$A$1:$I$88,5,0)</f>
        <v>203.48639999999978</v>
      </c>
      <c r="AK70" s="14">
        <f t="shared" si="89"/>
        <v>50.509600571557783</v>
      </c>
      <c r="AL70" s="22">
        <f t="shared" si="58"/>
        <v>442.37636766212933</v>
      </c>
      <c r="AM70" s="61">
        <f t="shared" si="59"/>
        <v>707.33043497034623</v>
      </c>
      <c r="AN70" s="61">
        <f ca="1">AVERAGE(OFFSET($AM$3,0,0,'Données projet'!$E$10+1,1))-AVERAGE(OFFSET($H$3,0,0,'Données projet'!$E$10+1,1))</f>
        <v>375.77859820466693</v>
      </c>
      <c r="AO70" s="61">
        <f t="shared" si="90"/>
        <v>242.84781402593856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11.204906754792152</v>
      </c>
      <c r="AV70" s="23">
        <f>EXP(-LN(2)/25)*AV69+(1-EXP(-LN(2)/25))/(LN(2)/25)*Calculateur!AQ70*Calculateur!AS70*VLOOKUP('Données projet'!$B$9,Paramètres!$A$1:$I$88,3,0)*0.475*44/12</f>
        <v>22.839593850454481</v>
      </c>
      <c r="AW70" s="23">
        <f>EXP(-LN(2)/2)*AW69+(1-EXP(-LN(2)/2))/(LN(2)/2)*AQ70*AT70*VLOOKUP('Données projet'!$B$9,Paramètres!$A$1:$I$88,3,0)*0.475*44/12</f>
        <v>0</v>
      </c>
      <c r="AX70" s="23">
        <f t="shared" si="60"/>
        <v>34.044500605246633</v>
      </c>
      <c r="AY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4.4000000000000004</v>
      </c>
      <c r="BD70" s="13">
        <f>IF('Données projet'!$A$88&gt;35,BD69+BC70-BL69,IF(A70&lt;'Données projet'!$A$88,$BA$205^A70,IF(A70='Données projet'!$A$88,'Données projet'!$B$88,BD69+BC70-BL69)))</f>
        <v>110.60000000000009</v>
      </c>
      <c r="BE70" s="14">
        <f>BD70*VLOOKUP('Données projet'!$B$11,Paramètres!$A$1:$I$88,3,0)*VLOOKUP('Données projet'!$B$11,Paramètres!$A$1:$I$88,5,0)</f>
        <v>112.14840000000009</v>
      </c>
      <c r="BF70" s="14">
        <f t="shared" si="91"/>
        <v>29.836593134618905</v>
      </c>
      <c r="BG70" s="22">
        <f t="shared" si="61"/>
        <v>247.29052970946142</v>
      </c>
      <c r="BH70" s="61">
        <f t="shared" si="62"/>
        <v>512.2445970176783</v>
      </c>
      <c r="BI70" s="61">
        <f ca="1">AVERAGE(OFFSET($BH$3,0,0,'Données projet'!$E$11+1,1))-AVERAGE(OFFSET($H$3,0,0,'Données projet'!$E$11+1,1))</f>
        <v>433.57989081194</v>
      </c>
      <c r="BJ70" s="61">
        <f t="shared" si="92"/>
        <v>182.52060621271355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3"/>
        <v>0</v>
      </c>
      <c r="BT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1" t="e">
        <f t="shared" si="65"/>
        <v>#N/A</v>
      </c>
      <c r="CD70" s="61" t="e">
        <f ca="1">AVERAGE(OFFSET($CC$3,0,0,'Données projet'!$E$12+1,1))-AVERAGE(OFFSET($H$3,0,0,'Données projet'!$E$12+1,1))</f>
        <v>#N/A</v>
      </c>
      <c r="CE70" s="61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66"/>
        <v>0</v>
      </c>
      <c r="CO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1" t="e">
        <f t="shared" si="68"/>
        <v>#N/A</v>
      </c>
      <c r="CY70" s="61" t="e">
        <f ca="1">AVERAGE(OFFSET($CX$3,0,0,'Données projet'!$E$13+1,1))-AVERAGE(OFFSET($H$3,0,0,'Données projet'!$E$13+1,1))</f>
        <v>#N/A</v>
      </c>
      <c r="CZ70" s="61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69"/>
        <v>0</v>
      </c>
      <c r="DJ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1" t="e">
        <f t="shared" si="71"/>
        <v>#N/A</v>
      </c>
      <c r="DT70" s="61" t="e">
        <f ca="1">AVERAGE(OFFSET($DS$3,0,0,'Données projet'!$E$14+1,1))-AVERAGE(OFFSET($H$3,0,0,'Données projet'!$E$14+1,1))</f>
        <v>#N/A</v>
      </c>
      <c r="DU70" s="61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2"/>
        <v>0</v>
      </c>
      <c r="EE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1" t="e">
        <f t="shared" si="74"/>
        <v>#N/A</v>
      </c>
      <c r="EO70" s="61" t="e">
        <f ca="1">AVERAGE(OFFSET($EN$3,0,0,'Données projet'!$E$15+1,1))-AVERAGE(OFFSET($H$3,0,0,'Données projet'!$E$15+1,1))</f>
        <v>#N/A</v>
      </c>
      <c r="EP70" s="61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75"/>
        <v>0</v>
      </c>
      <c r="EZ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1" t="e">
        <f t="shared" si="77"/>
        <v>#N/A</v>
      </c>
      <c r="FJ70" s="61" t="e">
        <f ca="1">AVERAGE(OFFSET($FI$3,0,0,'Données projet'!$E$16+1,1))-AVERAGE(OFFSET($H$3,0,0,'Données projet'!$E$16+1,1))</f>
        <v>#N/A</v>
      </c>
      <c r="FK70" s="61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78"/>
        <v>0</v>
      </c>
      <c r="FU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1" t="e">
        <f t="shared" si="80"/>
        <v>#N/A</v>
      </c>
      <c r="GE70" s="61" t="e">
        <f ca="1">AVERAGE(OFFSET($GD$3,0,0,'Données projet'!$E$17+1,1))-AVERAGE(OFFSET($H$3,0,0,'Données projet'!$E$17+1,1))</f>
        <v>#N/A</v>
      </c>
      <c r="GF70" s="61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81"/>
        <v>0</v>
      </c>
      <c r="GP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1" t="e">
        <f t="shared" si="83"/>
        <v>#N/A</v>
      </c>
      <c r="GZ70" s="61" t="e">
        <f ca="1">AVERAGE(OFFSET($GY$3,0,0,'Données projet'!$E$18+1,1))-AVERAGE(OFFSET($H$3,0,0,'Données projet'!$E$18+1,1))</f>
        <v>#N/A</v>
      </c>
      <c r="HA70" s="61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84"/>
        <v>0</v>
      </c>
    </row>
    <row r="71" spans="1:218" s="5" customFormat="1" x14ac:dyDescent="0.45">
      <c r="A71" s="11">
        <f t="shared" si="85"/>
        <v>68</v>
      </c>
      <c r="B71" s="76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9">
        <f t="shared" si="56"/>
        <v>183.33333333333334</v>
      </c>
      <c r="I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14.4</v>
      </c>
      <c r="N71" s="14">
        <f>IF('Données projet'!$A$36&gt;35,N70+M71-V70,IF(A71&lt;'Données projet'!$A$36,$K$205^A71,IF(A71='Données projet'!$A$36,'Données projet'!$B$36,N70+M71-V70)))</f>
        <v>481.19999999999976</v>
      </c>
      <c r="O71" s="14">
        <f>N71*VLOOKUP('Données projet'!$B$9,Paramètres!$A$1:$I$88,3,0)*VLOOKUP('Données projet'!$B$9,Paramètres!$A$1:$I$88,5,0)</f>
        <v>287.75759999999985</v>
      </c>
      <c r="P71" s="14">
        <f t="shared" si="87"/>
        <v>68.603796134155871</v>
      </c>
      <c r="Q71" s="22">
        <f t="shared" si="54"/>
        <v>620.66276493365456</v>
      </c>
      <c r="R71" s="61">
        <f t="shared" si="55"/>
        <v>886.10914906087339</v>
      </c>
      <c r="S71" s="61">
        <f ca="1">AVERAGE(OFFSET($R$3,0,0,'Données projet'!$E$9+1,1))-AVERAGE(OFFSET($H$3,0,0,'Données projet'!$E$9+1,1))</f>
        <v>445.53168057836308</v>
      </c>
      <c r="T71" s="61">
        <f t="shared" si="88"/>
        <v>326.78684646135241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32.599567631157115</v>
      </c>
      <c r="AA71" s="23">
        <f>EXP(-LN(2)/25)*AA70+(1-EXP(-LN(2)/25))/(LN(2)/25)*Calculateur!V71*Calculateur!X71*VLOOKUP('Données projet'!$B$9,Paramètres!$A$1:$I$88,3,0)*0.475*44/12</f>
        <v>41.190465763122482</v>
      </c>
      <c r="AB71" s="23">
        <f>EXP(-LN(2)/2)*AB70+(1-EXP(-LN(2)/2))/(LN(2)/2)*V71*Y71*VLOOKUP('Données projet'!$B$9,Paramètres!$A$1:$I$88,3,0)*0.475*44/12</f>
        <v>1.3434576114029393</v>
      </c>
      <c r="AC71" s="24">
        <f t="shared" si="57"/>
        <v>75.133491005682529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13.4</v>
      </c>
      <c r="AI71" s="14">
        <f>IF('Données projet'!$A$62&gt;35,AI70+AH71-AQ70,IF(A71&lt;'Données projet'!$A$62,$AF$205^A71,IF(A71='Données projet'!$A$62,'Données projet'!$B$62,AI70+AH71-AQ70)))</f>
        <v>448.19999999999953</v>
      </c>
      <c r="AJ71" s="14">
        <f>AI71*VLOOKUP('Données projet'!$B$10,Paramètres!$A$1:$I$88,3,0)*VLOOKUP('Données projet'!$B$10,Paramètres!$A$1:$I$88,5,0)</f>
        <v>209.7575999999998</v>
      </c>
      <c r="AK71" s="14">
        <f t="shared" si="89"/>
        <v>51.88261163954845</v>
      </c>
      <c r="AL71" s="22">
        <f t="shared" si="58"/>
        <v>455.69003527221315</v>
      </c>
      <c r="AM71" s="61">
        <f t="shared" si="59"/>
        <v>721.13641939943204</v>
      </c>
      <c r="AN71" s="61">
        <f ca="1">AVERAGE(OFFSET($AM$3,0,0,'Données projet'!$E$10+1,1))-AVERAGE(OFFSET($H$3,0,0,'Données projet'!$E$10+1,1))</f>
        <v>375.77859820466693</v>
      </c>
      <c r="AO71" s="61">
        <f t="shared" si="90"/>
        <v>242.84781402593856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10.985185367648965</v>
      </c>
      <c r="AV71" s="23">
        <f>EXP(-LN(2)/25)*AV70+(1-EXP(-LN(2)/25))/(LN(2)/25)*Calculateur!AQ71*Calculateur!AS71*VLOOKUP('Données projet'!$B$9,Paramètres!$A$1:$I$88,3,0)*0.475*44/12</f>
        <v>22.215043955531762</v>
      </c>
      <c r="AW71" s="23">
        <f>EXP(-LN(2)/2)*AW70+(1-EXP(-LN(2)/2))/(LN(2)/2)*AQ71*AT71*VLOOKUP('Données projet'!$B$9,Paramètres!$A$1:$I$88,3,0)*0.475*44/12</f>
        <v>0</v>
      </c>
      <c r="AX71" s="23">
        <f t="shared" si="60"/>
        <v>33.200229323180729</v>
      </c>
      <c r="AY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4.4000000000000004</v>
      </c>
      <c r="BD71" s="13">
        <f>IF('Données projet'!$A$88&gt;35,BD70+BC71-BL70,IF(A71&lt;'Données projet'!$A$88,$BA$205^A71,IF(A71='Données projet'!$A$88,'Données projet'!$B$88,BD70+BC71-BL70)))</f>
        <v>115.0000000000001</v>
      </c>
      <c r="BE71" s="14">
        <f>BD71*VLOOKUP('Données projet'!$B$11,Paramètres!$A$1:$I$88,3,0)*VLOOKUP('Données projet'!$B$11,Paramètres!$A$1:$I$88,5,0)</f>
        <v>116.61000000000011</v>
      </c>
      <c r="BF71" s="14">
        <f t="shared" si="91"/>
        <v>30.883023623411002</v>
      </c>
      <c r="BG71" s="22">
        <f t="shared" si="61"/>
        <v>256.88368281077436</v>
      </c>
      <c r="BH71" s="61">
        <f t="shared" si="62"/>
        <v>522.33006693799325</v>
      </c>
      <c r="BI71" s="61">
        <f ca="1">AVERAGE(OFFSET($BH$3,0,0,'Données projet'!$E$11+1,1))-AVERAGE(OFFSET($H$3,0,0,'Données projet'!$E$11+1,1))</f>
        <v>433.57989081194</v>
      </c>
      <c r="BJ71" s="61">
        <f t="shared" si="92"/>
        <v>182.52060621271355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3"/>
        <v>0</v>
      </c>
      <c r="BT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1" t="e">
        <f t="shared" si="65"/>
        <v>#N/A</v>
      </c>
      <c r="CD71" s="61" t="e">
        <f ca="1">AVERAGE(OFFSET($CC$3,0,0,'Données projet'!$E$12+1,1))-AVERAGE(OFFSET($H$3,0,0,'Données projet'!$E$12+1,1))</f>
        <v>#N/A</v>
      </c>
      <c r="CE71" s="61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66"/>
        <v>0</v>
      </c>
      <c r="CO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1" t="e">
        <f t="shared" si="68"/>
        <v>#N/A</v>
      </c>
      <c r="CY71" s="61" t="e">
        <f ca="1">AVERAGE(OFFSET($CX$3,0,0,'Données projet'!$E$13+1,1))-AVERAGE(OFFSET($H$3,0,0,'Données projet'!$E$13+1,1))</f>
        <v>#N/A</v>
      </c>
      <c r="CZ71" s="61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69"/>
        <v>0</v>
      </c>
      <c r="DJ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1" t="e">
        <f t="shared" si="71"/>
        <v>#N/A</v>
      </c>
      <c r="DT71" s="61" t="e">
        <f ca="1">AVERAGE(OFFSET($DS$3,0,0,'Données projet'!$E$14+1,1))-AVERAGE(OFFSET($H$3,0,0,'Données projet'!$E$14+1,1))</f>
        <v>#N/A</v>
      </c>
      <c r="DU71" s="61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2"/>
        <v>0</v>
      </c>
      <c r="EE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1" t="e">
        <f t="shared" si="74"/>
        <v>#N/A</v>
      </c>
      <c r="EO71" s="61" t="e">
        <f ca="1">AVERAGE(OFFSET($EN$3,0,0,'Données projet'!$E$15+1,1))-AVERAGE(OFFSET($H$3,0,0,'Données projet'!$E$15+1,1))</f>
        <v>#N/A</v>
      </c>
      <c r="EP71" s="61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75"/>
        <v>0</v>
      </c>
      <c r="EZ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1" t="e">
        <f t="shared" si="77"/>
        <v>#N/A</v>
      </c>
      <c r="FJ71" s="61" t="e">
        <f ca="1">AVERAGE(OFFSET($FI$3,0,0,'Données projet'!$E$16+1,1))-AVERAGE(OFFSET($H$3,0,0,'Données projet'!$E$16+1,1))</f>
        <v>#N/A</v>
      </c>
      <c r="FK71" s="61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78"/>
        <v>0</v>
      </c>
      <c r="FU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1" t="e">
        <f t="shared" si="80"/>
        <v>#N/A</v>
      </c>
      <c r="GE71" s="61" t="e">
        <f ca="1">AVERAGE(OFFSET($GD$3,0,0,'Données projet'!$E$17+1,1))-AVERAGE(OFFSET($H$3,0,0,'Données projet'!$E$17+1,1))</f>
        <v>#N/A</v>
      </c>
      <c r="GF71" s="61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81"/>
        <v>0</v>
      </c>
      <c r="GP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1" t="e">
        <f t="shared" si="83"/>
        <v>#N/A</v>
      </c>
      <c r="GZ71" s="61" t="e">
        <f ca="1">AVERAGE(OFFSET($GY$3,0,0,'Données projet'!$E$18+1,1))-AVERAGE(OFFSET($H$3,0,0,'Données projet'!$E$18+1,1))</f>
        <v>#N/A</v>
      </c>
      <c r="HA71" s="61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84"/>
        <v>0</v>
      </c>
    </row>
    <row r="72" spans="1:218" s="5" customFormat="1" x14ac:dyDescent="0.45">
      <c r="A72" s="11">
        <f t="shared" si="85"/>
        <v>69</v>
      </c>
      <c r="B72" s="76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9">
        <f t="shared" si="56"/>
        <v>183.33333333333334</v>
      </c>
      <c r="I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14.4</v>
      </c>
      <c r="N72" s="14">
        <f>IF('Données projet'!$A$36&gt;35,N71+M72-V71,IF(A72&lt;'Données projet'!$A$36,$K$205^A72,IF(A72='Données projet'!$A$36,'Données projet'!$B$36,N71+M72-V71)))</f>
        <v>495.59999999999974</v>
      </c>
      <c r="O72" s="14">
        <f>N72*VLOOKUP('Données projet'!$B$9,Paramètres!$A$1:$I$88,3,0)*VLOOKUP('Données projet'!$B$9,Paramètres!$A$1:$I$88,5,0)</f>
        <v>296.36879999999985</v>
      </c>
      <c r="P72" s="14">
        <f t="shared" si="87"/>
        <v>70.414685791765493</v>
      </c>
      <c r="Q72" s="22">
        <f t="shared" si="54"/>
        <v>638.81457108732457</v>
      </c>
      <c r="R72" s="61">
        <f t="shared" si="55"/>
        <v>904.74473143739112</v>
      </c>
      <c r="S72" s="61">
        <f ca="1">AVERAGE(OFFSET($R$3,0,0,'Données projet'!$E$9+1,1))-AVERAGE(OFFSET($H$3,0,0,'Données projet'!$E$9+1,1))</f>
        <v>445.53168057836308</v>
      </c>
      <c r="T72" s="61">
        <f t="shared" si="88"/>
        <v>326.78684646135241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31.960309993683019</v>
      </c>
      <c r="AA72" s="23">
        <f>EXP(-LN(2)/25)*AA71+(1-EXP(-LN(2)/25))/(LN(2)/25)*Calculateur!V72*Calculateur!X72*VLOOKUP('Données projet'!$B$9,Paramètres!$A$1:$I$88,3,0)*0.475*44/12</f>
        <v>40.064110310717446</v>
      </c>
      <c r="AB72" s="23">
        <f>EXP(-LN(2)/2)*AB71+(1-EXP(-LN(2)/2))/(LN(2)/2)*V72*Y72*VLOOKUP('Données projet'!$B$9,Paramètres!$A$1:$I$88,3,0)*0.475*44/12</f>
        <v>0.9499679872597</v>
      </c>
      <c r="AC72" s="24">
        <f t="shared" si="57"/>
        <v>72.974388291660162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13.4</v>
      </c>
      <c r="AI72" s="14">
        <f>IF('Données projet'!$A$62&gt;35,AI71+AH72-AQ71,IF(A72&lt;'Données projet'!$A$62,$AF$205^A72,IF(A72='Données projet'!$A$62,'Données projet'!$B$62,AI71+AH72-AQ71)))</f>
        <v>461.59999999999951</v>
      </c>
      <c r="AJ72" s="14">
        <f>AI72*VLOOKUP('Données projet'!$B$10,Paramètres!$A$1:$I$88,3,0)*VLOOKUP('Données projet'!$B$10,Paramètres!$A$1:$I$88,5,0)</f>
        <v>216.02879999999976</v>
      </c>
      <c r="AK72" s="14">
        <f t="shared" si="89"/>
        <v>53.25085210905781</v>
      </c>
      <c r="AL72" s="22">
        <f t="shared" si="58"/>
        <v>468.99539408994195</v>
      </c>
      <c r="AM72" s="61">
        <f t="shared" si="59"/>
        <v>734.92555444000845</v>
      </c>
      <c r="AN72" s="61">
        <f ca="1">AVERAGE(OFFSET($AM$3,0,0,'Données projet'!$E$10+1,1))-AVERAGE(OFFSET($H$3,0,0,'Données projet'!$E$10+1,1))</f>
        <v>375.77859820466693</v>
      </c>
      <c r="AO72" s="61">
        <f t="shared" si="90"/>
        <v>242.84781402593856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10.769772582890843</v>
      </c>
      <c r="AV72" s="23">
        <f>EXP(-LN(2)/25)*AV71+(1-EXP(-LN(2)/25))/(LN(2)/25)*Calculateur!AQ72*Calculateur!AS72*VLOOKUP('Données projet'!$B$9,Paramètres!$A$1:$I$88,3,0)*0.475*44/12</f>
        <v>21.607572410329357</v>
      </c>
      <c r="AW72" s="23">
        <f>EXP(-LN(2)/2)*AW71+(1-EXP(-LN(2)/2))/(LN(2)/2)*AQ72*AT72*VLOOKUP('Données projet'!$B$9,Paramètres!$A$1:$I$88,3,0)*0.475*44/12</f>
        <v>0</v>
      </c>
      <c r="AX72" s="23">
        <f t="shared" si="60"/>
        <v>32.377344993220198</v>
      </c>
      <c r="AY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4.4000000000000004</v>
      </c>
      <c r="BD72" s="13">
        <f>IF('Données projet'!$A$88&gt;35,BD71+BC72-BL71,IF(A72&lt;'Données projet'!$A$88,$BA$205^A72,IF(A72='Données projet'!$A$88,'Données projet'!$B$88,BD71+BC72-BL71)))</f>
        <v>119.40000000000011</v>
      </c>
      <c r="BE72" s="14">
        <f>BD72*VLOOKUP('Données projet'!$B$11,Paramètres!$A$1:$I$88,3,0)*VLOOKUP('Données projet'!$B$11,Paramètres!$A$1:$I$88,5,0)</f>
        <v>121.07160000000012</v>
      </c>
      <c r="BF72" s="14">
        <f t="shared" si="91"/>
        <v>31.924802929359888</v>
      </c>
      <c r="BG72" s="22">
        <f t="shared" si="61"/>
        <v>266.46873510196866</v>
      </c>
      <c r="BH72" s="61">
        <f t="shared" si="62"/>
        <v>532.39889545203528</v>
      </c>
      <c r="BI72" s="61">
        <f ca="1">AVERAGE(OFFSET($BH$3,0,0,'Données projet'!$E$11+1,1))-AVERAGE(OFFSET($H$3,0,0,'Données projet'!$E$11+1,1))</f>
        <v>433.57989081194</v>
      </c>
      <c r="BJ72" s="61">
        <f t="shared" si="92"/>
        <v>182.52060621271355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3"/>
        <v>0</v>
      </c>
      <c r="BT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1" t="e">
        <f t="shared" si="65"/>
        <v>#N/A</v>
      </c>
      <c r="CD72" s="61" t="e">
        <f ca="1">AVERAGE(OFFSET($CC$3,0,0,'Données projet'!$E$12+1,1))-AVERAGE(OFFSET($H$3,0,0,'Données projet'!$E$12+1,1))</f>
        <v>#N/A</v>
      </c>
      <c r="CE72" s="61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66"/>
        <v>0</v>
      </c>
      <c r="CO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1" t="e">
        <f t="shared" si="68"/>
        <v>#N/A</v>
      </c>
      <c r="CY72" s="61" t="e">
        <f ca="1">AVERAGE(OFFSET($CX$3,0,0,'Données projet'!$E$13+1,1))-AVERAGE(OFFSET($H$3,0,0,'Données projet'!$E$13+1,1))</f>
        <v>#N/A</v>
      </c>
      <c r="CZ72" s="61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69"/>
        <v>0</v>
      </c>
      <c r="DJ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1" t="e">
        <f t="shared" si="71"/>
        <v>#N/A</v>
      </c>
      <c r="DT72" s="61" t="e">
        <f ca="1">AVERAGE(OFFSET($DS$3,0,0,'Données projet'!$E$14+1,1))-AVERAGE(OFFSET($H$3,0,0,'Données projet'!$E$14+1,1))</f>
        <v>#N/A</v>
      </c>
      <c r="DU72" s="61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2"/>
        <v>0</v>
      </c>
      <c r="EE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1" t="e">
        <f t="shared" si="74"/>
        <v>#N/A</v>
      </c>
      <c r="EO72" s="61" t="e">
        <f ca="1">AVERAGE(OFFSET($EN$3,0,0,'Données projet'!$E$15+1,1))-AVERAGE(OFFSET($H$3,0,0,'Données projet'!$E$15+1,1))</f>
        <v>#N/A</v>
      </c>
      <c r="EP72" s="61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75"/>
        <v>0</v>
      </c>
      <c r="EZ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1" t="e">
        <f t="shared" si="77"/>
        <v>#N/A</v>
      </c>
      <c r="FJ72" s="61" t="e">
        <f ca="1">AVERAGE(OFFSET($FI$3,0,0,'Données projet'!$E$16+1,1))-AVERAGE(OFFSET($H$3,0,0,'Données projet'!$E$16+1,1))</f>
        <v>#N/A</v>
      </c>
      <c r="FK72" s="61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78"/>
        <v>0</v>
      </c>
      <c r="FU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1" t="e">
        <f t="shared" si="80"/>
        <v>#N/A</v>
      </c>
      <c r="GE72" s="61" t="e">
        <f ca="1">AVERAGE(OFFSET($GD$3,0,0,'Données projet'!$E$17+1,1))-AVERAGE(OFFSET($H$3,0,0,'Données projet'!$E$17+1,1))</f>
        <v>#N/A</v>
      </c>
      <c r="GF72" s="61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81"/>
        <v>0</v>
      </c>
      <c r="GP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1" t="e">
        <f t="shared" si="83"/>
        <v>#N/A</v>
      </c>
      <c r="GZ72" s="61" t="e">
        <f ca="1">AVERAGE(OFFSET($GY$3,0,0,'Données projet'!$E$18+1,1))-AVERAGE(OFFSET($H$3,0,0,'Données projet'!$E$18+1,1))</f>
        <v>#N/A</v>
      </c>
      <c r="HA72" s="61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84"/>
        <v>0</v>
      </c>
    </row>
    <row r="73" spans="1:218" s="5" customFormat="1" x14ac:dyDescent="0.45">
      <c r="A73" s="11">
        <f t="shared" si="85"/>
        <v>70</v>
      </c>
      <c r="B73" s="76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9">
        <f t="shared" si="56"/>
        <v>183.33333333333334</v>
      </c>
      <c r="I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510</v>
      </c>
      <c r="L73" s="13">
        <f>VLOOKUP(A73,'Données projet'!$A$35:$I$55,9,0)</f>
        <v>14.4</v>
      </c>
      <c r="M73" s="13">
        <f t="array" ref="M73">INDEX(L:L,MIN(IF(ISNUMBER(L73:L269),ROW(L73:L269),"")))</f>
        <v>14.4</v>
      </c>
      <c r="N73" s="14">
        <f>IF('Données projet'!$A$36&gt;35,N72+M73-V72,IF(A73&lt;'Données projet'!$A$36,$K$205^A73,IF(A73='Données projet'!$A$36,'Données projet'!$B$36,N72+M73-V72)))</f>
        <v>509.99999999999972</v>
      </c>
      <c r="O73" s="14">
        <f>N73*VLOOKUP('Données projet'!$B$9,Paramètres!$A$1:$I$88,3,0)*VLOOKUP('Données projet'!$B$9,Paramètres!$A$1:$I$88,5,0)</f>
        <v>304.97999999999985</v>
      </c>
      <c r="P73" s="14">
        <f t="shared" si="87"/>
        <v>72.219460307561022</v>
      </c>
      <c r="Q73" s="22">
        <f t="shared" si="54"/>
        <v>656.95572670233514</v>
      </c>
      <c r="R73" s="61">
        <f t="shared" si="55"/>
        <v>923.36127083934457</v>
      </c>
      <c r="S73" s="61">
        <f ca="1">AVERAGE(OFFSET($R$3,0,0,'Données projet'!$E$9+1,1))-AVERAGE(OFFSET($H$3,0,0,'Données projet'!$E$9+1,1))</f>
        <v>445.53168057836308</v>
      </c>
      <c r="T73" s="61">
        <f t="shared" si="88"/>
        <v>326.78684646135241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44</v>
      </c>
      <c r="W73" s="17">
        <f>IF(ISNA(VLOOKUP(A73,'Données projet'!$A$35:$I$55,5,0)),0%,VLOOKUP(A73,'Données projet'!$A$35:$I$55,5,0)*VLOOKUP('Données projet'!$B$9,Paramètres!$A$1:$I$88,7,0))</f>
        <v>0.40500000000000003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45.469936208938833</v>
      </c>
      <c r="AA73" s="23">
        <f>EXP(-LN(2)/25)*AA72+(1-EXP(-LN(2)/25))/(LN(2)/25)*Calculateur!V73*Calculateur!X73*VLOOKUP('Données projet'!$B$9,Paramètres!$A$1:$I$88,3,0)*0.475*44/12</f>
        <v>38.968555107390884</v>
      </c>
      <c r="AB73" s="23">
        <f>EXP(-LN(2)/2)*AB72+(1-EXP(-LN(2)/2))/(LN(2)/2)*V73*Y73*VLOOKUP('Données projet'!$B$9,Paramètres!$A$1:$I$88,3,0)*0.475*44/12</f>
        <v>0.67172880570146964</v>
      </c>
      <c r="AC73" s="24">
        <f t="shared" si="57"/>
        <v>85.11022012203118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475</v>
      </c>
      <c r="AG73" s="13">
        <f>VLOOKUP(A73,'Données projet'!$A$61:$I$81,9,0)</f>
        <v>13.4</v>
      </c>
      <c r="AH73" s="13">
        <f t="array" ref="AH73">INDEX(AG:AG,MIN(IF(ISNUMBER(AG73:AG269),ROW(AG73:AG269),"")))</f>
        <v>13.4</v>
      </c>
      <c r="AI73" s="14">
        <f>IF('Données projet'!$A$62&gt;35,AI72+AH73-AQ72,IF(A73&lt;'Données projet'!$A$62,$AF$205^A73,IF(A73='Données projet'!$A$62,'Données projet'!$B$62,AI72+AH73-AQ72)))</f>
        <v>474.99999999999949</v>
      </c>
      <c r="AJ73" s="14">
        <f>AI73*VLOOKUP('Données projet'!$B$10,Paramètres!$A$1:$I$88,3,0)*VLOOKUP('Données projet'!$B$10,Paramètres!$A$1:$I$88,5,0)</f>
        <v>222.29999999999976</v>
      </c>
      <c r="AK73" s="14">
        <f t="shared" si="89"/>
        <v>54.614476371023891</v>
      </c>
      <c r="AL73" s="22">
        <f t="shared" si="58"/>
        <v>482.29271301286605</v>
      </c>
      <c r="AM73" s="61">
        <f t="shared" si="59"/>
        <v>748.69825714987553</v>
      </c>
      <c r="AN73" s="61">
        <f ca="1">AVERAGE(OFFSET($AM$3,0,0,'Données projet'!$E$10+1,1))-AVERAGE(OFFSET($H$3,0,0,'Données projet'!$E$10+1,1))</f>
        <v>375.77859820466693</v>
      </c>
      <c r="AO73" s="61">
        <f t="shared" si="90"/>
        <v>242.84781402593856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69</v>
      </c>
      <c r="AR73" s="17">
        <f>IF(ISNA(VLOOKUP(A73,'Données projet'!$A$61:$I$81,5,0)),0%,VLOOKUP(A73,'Données projet'!$A$61:$I$81,5,0)*VLOOKUP('Données projet'!$B$10,Paramètres!$A$1:$I$88,7,0))</f>
        <v>0.27500000000000002</v>
      </c>
      <c r="AS73" s="17">
        <f>IF(ISNA(VLOOKUP(A73,'Données projet'!$A$61:$I$81,6,0)),0%,VLOOKUP(A73,'Données projet'!$A$61:$I$81,6,0)*VLOOKUP('Données projet'!$B$10,Paramètres!$A$1:$I$88,7,0))</f>
        <v>0.27500000000000002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25.611177115548237</v>
      </c>
      <c r="AV73" s="23">
        <f>EXP(-LN(2)/25)*AV72+(1-EXP(-LN(2)/25))/(LN(2)/25)*Calculateur!AQ73*Calculateur!AS73*VLOOKUP('Données projet'!$B$9,Paramètres!$A$1:$I$88,3,0)*0.475*44/12</f>
        <v>36.010037615639099</v>
      </c>
      <c r="AW73" s="23">
        <f>EXP(-LN(2)/2)*AW72+(1-EXP(-LN(2)/2))/(LN(2)/2)*AQ73*AT73*VLOOKUP('Données projet'!$B$9,Paramètres!$A$1:$I$88,3,0)*0.475*44/12</f>
        <v>0</v>
      </c>
      <c r="AX73" s="23">
        <f t="shared" si="60"/>
        <v>61.621214731187337</v>
      </c>
      <c r="AY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4.4000000000000004</v>
      </c>
      <c r="BD73" s="13">
        <f>IF('Données projet'!$A$88&gt;35,BD72+BC73-BL72,IF(A73&lt;'Données projet'!$A$88,$BA$205^A73,IF(A73='Données projet'!$A$88,'Données projet'!$B$88,BD72+BC73-BL72)))</f>
        <v>123.80000000000011</v>
      </c>
      <c r="BE73" s="14">
        <f>BD73*VLOOKUP('Données projet'!$B$11,Paramètres!$A$1:$I$88,3,0)*VLOOKUP('Données projet'!$B$11,Paramètres!$A$1:$I$88,5,0)</f>
        <v>125.53320000000011</v>
      </c>
      <c r="BF73" s="14">
        <f t="shared" si="91"/>
        <v>32.962122082003134</v>
      </c>
      <c r="BG73" s="22">
        <f t="shared" si="61"/>
        <v>276.04601929282228</v>
      </c>
      <c r="BH73" s="61">
        <f t="shared" si="62"/>
        <v>542.45156342983182</v>
      </c>
      <c r="BI73" s="61">
        <f ca="1">AVERAGE(OFFSET($BH$3,0,0,'Données projet'!$E$11+1,1))-AVERAGE(OFFSET($H$3,0,0,'Données projet'!$E$11+1,1))</f>
        <v>433.57989081194</v>
      </c>
      <c r="BJ73" s="61">
        <f t="shared" si="92"/>
        <v>182.52060621271355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3"/>
        <v>0</v>
      </c>
      <c r="BT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1" t="e">
        <f t="shared" si="65"/>
        <v>#N/A</v>
      </c>
      <c r="CD73" s="61" t="e">
        <f ca="1">AVERAGE(OFFSET($CC$3,0,0,'Données projet'!$E$12+1,1))-AVERAGE(OFFSET($H$3,0,0,'Données projet'!$E$12+1,1))</f>
        <v>#N/A</v>
      </c>
      <c r="CE73" s="61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66"/>
        <v>0</v>
      </c>
      <c r="CO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1" t="e">
        <f t="shared" si="68"/>
        <v>#N/A</v>
      </c>
      <c r="CY73" s="61" t="e">
        <f ca="1">AVERAGE(OFFSET($CX$3,0,0,'Données projet'!$E$13+1,1))-AVERAGE(OFFSET($H$3,0,0,'Données projet'!$E$13+1,1))</f>
        <v>#N/A</v>
      </c>
      <c r="CZ73" s="61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69"/>
        <v>0</v>
      </c>
      <c r="DJ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1" t="e">
        <f t="shared" si="71"/>
        <v>#N/A</v>
      </c>
      <c r="DT73" s="61" t="e">
        <f ca="1">AVERAGE(OFFSET($DS$3,0,0,'Données projet'!$E$14+1,1))-AVERAGE(OFFSET($H$3,0,0,'Données projet'!$E$14+1,1))</f>
        <v>#N/A</v>
      </c>
      <c r="DU73" s="61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2"/>
        <v>0</v>
      </c>
      <c r="EE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1" t="e">
        <f t="shared" si="74"/>
        <v>#N/A</v>
      </c>
      <c r="EO73" s="61" t="e">
        <f ca="1">AVERAGE(OFFSET($EN$3,0,0,'Données projet'!$E$15+1,1))-AVERAGE(OFFSET($H$3,0,0,'Données projet'!$E$15+1,1))</f>
        <v>#N/A</v>
      </c>
      <c r="EP73" s="61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75"/>
        <v>0</v>
      </c>
      <c r="EZ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1" t="e">
        <f t="shared" si="77"/>
        <v>#N/A</v>
      </c>
      <c r="FJ73" s="61" t="e">
        <f ca="1">AVERAGE(OFFSET($FI$3,0,0,'Données projet'!$E$16+1,1))-AVERAGE(OFFSET($H$3,0,0,'Données projet'!$E$16+1,1))</f>
        <v>#N/A</v>
      </c>
      <c r="FK73" s="61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78"/>
        <v>0</v>
      </c>
      <c r="FU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1" t="e">
        <f t="shared" si="80"/>
        <v>#N/A</v>
      </c>
      <c r="GE73" s="61" t="e">
        <f ca="1">AVERAGE(OFFSET($GD$3,0,0,'Données projet'!$E$17+1,1))-AVERAGE(OFFSET($H$3,0,0,'Données projet'!$E$17+1,1))</f>
        <v>#N/A</v>
      </c>
      <c r="GF73" s="61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81"/>
        <v>0</v>
      </c>
      <c r="GP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1" t="e">
        <f t="shared" si="83"/>
        <v>#N/A</v>
      </c>
      <c r="GZ73" s="61" t="e">
        <f ca="1">AVERAGE(OFFSET($GY$3,0,0,'Données projet'!$E$18+1,1))-AVERAGE(OFFSET($H$3,0,0,'Données projet'!$E$18+1,1))</f>
        <v>#N/A</v>
      </c>
      <c r="HA73" s="61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84"/>
        <v>0</v>
      </c>
    </row>
    <row r="74" spans="1:218" s="5" customFormat="1" x14ac:dyDescent="0.45">
      <c r="A74" s="11">
        <f t="shared" si="85"/>
        <v>71</v>
      </c>
      <c r="B74" s="76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9">
        <f t="shared" si="56"/>
        <v>183.33333333333334</v>
      </c>
      <c r="I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13.2</v>
      </c>
      <c r="N74" s="14">
        <f>IF('Données projet'!$A$36&gt;35,N73+M74-V73,IF(A74&lt;'Données projet'!$A$36,$K$205^A74,IF(A74='Données projet'!$A$36,'Données projet'!$B$36,N73+M74-V73)))</f>
        <v>479.1999999999997</v>
      </c>
      <c r="O74" s="14">
        <f>N74*VLOOKUP('Données projet'!$B$9,Paramètres!$A$1:$I$88,3,0)*VLOOKUP('Données projet'!$B$9,Paramètres!$A$1:$I$88,5,0)</f>
        <v>286.56159999999983</v>
      </c>
      <c r="P74" s="14">
        <f t="shared" si="87"/>
        <v>68.351788651709171</v>
      </c>
      <c r="Q74" s="22">
        <f t="shared" si="54"/>
        <v>618.14081856839312</v>
      </c>
      <c r="R74" s="61">
        <f t="shared" si="55"/>
        <v>885.01349964644101</v>
      </c>
      <c r="S74" s="61">
        <f ca="1">AVERAGE(OFFSET($R$3,0,0,'Données projet'!$E$9+1,1))-AVERAGE(OFFSET($H$3,0,0,'Données projet'!$E$9+1,1))</f>
        <v>445.53168057836308</v>
      </c>
      <c r="T74" s="61">
        <f t="shared" si="88"/>
        <v>326.78684646135241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44.578298493804134</v>
      </c>
      <c r="AA74" s="23">
        <f>EXP(-LN(2)/25)*AA73+(1-EXP(-LN(2)/25))/(LN(2)/25)*Calculateur!V74*Calculateur!X74*VLOOKUP('Données projet'!$B$9,Paramètres!$A$1:$I$88,3,0)*0.475*44/12</f>
        <v>37.902957918712033</v>
      </c>
      <c r="AB74" s="23">
        <f>EXP(-LN(2)/2)*AB73+(1-EXP(-LN(2)/2))/(LN(2)/2)*V74*Y74*VLOOKUP('Données projet'!$B$9,Paramètres!$A$1:$I$88,3,0)*0.475*44/12</f>
        <v>0.47498399362985</v>
      </c>
      <c r="AC74" s="24">
        <f t="shared" si="57"/>
        <v>82.956240406146009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14.6</v>
      </c>
      <c r="AI74" s="14">
        <f>IF('Données projet'!$A$62&gt;35,AI73+AH74-AQ73,IF(A74&lt;'Données projet'!$A$62,$AF$205^A74,IF(A74='Données projet'!$A$62,'Données projet'!$B$62,AI73+AH74-AQ73)))</f>
        <v>420.59999999999951</v>
      </c>
      <c r="AJ74" s="14">
        <f>AI74*VLOOKUP('Données projet'!$B$10,Paramètres!$A$1:$I$88,3,0)*VLOOKUP('Données projet'!$B$10,Paramètres!$A$1:$I$88,5,0)</f>
        <v>196.84079999999977</v>
      </c>
      <c r="AK74" s="14">
        <f t="shared" si="89"/>
        <v>49.049229115508538</v>
      </c>
      <c r="AL74" s="22">
        <f t="shared" si="58"/>
        <v>428.25846737617695</v>
      </c>
      <c r="AM74" s="61">
        <f t="shared" si="59"/>
        <v>695.1311484542249</v>
      </c>
      <c r="AN74" s="61">
        <f ca="1">AVERAGE(OFFSET($AM$3,0,0,'Données projet'!$E$10+1,1))-AVERAGE(OFFSET($H$3,0,0,'Données projet'!$E$10+1,1))</f>
        <v>375.77859820466693</v>
      </c>
      <c r="AO74" s="61">
        <f t="shared" si="90"/>
        <v>242.84781402593856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25.108957553587903</v>
      </c>
      <c r="AV74" s="23">
        <f>EXP(-LN(2)/25)*AV73+(1-EXP(-LN(2)/25))/(LN(2)/25)*Calculateur!AQ74*Calculateur!AS74*VLOOKUP('Données projet'!$B$9,Paramètres!$A$1:$I$88,3,0)*0.475*44/12</f>
        <v>35.025341243353871</v>
      </c>
      <c r="AW74" s="23">
        <f>EXP(-LN(2)/2)*AW73+(1-EXP(-LN(2)/2))/(LN(2)/2)*AQ74*AT74*VLOOKUP('Données projet'!$B$9,Paramètres!$A$1:$I$88,3,0)*0.475*44/12</f>
        <v>0</v>
      </c>
      <c r="AX74" s="23">
        <f t="shared" si="60"/>
        <v>60.134298796941778</v>
      </c>
      <c r="AY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4.4000000000000004</v>
      </c>
      <c r="BD74" s="13">
        <f>IF('Données projet'!$A$88&gt;35,BD73+BC74-BL73,IF(A74&lt;'Données projet'!$A$88,$BA$205^A74,IF(A74='Données projet'!$A$88,'Données projet'!$B$88,BD73+BC74-BL73)))</f>
        <v>128.2000000000001</v>
      </c>
      <c r="BE74" s="14">
        <f>BD74*VLOOKUP('Données projet'!$B$11,Paramètres!$A$1:$I$88,3,0)*VLOOKUP('Données projet'!$B$11,Paramètres!$A$1:$I$88,5,0)</f>
        <v>129.99480000000011</v>
      </c>
      <c r="BF74" s="14">
        <f t="shared" si="91"/>
        <v>33.995157762228267</v>
      </c>
      <c r="BG74" s="22">
        <f t="shared" si="61"/>
        <v>285.61584310254773</v>
      </c>
      <c r="BH74" s="61">
        <f t="shared" si="62"/>
        <v>552.48852418059573</v>
      </c>
      <c r="BI74" s="61">
        <f ca="1">AVERAGE(OFFSET($BH$3,0,0,'Données projet'!$E$11+1,1))-AVERAGE(OFFSET($H$3,0,0,'Données projet'!$E$11+1,1))</f>
        <v>433.57989081194</v>
      </c>
      <c r="BJ74" s="61">
        <f t="shared" si="92"/>
        <v>182.52060621271355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3"/>
        <v>0</v>
      </c>
      <c r="BT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1" t="e">
        <f t="shared" si="65"/>
        <v>#N/A</v>
      </c>
      <c r="CD74" s="61" t="e">
        <f ca="1">AVERAGE(OFFSET($CC$3,0,0,'Données projet'!$E$12+1,1))-AVERAGE(OFFSET($H$3,0,0,'Données projet'!$E$12+1,1))</f>
        <v>#N/A</v>
      </c>
      <c r="CE74" s="61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66"/>
        <v>0</v>
      </c>
      <c r="CO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1" t="e">
        <f t="shared" si="68"/>
        <v>#N/A</v>
      </c>
      <c r="CY74" s="61" t="e">
        <f ca="1">AVERAGE(OFFSET($CX$3,0,0,'Données projet'!$E$13+1,1))-AVERAGE(OFFSET($H$3,0,0,'Données projet'!$E$13+1,1))</f>
        <v>#N/A</v>
      </c>
      <c r="CZ74" s="61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69"/>
        <v>0</v>
      </c>
      <c r="DJ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1" t="e">
        <f t="shared" si="71"/>
        <v>#N/A</v>
      </c>
      <c r="DT74" s="61" t="e">
        <f ca="1">AVERAGE(OFFSET($DS$3,0,0,'Données projet'!$E$14+1,1))-AVERAGE(OFFSET($H$3,0,0,'Données projet'!$E$14+1,1))</f>
        <v>#N/A</v>
      </c>
      <c r="DU74" s="61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2"/>
        <v>0</v>
      </c>
      <c r="EE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1" t="e">
        <f t="shared" si="74"/>
        <v>#N/A</v>
      </c>
      <c r="EO74" s="61" t="e">
        <f ca="1">AVERAGE(OFFSET($EN$3,0,0,'Données projet'!$E$15+1,1))-AVERAGE(OFFSET($H$3,0,0,'Données projet'!$E$15+1,1))</f>
        <v>#N/A</v>
      </c>
      <c r="EP74" s="61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75"/>
        <v>0</v>
      </c>
      <c r="EZ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1" t="e">
        <f t="shared" si="77"/>
        <v>#N/A</v>
      </c>
      <c r="FJ74" s="61" t="e">
        <f ca="1">AVERAGE(OFFSET($FI$3,0,0,'Données projet'!$E$16+1,1))-AVERAGE(OFFSET($H$3,0,0,'Données projet'!$E$16+1,1))</f>
        <v>#N/A</v>
      </c>
      <c r="FK74" s="61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78"/>
        <v>0</v>
      </c>
      <c r="FU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1" t="e">
        <f t="shared" si="80"/>
        <v>#N/A</v>
      </c>
      <c r="GE74" s="61" t="e">
        <f ca="1">AVERAGE(OFFSET($GD$3,0,0,'Données projet'!$E$17+1,1))-AVERAGE(OFFSET($H$3,0,0,'Données projet'!$E$17+1,1))</f>
        <v>#N/A</v>
      </c>
      <c r="GF74" s="61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81"/>
        <v>0</v>
      </c>
      <c r="GP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1" t="e">
        <f t="shared" si="83"/>
        <v>#N/A</v>
      </c>
      <c r="GZ74" s="61" t="e">
        <f ca="1">AVERAGE(OFFSET($GY$3,0,0,'Données projet'!$E$18+1,1))-AVERAGE(OFFSET($H$3,0,0,'Données projet'!$E$18+1,1))</f>
        <v>#N/A</v>
      </c>
      <c r="HA74" s="61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84"/>
        <v>0</v>
      </c>
    </row>
    <row r="75" spans="1:218" s="5" customFormat="1" x14ac:dyDescent="0.45">
      <c r="A75" s="11">
        <f t="shared" si="85"/>
        <v>72</v>
      </c>
      <c r="B75" s="76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9">
        <f t="shared" si="56"/>
        <v>183.33333333333334</v>
      </c>
      <c r="I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13.2</v>
      </c>
      <c r="N75" s="14">
        <f>IF('Données projet'!$A$36&gt;35,N74+M75-V74,IF(A75&lt;'Données projet'!$A$36,$K$205^A75,IF(A75='Données projet'!$A$36,'Données projet'!$B$36,N74+M75-V74)))</f>
        <v>492.39999999999969</v>
      </c>
      <c r="O75" s="14">
        <f>N75*VLOOKUP('Données projet'!$B$9,Paramètres!$A$1:$I$88,3,0)*VLOOKUP('Données projet'!$B$9,Paramètres!$A$1:$I$88,5,0)</f>
        <v>294.45519999999988</v>
      </c>
      <c r="P75" s="14">
        <f t="shared" si="87"/>
        <v>70.012801345565862</v>
      </c>
      <c r="Q75" s="22">
        <f t="shared" si="54"/>
        <v>634.78176901019367</v>
      </c>
      <c r="R75" s="61">
        <f t="shared" si="55"/>
        <v>902.11348324771484</v>
      </c>
      <c r="S75" s="61">
        <f ca="1">AVERAGE(OFFSET($R$3,0,0,'Données projet'!$E$9+1,1))-AVERAGE(OFFSET($H$3,0,0,'Données projet'!$E$9+1,1))</f>
        <v>445.53168057836308</v>
      </c>
      <c r="T75" s="61">
        <f t="shared" si="88"/>
        <v>326.78684646135241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43.704145250417916</v>
      </c>
      <c r="AA75" s="23">
        <f>EXP(-LN(2)/25)*AA74+(1-EXP(-LN(2)/25))/(LN(2)/25)*Calculateur!V75*Calculateur!X75*VLOOKUP('Données projet'!$B$9,Paramètres!$A$1:$I$88,3,0)*0.475*44/12</f>
        <v>36.866499541194926</v>
      </c>
      <c r="AB75" s="23">
        <f>EXP(-LN(2)/2)*AB74+(1-EXP(-LN(2)/2))/(LN(2)/2)*V75*Y75*VLOOKUP('Données projet'!$B$9,Paramètres!$A$1:$I$88,3,0)*0.475*44/12</f>
        <v>0.33586440285073482</v>
      </c>
      <c r="AC75" s="24">
        <f t="shared" si="57"/>
        <v>80.906509194463567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14.6</v>
      </c>
      <c r="AI75" s="14">
        <f>IF('Données projet'!$A$62&gt;35,AI74+AH75-AQ74,IF(A75&lt;'Données projet'!$A$62,$AF$205^A75,IF(A75='Données projet'!$A$62,'Données projet'!$B$62,AI74+AH75-AQ74)))</f>
        <v>435.19999999999953</v>
      </c>
      <c r="AJ75" s="14">
        <f>AI75*VLOOKUP('Données projet'!$B$10,Paramètres!$A$1:$I$88,3,0)*VLOOKUP('Données projet'!$B$10,Paramètres!$A$1:$I$88,5,0)</f>
        <v>203.67359999999979</v>
      </c>
      <c r="AK75" s="14">
        <f t="shared" si="89"/>
        <v>50.55065659206786</v>
      </c>
      <c r="AL75" s="22">
        <f t="shared" si="58"/>
        <v>442.77391356451784</v>
      </c>
      <c r="AM75" s="61">
        <f t="shared" si="59"/>
        <v>710.10562780203895</v>
      </c>
      <c r="AN75" s="61">
        <f ca="1">AVERAGE(OFFSET($AM$3,0,0,'Données projet'!$E$10+1,1))-AVERAGE(OFFSET($H$3,0,0,'Données projet'!$E$10+1,1))</f>
        <v>375.77859820466693</v>
      </c>
      <c r="AO75" s="61">
        <f t="shared" si="90"/>
        <v>242.84781402593856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24.616586210913926</v>
      </c>
      <c r="AV75" s="23">
        <f>EXP(-LN(2)/25)*AV74+(1-EXP(-LN(2)/25))/(LN(2)/25)*Calculateur!AQ75*Calculateur!AS75*VLOOKUP('Données projet'!$B$9,Paramètres!$A$1:$I$88,3,0)*0.475*44/12</f>
        <v>34.067571445151714</v>
      </c>
      <c r="AW75" s="23">
        <f>EXP(-LN(2)/2)*AW74+(1-EXP(-LN(2)/2))/(LN(2)/2)*AQ75*AT75*VLOOKUP('Données projet'!$B$9,Paramètres!$A$1:$I$88,3,0)*0.475*44/12</f>
        <v>0</v>
      </c>
      <c r="AX75" s="23">
        <f t="shared" si="60"/>
        <v>58.684157656065636</v>
      </c>
      <c r="AY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4.4000000000000004</v>
      </c>
      <c r="BD75" s="13">
        <f>IF('Données projet'!$A$88&gt;35,BD74+BC75-BL74,IF(A75&lt;'Données projet'!$A$88,$BA$205^A75,IF(A75='Données projet'!$A$88,'Données projet'!$B$88,BD74+BC75-BL74)))</f>
        <v>132.60000000000011</v>
      </c>
      <c r="BE75" s="14">
        <f>BD75*VLOOKUP('Données projet'!$B$11,Paramètres!$A$1:$I$88,3,0)*VLOOKUP('Données projet'!$B$11,Paramètres!$A$1:$I$88,5,0)</f>
        <v>134.45640000000012</v>
      </c>
      <c r="BF75" s="14">
        <f t="shared" si="91"/>
        <v>35.024073835162412</v>
      </c>
      <c r="BG75" s="22">
        <f t="shared" si="61"/>
        <v>295.1784919295747</v>
      </c>
      <c r="BH75" s="61">
        <f t="shared" si="62"/>
        <v>562.51020616709582</v>
      </c>
      <c r="BI75" s="61">
        <f ca="1">AVERAGE(OFFSET($BH$3,0,0,'Données projet'!$E$11+1,1))-AVERAGE(OFFSET($H$3,0,0,'Données projet'!$E$11+1,1))</f>
        <v>433.57989081194</v>
      </c>
      <c r="BJ75" s="61">
        <f t="shared" si="92"/>
        <v>182.52060621271355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3"/>
        <v>0</v>
      </c>
      <c r="BT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1" t="e">
        <f t="shared" si="65"/>
        <v>#N/A</v>
      </c>
      <c r="CD75" s="61" t="e">
        <f ca="1">AVERAGE(OFFSET($CC$3,0,0,'Données projet'!$E$12+1,1))-AVERAGE(OFFSET($H$3,0,0,'Données projet'!$E$12+1,1))</f>
        <v>#N/A</v>
      </c>
      <c r="CE75" s="61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66"/>
        <v>0</v>
      </c>
      <c r="CO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1" t="e">
        <f t="shared" si="68"/>
        <v>#N/A</v>
      </c>
      <c r="CY75" s="61" t="e">
        <f ca="1">AVERAGE(OFFSET($CX$3,0,0,'Données projet'!$E$13+1,1))-AVERAGE(OFFSET($H$3,0,0,'Données projet'!$E$13+1,1))</f>
        <v>#N/A</v>
      </c>
      <c r="CZ75" s="61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69"/>
        <v>0</v>
      </c>
      <c r="DJ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1" t="e">
        <f t="shared" si="71"/>
        <v>#N/A</v>
      </c>
      <c r="DT75" s="61" t="e">
        <f ca="1">AVERAGE(OFFSET($DS$3,0,0,'Données projet'!$E$14+1,1))-AVERAGE(OFFSET($H$3,0,0,'Données projet'!$E$14+1,1))</f>
        <v>#N/A</v>
      </c>
      <c r="DU75" s="61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2"/>
        <v>0</v>
      </c>
      <c r="EE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1" t="e">
        <f t="shared" si="74"/>
        <v>#N/A</v>
      </c>
      <c r="EO75" s="61" t="e">
        <f ca="1">AVERAGE(OFFSET($EN$3,0,0,'Données projet'!$E$15+1,1))-AVERAGE(OFFSET($H$3,0,0,'Données projet'!$E$15+1,1))</f>
        <v>#N/A</v>
      </c>
      <c r="EP75" s="61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75"/>
        <v>0</v>
      </c>
      <c r="EZ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1" t="e">
        <f t="shared" si="77"/>
        <v>#N/A</v>
      </c>
      <c r="FJ75" s="61" t="e">
        <f ca="1">AVERAGE(OFFSET($FI$3,0,0,'Données projet'!$E$16+1,1))-AVERAGE(OFFSET($H$3,0,0,'Données projet'!$E$16+1,1))</f>
        <v>#N/A</v>
      </c>
      <c r="FK75" s="61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78"/>
        <v>0</v>
      </c>
      <c r="FU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1" t="e">
        <f t="shared" si="80"/>
        <v>#N/A</v>
      </c>
      <c r="GE75" s="61" t="e">
        <f ca="1">AVERAGE(OFFSET($GD$3,0,0,'Données projet'!$E$17+1,1))-AVERAGE(OFFSET($H$3,0,0,'Données projet'!$E$17+1,1))</f>
        <v>#N/A</v>
      </c>
      <c r="GF75" s="61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81"/>
        <v>0</v>
      </c>
      <c r="GP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1" t="e">
        <f t="shared" si="83"/>
        <v>#N/A</v>
      </c>
      <c r="GZ75" s="61" t="e">
        <f ca="1">AVERAGE(OFFSET($GY$3,0,0,'Données projet'!$E$18+1,1))-AVERAGE(OFFSET($H$3,0,0,'Données projet'!$E$18+1,1))</f>
        <v>#N/A</v>
      </c>
      <c r="HA75" s="61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84"/>
        <v>0</v>
      </c>
    </row>
    <row r="76" spans="1:218" s="5" customFormat="1" x14ac:dyDescent="0.45">
      <c r="A76" s="11">
        <f t="shared" si="85"/>
        <v>73</v>
      </c>
      <c r="B76" s="76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9">
        <f t="shared" si="56"/>
        <v>183.33333333333334</v>
      </c>
      <c r="I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13.2</v>
      </c>
      <c r="N76" s="14">
        <f>IF('Données projet'!$A$36&gt;35,N75+M76-V75,IF(A76&lt;'Données projet'!$A$36,$K$205^A76,IF(A76='Données projet'!$A$36,'Données projet'!$B$36,N75+M76-V75)))</f>
        <v>505.59999999999968</v>
      </c>
      <c r="O76" s="14">
        <f>N76*VLOOKUP('Données projet'!$B$9,Paramètres!$A$1:$I$88,3,0)*VLOOKUP('Données projet'!$B$9,Paramètres!$A$1:$I$88,5,0)</f>
        <v>302.34879999999981</v>
      </c>
      <c r="P76" s="14">
        <f t="shared" si="87"/>
        <v>71.668638455174801</v>
      </c>
      <c r="Q76" s="22">
        <f t="shared" si="54"/>
        <v>651.41370530942913</v>
      </c>
      <c r="R76" s="61">
        <f t="shared" si="55"/>
        <v>919.19648950735086</v>
      </c>
      <c r="S76" s="61">
        <f ca="1">AVERAGE(OFFSET($R$3,0,0,'Données projet'!$E$9+1,1))-AVERAGE(OFFSET($H$3,0,0,'Données projet'!$E$9+1,1))</f>
        <v>445.53168057836308</v>
      </c>
      <c r="T76" s="61">
        <f t="shared" si="88"/>
        <v>326.78684646135241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42.847133618953677</v>
      </c>
      <c r="AA76" s="23">
        <f>EXP(-LN(2)/25)*AA75+(1-EXP(-LN(2)/25))/(LN(2)/25)*Calculateur!V76*Calculateur!X76*VLOOKUP('Données projet'!$B$9,Paramètres!$A$1:$I$88,3,0)*0.475*44/12</f>
        <v>35.858383172516</v>
      </c>
      <c r="AB76" s="23">
        <f>EXP(-LN(2)/2)*AB75+(1-EXP(-LN(2)/2))/(LN(2)/2)*V76*Y76*VLOOKUP('Données projet'!$B$9,Paramètres!$A$1:$I$88,3,0)*0.475*44/12</f>
        <v>0.237491996814925</v>
      </c>
      <c r="AC76" s="24">
        <f t="shared" si="57"/>
        <v>78.943008788284601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14.6</v>
      </c>
      <c r="AI76" s="14">
        <f>IF('Données projet'!$A$62&gt;35,AI75+AH76-AQ75,IF(A76&lt;'Données projet'!$A$62,$AF$205^A76,IF(A76='Données projet'!$A$62,'Données projet'!$B$62,AI75+AH76-AQ75)))</f>
        <v>449.79999999999956</v>
      </c>
      <c r="AJ76" s="14">
        <f>AI76*VLOOKUP('Données projet'!$B$10,Paramètres!$A$1:$I$88,3,0)*VLOOKUP('Données projet'!$B$10,Paramètres!$A$1:$I$88,5,0)</f>
        <v>210.50639999999979</v>
      </c>
      <c r="AK76" s="14">
        <f t="shared" si="89"/>
        <v>52.046231322304727</v>
      </c>
      <c r="AL76" s="22">
        <f t="shared" si="58"/>
        <v>457.27916621968035</v>
      </c>
      <c r="AM76" s="61">
        <f t="shared" si="59"/>
        <v>725.06195041760213</v>
      </c>
      <c r="AN76" s="61">
        <f ca="1">AVERAGE(OFFSET($AM$3,0,0,'Données projet'!$E$10+1,1))-AVERAGE(OFFSET($H$3,0,0,'Données projet'!$E$10+1,1))</f>
        <v>375.77859820466693</v>
      </c>
      <c r="AO76" s="61">
        <f t="shared" si="90"/>
        <v>242.84781402593856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24.133869969952922</v>
      </c>
      <c r="AV76" s="23">
        <f>EXP(-LN(2)/25)*AV75+(1-EXP(-LN(2)/25))/(LN(2)/25)*Calculateur!AQ76*Calculateur!AS76*VLOOKUP('Données projet'!$B$9,Paramètres!$A$1:$I$88,3,0)*0.475*44/12</f>
        <v>33.135991912448318</v>
      </c>
      <c r="AW76" s="23">
        <f>EXP(-LN(2)/2)*AW75+(1-EXP(-LN(2)/2))/(LN(2)/2)*AQ76*AT76*VLOOKUP('Données projet'!$B$9,Paramètres!$A$1:$I$88,3,0)*0.475*44/12</f>
        <v>0</v>
      </c>
      <c r="AX76" s="23">
        <f t="shared" si="60"/>
        <v>57.269861882401244</v>
      </c>
      <c r="AY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>
        <f>VLOOKUP(A76,'Données projet'!$A$87:$I$107,2,0)</f>
        <v>137</v>
      </c>
      <c r="BB76" s="13">
        <f>VLOOKUP(A76,'Données projet'!$A$87:$I$107,9,0)</f>
        <v>4.4000000000000004</v>
      </c>
      <c r="BC76" s="13">
        <f t="array" ref="BC76">INDEX(BB:BB,MIN(IF(ISNUMBER(BB76:BB272),ROW(BB76:BB272),"")))</f>
        <v>4.4000000000000004</v>
      </c>
      <c r="BD76" s="13">
        <f>IF('Données projet'!$A$88&gt;35,BD75+BC76-BL75,IF(A76&lt;'Données projet'!$A$88,$BA$205^A76,IF(A76='Données projet'!$A$88,'Données projet'!$B$88,BD75+BC76-BL75)))</f>
        <v>137.00000000000011</v>
      </c>
      <c r="BE76" s="14">
        <f>BD76*VLOOKUP('Données projet'!$B$11,Paramètres!$A$1:$I$88,3,0)*VLOOKUP('Données projet'!$B$11,Paramètres!$A$1:$I$88,5,0)</f>
        <v>138.91800000000012</v>
      </c>
      <c r="BF76" s="14">
        <f t="shared" si="91"/>
        <v>36.049022673886341</v>
      </c>
      <c r="BG76" s="22">
        <f t="shared" si="61"/>
        <v>304.73423115701888</v>
      </c>
      <c r="BH76" s="61">
        <f t="shared" si="62"/>
        <v>572.51701535494067</v>
      </c>
      <c r="BI76" s="61">
        <f ca="1">AVERAGE(OFFSET($BH$3,0,0,'Données projet'!$E$11+1,1))-AVERAGE(OFFSET($H$3,0,0,'Données projet'!$E$11+1,1))</f>
        <v>433.57989081194</v>
      </c>
      <c r="BJ76" s="61">
        <f t="shared" si="92"/>
        <v>182.52060621271355</v>
      </c>
      <c r="BK76" s="16">
        <f>IF(ISNA(VLOOKUP(A76,'Données projet'!$A$87:$I$107,3,0)),0,VLOOKUP(A76,'Données projet'!$A$87:$I$107,3,0))</f>
        <v>2</v>
      </c>
      <c r="BL76" s="16">
        <f>IF(ISNA(VLOOKUP(A76,'Données projet'!$A$87:$I$107,4,0)),0,VLOOKUP(A76,'Données projet'!$A$87:$I$107,4,0))</f>
        <v>25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3"/>
        <v>0</v>
      </c>
      <c r="BT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1" t="e">
        <f t="shared" si="65"/>
        <v>#N/A</v>
      </c>
      <c r="CD76" s="61" t="e">
        <f ca="1">AVERAGE(OFFSET($CC$3,0,0,'Données projet'!$E$12+1,1))-AVERAGE(OFFSET($H$3,0,0,'Données projet'!$E$12+1,1))</f>
        <v>#N/A</v>
      </c>
      <c r="CE76" s="61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66"/>
        <v>0</v>
      </c>
      <c r="CO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1" t="e">
        <f t="shared" si="68"/>
        <v>#N/A</v>
      </c>
      <c r="CY76" s="61" t="e">
        <f ca="1">AVERAGE(OFFSET($CX$3,0,0,'Données projet'!$E$13+1,1))-AVERAGE(OFFSET($H$3,0,0,'Données projet'!$E$13+1,1))</f>
        <v>#N/A</v>
      </c>
      <c r="CZ76" s="61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69"/>
        <v>0</v>
      </c>
      <c r="DJ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1" t="e">
        <f t="shared" si="71"/>
        <v>#N/A</v>
      </c>
      <c r="DT76" s="61" t="e">
        <f ca="1">AVERAGE(OFFSET($DS$3,0,0,'Données projet'!$E$14+1,1))-AVERAGE(OFFSET($H$3,0,0,'Données projet'!$E$14+1,1))</f>
        <v>#N/A</v>
      </c>
      <c r="DU76" s="61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2"/>
        <v>0</v>
      </c>
      <c r="EE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1" t="e">
        <f t="shared" si="74"/>
        <v>#N/A</v>
      </c>
      <c r="EO76" s="61" t="e">
        <f ca="1">AVERAGE(OFFSET($EN$3,0,0,'Données projet'!$E$15+1,1))-AVERAGE(OFFSET($H$3,0,0,'Données projet'!$E$15+1,1))</f>
        <v>#N/A</v>
      </c>
      <c r="EP76" s="61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75"/>
        <v>0</v>
      </c>
      <c r="EZ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1" t="e">
        <f t="shared" si="77"/>
        <v>#N/A</v>
      </c>
      <c r="FJ76" s="61" t="e">
        <f ca="1">AVERAGE(OFFSET($FI$3,0,0,'Données projet'!$E$16+1,1))-AVERAGE(OFFSET($H$3,0,0,'Données projet'!$E$16+1,1))</f>
        <v>#N/A</v>
      </c>
      <c r="FK76" s="61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78"/>
        <v>0</v>
      </c>
      <c r="FU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1" t="e">
        <f t="shared" si="80"/>
        <v>#N/A</v>
      </c>
      <c r="GE76" s="61" t="e">
        <f ca="1">AVERAGE(OFFSET($GD$3,0,0,'Données projet'!$E$17+1,1))-AVERAGE(OFFSET($H$3,0,0,'Données projet'!$E$17+1,1))</f>
        <v>#N/A</v>
      </c>
      <c r="GF76" s="61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81"/>
        <v>0</v>
      </c>
      <c r="GP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1" t="e">
        <f t="shared" si="83"/>
        <v>#N/A</v>
      </c>
      <c r="GZ76" s="61" t="e">
        <f ca="1">AVERAGE(OFFSET($GY$3,0,0,'Données projet'!$E$18+1,1))-AVERAGE(OFFSET($H$3,0,0,'Données projet'!$E$18+1,1))</f>
        <v>#N/A</v>
      </c>
      <c r="HA76" s="61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84"/>
        <v>0</v>
      </c>
    </row>
    <row r="77" spans="1:218" s="5" customFormat="1" x14ac:dyDescent="0.45">
      <c r="A77" s="11">
        <f t="shared" si="85"/>
        <v>74</v>
      </c>
      <c r="B77" s="76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9">
        <f t="shared" si="56"/>
        <v>183.33333333333334</v>
      </c>
      <c r="I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13.2</v>
      </c>
      <c r="N77" s="14">
        <f>IF('Données projet'!$A$36&gt;35,N76+M77-V76,IF(A77&lt;'Données projet'!$A$36,$K$205^A77,IF(A77='Données projet'!$A$36,'Données projet'!$B$36,N76+M77-V76)))</f>
        <v>518.79999999999973</v>
      </c>
      <c r="O77" s="14">
        <f>N77*VLOOKUP('Données projet'!$B$9,Paramètres!$A$1:$I$88,3,0)*VLOOKUP('Données projet'!$B$9,Paramètres!$A$1:$I$88,5,0)</f>
        <v>310.24239999999986</v>
      </c>
      <c r="P77" s="14">
        <f t="shared" si="87"/>
        <v>73.319450636463003</v>
      </c>
      <c r="Q77" s="22">
        <f t="shared" si="54"/>
        <v>668.03688985850613</v>
      </c>
      <c r="R77" s="61">
        <f t="shared" si="55"/>
        <v>936.26291896145699</v>
      </c>
      <c r="S77" s="61">
        <f ca="1">AVERAGE(OFFSET($R$3,0,0,'Données projet'!$E$9+1,1))-AVERAGE(OFFSET($H$3,0,0,'Données projet'!$E$9+1,1))</f>
        <v>445.53168057836308</v>
      </c>
      <c r="T77" s="61">
        <f t="shared" si="88"/>
        <v>326.78684646135241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42.006927462856972</v>
      </c>
      <c r="AA77" s="23">
        <f>EXP(-LN(2)/25)*AA76+(1-EXP(-LN(2)/25))/(LN(2)/25)*Calculateur!V77*Calculateur!X77*VLOOKUP('Données projet'!$B$9,Paramètres!$A$1:$I$88,3,0)*0.475*44/12</f>
        <v>34.877833798953134</v>
      </c>
      <c r="AB77" s="23">
        <f>EXP(-LN(2)/2)*AB76+(1-EXP(-LN(2)/2))/(LN(2)/2)*V77*Y77*VLOOKUP('Données projet'!$B$9,Paramètres!$A$1:$I$88,3,0)*0.475*44/12</f>
        <v>0.16793220142536741</v>
      </c>
      <c r="AC77" s="24">
        <f t="shared" si="57"/>
        <v>77.052693463235471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14.6</v>
      </c>
      <c r="AI77" s="14">
        <f>IF('Données projet'!$A$62&gt;35,AI76+AH77-AQ76,IF(A77&lt;'Données projet'!$A$62,$AF$205^A77,IF(A77='Données projet'!$A$62,'Données projet'!$B$62,AI76+AH77-AQ76)))</f>
        <v>464.39999999999958</v>
      </c>
      <c r="AJ77" s="14">
        <f>AI77*VLOOKUP('Données projet'!$B$10,Paramètres!$A$1:$I$88,3,0)*VLOOKUP('Données projet'!$B$10,Paramètres!$A$1:$I$88,5,0)</f>
        <v>217.33919999999981</v>
      </c>
      <c r="AK77" s="14">
        <f t="shared" si="89"/>
        <v>53.536165068020416</v>
      </c>
      <c r="AL77" s="22">
        <f t="shared" si="58"/>
        <v>471.77459416013522</v>
      </c>
      <c r="AM77" s="61">
        <f t="shared" si="59"/>
        <v>740.00062326308603</v>
      </c>
      <c r="AN77" s="61">
        <f ca="1">AVERAGE(OFFSET($AM$3,0,0,'Données projet'!$E$10+1,1))-AVERAGE(OFFSET($H$3,0,0,'Données projet'!$E$10+1,1))</f>
        <v>375.77859820466693</v>
      </c>
      <c r="AO77" s="61">
        <f t="shared" si="90"/>
        <v>242.84781402593856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23.660619500049329</v>
      </c>
      <c r="AV77" s="23">
        <f>EXP(-LN(2)/25)*AV76+(1-EXP(-LN(2)/25))/(LN(2)/25)*Calculateur!AQ77*Calculateur!AS77*VLOOKUP('Données projet'!$B$9,Paramètres!$A$1:$I$88,3,0)*0.475*44/12</f>
        <v>32.229886471056339</v>
      </c>
      <c r="AW77" s="23">
        <f>EXP(-LN(2)/2)*AW76+(1-EXP(-LN(2)/2))/(LN(2)/2)*AQ77*AT77*VLOOKUP('Données projet'!$B$9,Paramètres!$A$1:$I$88,3,0)*0.475*44/12</f>
        <v>0</v>
      </c>
      <c r="AX77" s="23">
        <f t="shared" si="60"/>
        <v>55.890505971105668</v>
      </c>
      <c r="AY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4.4000000000000004</v>
      </c>
      <c r="BD77" s="13">
        <f>IF('Données projet'!$A$88&gt;35,BD76+BC77-BL76,IF(A77&lt;'Données projet'!$A$88,$BA$205^A77,IF(A77='Données projet'!$A$88,'Données projet'!$B$88,BD76+BC77-BL76)))</f>
        <v>116.40000000000012</v>
      </c>
      <c r="BE77" s="14">
        <f>BD77*VLOOKUP('Données projet'!$B$11,Paramètres!$A$1:$I$88,3,0)*VLOOKUP('Données projet'!$B$11,Paramètres!$A$1:$I$88,5,0)</f>
        <v>118.02960000000013</v>
      </c>
      <c r="BF77" s="14">
        <f t="shared" si="91"/>
        <v>31.214993965589873</v>
      </c>
      <c r="BG77" s="22">
        <f t="shared" si="61"/>
        <v>259.93433449006926</v>
      </c>
      <c r="BH77" s="61">
        <f t="shared" si="62"/>
        <v>528.16036359302007</v>
      </c>
      <c r="BI77" s="61">
        <f ca="1">AVERAGE(OFFSET($BH$3,0,0,'Données projet'!$E$11+1,1))-AVERAGE(OFFSET($H$3,0,0,'Données projet'!$E$11+1,1))</f>
        <v>433.57989081194</v>
      </c>
      <c r="BJ77" s="61">
        <f t="shared" si="92"/>
        <v>182.52060621271355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3"/>
        <v>0</v>
      </c>
      <c r="BT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1" t="e">
        <f t="shared" si="65"/>
        <v>#N/A</v>
      </c>
      <c r="CD77" s="61" t="e">
        <f ca="1">AVERAGE(OFFSET($CC$3,0,0,'Données projet'!$E$12+1,1))-AVERAGE(OFFSET($H$3,0,0,'Données projet'!$E$12+1,1))</f>
        <v>#N/A</v>
      </c>
      <c r="CE77" s="61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66"/>
        <v>0</v>
      </c>
      <c r="CO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1" t="e">
        <f t="shared" si="68"/>
        <v>#N/A</v>
      </c>
      <c r="CY77" s="61" t="e">
        <f ca="1">AVERAGE(OFFSET($CX$3,0,0,'Données projet'!$E$13+1,1))-AVERAGE(OFFSET($H$3,0,0,'Données projet'!$E$13+1,1))</f>
        <v>#N/A</v>
      </c>
      <c r="CZ77" s="61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69"/>
        <v>0</v>
      </c>
      <c r="DJ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1" t="e">
        <f t="shared" si="71"/>
        <v>#N/A</v>
      </c>
      <c r="DT77" s="61" t="e">
        <f ca="1">AVERAGE(OFFSET($DS$3,0,0,'Données projet'!$E$14+1,1))-AVERAGE(OFFSET($H$3,0,0,'Données projet'!$E$14+1,1))</f>
        <v>#N/A</v>
      </c>
      <c r="DU77" s="61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2"/>
        <v>0</v>
      </c>
      <c r="EE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1" t="e">
        <f t="shared" si="74"/>
        <v>#N/A</v>
      </c>
      <c r="EO77" s="61" t="e">
        <f ca="1">AVERAGE(OFFSET($EN$3,0,0,'Données projet'!$E$15+1,1))-AVERAGE(OFFSET($H$3,0,0,'Données projet'!$E$15+1,1))</f>
        <v>#N/A</v>
      </c>
      <c r="EP77" s="61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75"/>
        <v>0</v>
      </c>
      <c r="EZ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1" t="e">
        <f t="shared" si="77"/>
        <v>#N/A</v>
      </c>
      <c r="FJ77" s="61" t="e">
        <f ca="1">AVERAGE(OFFSET($FI$3,0,0,'Données projet'!$E$16+1,1))-AVERAGE(OFFSET($H$3,0,0,'Données projet'!$E$16+1,1))</f>
        <v>#N/A</v>
      </c>
      <c r="FK77" s="61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78"/>
        <v>0</v>
      </c>
      <c r="FU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1" t="e">
        <f t="shared" si="80"/>
        <v>#N/A</v>
      </c>
      <c r="GE77" s="61" t="e">
        <f ca="1">AVERAGE(OFFSET($GD$3,0,0,'Données projet'!$E$17+1,1))-AVERAGE(OFFSET($H$3,0,0,'Données projet'!$E$17+1,1))</f>
        <v>#N/A</v>
      </c>
      <c r="GF77" s="61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81"/>
        <v>0</v>
      </c>
      <c r="GP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1" t="e">
        <f t="shared" si="83"/>
        <v>#N/A</v>
      </c>
      <c r="GZ77" s="61" t="e">
        <f ca="1">AVERAGE(OFFSET($GY$3,0,0,'Données projet'!$E$18+1,1))-AVERAGE(OFFSET($H$3,0,0,'Données projet'!$E$18+1,1))</f>
        <v>#N/A</v>
      </c>
      <c r="HA77" s="61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84"/>
        <v>0</v>
      </c>
    </row>
    <row r="78" spans="1:218" s="5" customFormat="1" x14ac:dyDescent="0.45">
      <c r="A78" s="11">
        <f t="shared" si="85"/>
        <v>75</v>
      </c>
      <c r="B78" s="76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9">
        <f t="shared" si="56"/>
        <v>183.33333333333334</v>
      </c>
      <c r="I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532</v>
      </c>
      <c r="L78" s="13">
        <f>VLOOKUP(A78,'Données projet'!$A$35:$I$55,9,0)</f>
        <v>13.2</v>
      </c>
      <c r="M78" s="13">
        <f t="array" ref="M78">INDEX(L:L,MIN(IF(ISNUMBER(L78:L274),ROW(L78:L274),"")))</f>
        <v>13.2</v>
      </c>
      <c r="N78" s="14">
        <f>IF('Données projet'!$A$36&gt;35,N77+M78-V77,IF(A78&lt;'Données projet'!$A$36,$K$205^A78,IF(A78='Données projet'!$A$36,'Données projet'!$B$36,N77+M78-V77)))</f>
        <v>531.99999999999977</v>
      </c>
      <c r="O78" s="14">
        <f>N78*VLOOKUP('Données projet'!$B$9,Paramètres!$A$1:$I$88,3,0)*VLOOKUP('Données projet'!$B$9,Paramètres!$A$1:$I$88,5,0)</f>
        <v>318.13599999999991</v>
      </c>
      <c r="P78" s="14">
        <f t="shared" si="87"/>
        <v>74.965380442161177</v>
      </c>
      <c r="Q78" s="22">
        <f t="shared" si="54"/>
        <v>684.65157093676373</v>
      </c>
      <c r="R78" s="61">
        <f t="shared" si="55"/>
        <v>953.31315563658859</v>
      </c>
      <c r="S78" s="61">
        <f ca="1">AVERAGE(OFFSET($R$3,0,0,'Données projet'!$E$9+1,1))-AVERAGE(OFFSET($H$3,0,0,'Données projet'!$E$9+1,1))</f>
        <v>445.53168057836308</v>
      </c>
      <c r="T78" s="61">
        <f t="shared" si="88"/>
        <v>326.78684646135241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projet'!$B$9,Paramètres!$A$1:$I$88,7,0))</f>
        <v>0.40500000000000003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54.676984346448066</v>
      </c>
      <c r="AA78" s="23">
        <f>EXP(-LN(2)/25)*AA77+(1-EXP(-LN(2)/25))/(LN(2)/25)*Calculateur!V78*Calculateur!X78*VLOOKUP('Données projet'!$B$9,Paramètres!$A$1:$I$88,3,0)*0.475*44/12</f>
        <v>33.924097599575198</v>
      </c>
      <c r="AB78" s="23">
        <f>EXP(-LN(2)/2)*AB77+(1-EXP(-LN(2)/2))/(LN(2)/2)*V78*Y78*VLOOKUP('Données projet'!$B$9,Paramètres!$A$1:$I$88,3,0)*0.475*44/12</f>
        <v>0.1187459984074625</v>
      </c>
      <c r="AC78" s="24">
        <f t="shared" si="57"/>
        <v>88.719827944430733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14.6</v>
      </c>
      <c r="AI78" s="14">
        <f>IF('Données projet'!$A$62&gt;35,AI77+AH78-AQ77,IF(A78&lt;'Données projet'!$A$62,$AF$205^A78,IF(A78='Données projet'!$A$62,'Données projet'!$B$62,AI77+AH78-AQ77)))</f>
        <v>478.9999999999996</v>
      </c>
      <c r="AJ78" s="14">
        <f>AI78*VLOOKUP('Données projet'!$B$10,Paramètres!$A$1:$I$88,3,0)*VLOOKUP('Données projet'!$B$10,Paramètres!$A$1:$I$88,5,0)</f>
        <v>224.17199999999983</v>
      </c>
      <c r="AK78" s="14">
        <f t="shared" si="89"/>
        <v>55.020655519891761</v>
      </c>
      <c r="AL78" s="22">
        <f t="shared" si="58"/>
        <v>486.26054169714445</v>
      </c>
      <c r="AM78" s="61">
        <f t="shared" si="59"/>
        <v>754.92212639696925</v>
      </c>
      <c r="AN78" s="61">
        <f ca="1">AVERAGE(OFFSET($AM$3,0,0,'Données projet'!$E$10+1,1))-AVERAGE(OFFSET($H$3,0,0,'Données projet'!$E$10+1,1))</f>
        <v>375.77859820466693</v>
      </c>
      <c r="AO78" s="61">
        <f t="shared" si="90"/>
        <v>242.84781402593856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23.196649183206258</v>
      </c>
      <c r="AV78" s="23">
        <f>EXP(-LN(2)/25)*AV77+(1-EXP(-LN(2)/25))/(LN(2)/25)*Calculateur!AQ78*Calculateur!AS78*VLOOKUP('Données projet'!$B$9,Paramètres!$A$1:$I$88,3,0)*0.475*44/12</f>
        <v>31.348558530609235</v>
      </c>
      <c r="AW78" s="23">
        <f>EXP(-LN(2)/2)*AW77+(1-EXP(-LN(2)/2))/(LN(2)/2)*AQ78*AT78*VLOOKUP('Données projet'!$B$9,Paramètres!$A$1:$I$88,3,0)*0.475*44/12</f>
        <v>0</v>
      </c>
      <c r="AX78" s="23">
        <f t="shared" si="60"/>
        <v>54.545207713815493</v>
      </c>
      <c r="AY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4.4000000000000004</v>
      </c>
      <c r="BD78" s="13">
        <f>IF('Données projet'!$A$88&gt;35,BD77+BC78-BL77,IF(A78&lt;'Données projet'!$A$88,$BA$205^A78,IF(A78='Données projet'!$A$88,'Données projet'!$B$88,BD77+BC78-BL77)))</f>
        <v>120.80000000000013</v>
      </c>
      <c r="BE78" s="14">
        <f>BD78*VLOOKUP('Données projet'!$B$11,Paramètres!$A$1:$I$88,3,0)*VLOOKUP('Données projet'!$B$11,Paramètres!$A$1:$I$88,5,0)</f>
        <v>122.49120000000013</v>
      </c>
      <c r="BF78" s="14">
        <f t="shared" si="91"/>
        <v>32.255334127777502</v>
      </c>
      <c r="BG78" s="22">
        <f t="shared" si="61"/>
        <v>269.51688027254602</v>
      </c>
      <c r="BH78" s="61">
        <f t="shared" si="62"/>
        <v>538.17846497237088</v>
      </c>
      <c r="BI78" s="61">
        <f ca="1">AVERAGE(OFFSET($BH$3,0,0,'Données projet'!$E$11+1,1))-AVERAGE(OFFSET($H$3,0,0,'Données projet'!$E$11+1,1))</f>
        <v>433.57989081194</v>
      </c>
      <c r="BJ78" s="61">
        <f t="shared" si="92"/>
        <v>182.52060621271355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3"/>
        <v>0</v>
      </c>
      <c r="BT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1" t="e">
        <f t="shared" si="65"/>
        <v>#N/A</v>
      </c>
      <c r="CD78" s="61" t="e">
        <f ca="1">AVERAGE(OFFSET($CC$3,0,0,'Données projet'!$E$12+1,1))-AVERAGE(OFFSET($H$3,0,0,'Données projet'!$E$12+1,1))</f>
        <v>#N/A</v>
      </c>
      <c r="CE78" s="61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66"/>
        <v>0</v>
      </c>
      <c r="CO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1" t="e">
        <f t="shared" si="68"/>
        <v>#N/A</v>
      </c>
      <c r="CY78" s="61" t="e">
        <f ca="1">AVERAGE(OFFSET($CX$3,0,0,'Données projet'!$E$13+1,1))-AVERAGE(OFFSET($H$3,0,0,'Données projet'!$E$13+1,1))</f>
        <v>#N/A</v>
      </c>
      <c r="CZ78" s="61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69"/>
        <v>0</v>
      </c>
      <c r="DJ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1" t="e">
        <f t="shared" si="71"/>
        <v>#N/A</v>
      </c>
      <c r="DT78" s="61" t="e">
        <f ca="1">AVERAGE(OFFSET($DS$3,0,0,'Données projet'!$E$14+1,1))-AVERAGE(OFFSET($H$3,0,0,'Données projet'!$E$14+1,1))</f>
        <v>#N/A</v>
      </c>
      <c r="DU78" s="61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2"/>
        <v>0</v>
      </c>
      <c r="EE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1" t="e">
        <f t="shared" si="74"/>
        <v>#N/A</v>
      </c>
      <c r="EO78" s="61" t="e">
        <f ca="1">AVERAGE(OFFSET($EN$3,0,0,'Données projet'!$E$15+1,1))-AVERAGE(OFFSET($H$3,0,0,'Données projet'!$E$15+1,1))</f>
        <v>#N/A</v>
      </c>
      <c r="EP78" s="61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75"/>
        <v>0</v>
      </c>
      <c r="EZ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1" t="e">
        <f t="shared" si="77"/>
        <v>#N/A</v>
      </c>
      <c r="FJ78" s="61" t="e">
        <f ca="1">AVERAGE(OFFSET($FI$3,0,0,'Données projet'!$E$16+1,1))-AVERAGE(OFFSET($H$3,0,0,'Données projet'!$E$16+1,1))</f>
        <v>#N/A</v>
      </c>
      <c r="FK78" s="61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78"/>
        <v>0</v>
      </c>
      <c r="FU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1" t="e">
        <f t="shared" si="80"/>
        <v>#N/A</v>
      </c>
      <c r="GE78" s="61" t="e">
        <f ca="1">AVERAGE(OFFSET($GD$3,0,0,'Données projet'!$E$17+1,1))-AVERAGE(OFFSET($H$3,0,0,'Données projet'!$E$17+1,1))</f>
        <v>#N/A</v>
      </c>
      <c r="GF78" s="61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81"/>
        <v>0</v>
      </c>
      <c r="GP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1" t="e">
        <f t="shared" si="83"/>
        <v>#N/A</v>
      </c>
      <c r="GZ78" s="61" t="e">
        <f ca="1">AVERAGE(OFFSET($GY$3,0,0,'Données projet'!$E$18+1,1))-AVERAGE(OFFSET($H$3,0,0,'Données projet'!$E$18+1,1))</f>
        <v>#N/A</v>
      </c>
      <c r="HA78" s="61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84"/>
        <v>0</v>
      </c>
    </row>
    <row r="79" spans="1:218" s="5" customFormat="1" x14ac:dyDescent="0.45">
      <c r="A79" s="11">
        <f t="shared" si="85"/>
        <v>76</v>
      </c>
      <c r="B79" s="76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9">
        <f t="shared" si="56"/>
        <v>183.33333333333334</v>
      </c>
      <c r="I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12.4</v>
      </c>
      <c r="N79" s="14">
        <f>IF('Données projet'!$A$36&gt;35,N78+M79-V78,IF(A79&lt;'Données projet'!$A$36,$K$205^A79,IF(A79='Données projet'!$A$36,'Données projet'!$B$36,N78+M79-V78)))</f>
        <v>502.39999999999975</v>
      </c>
      <c r="O79" s="14">
        <f>N79*VLOOKUP('Données projet'!$B$9,Paramètres!$A$1:$I$88,3,0)*VLOOKUP('Données projet'!$B$9,Paramètres!$A$1:$I$88,5,0)</f>
        <v>300.4351999999999</v>
      </c>
      <c r="P79" s="14">
        <f t="shared" si="87"/>
        <v>71.267690413228948</v>
      </c>
      <c r="Q79" s="22">
        <f t="shared" si="54"/>
        <v>647.38253413637347</v>
      </c>
      <c r="R79" s="61">
        <f t="shared" si="55"/>
        <v>916.47211851722295</v>
      </c>
      <c r="S79" s="61">
        <f ca="1">AVERAGE(OFFSET($R$3,0,0,'Données projet'!$E$9+1,1))-AVERAGE(OFFSET($H$3,0,0,'Données projet'!$E$9+1,1))</f>
        <v>445.53168057836308</v>
      </c>
      <c r="T79" s="61">
        <f t="shared" si="88"/>
        <v>326.78684646135241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53.604802033081661</v>
      </c>
      <c r="AA79" s="23">
        <f>EXP(-LN(2)/25)*AA78+(1-EXP(-LN(2)/25))/(LN(2)/25)*Calculateur!V79*Calculateur!X79*VLOOKUP('Données projet'!$B$9,Paramètres!$A$1:$I$88,3,0)*0.475*44/12</f>
        <v>32.996441366724056</v>
      </c>
      <c r="AB79" s="23">
        <f>EXP(-LN(2)/2)*AB78+(1-EXP(-LN(2)/2))/(LN(2)/2)*V79*Y79*VLOOKUP('Données projet'!$B$9,Paramètres!$A$1:$I$88,3,0)*0.475*44/12</f>
        <v>8.3966100712683706E-2</v>
      </c>
      <c r="AC79" s="24">
        <f t="shared" si="57"/>
        <v>86.685209500518411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14.6</v>
      </c>
      <c r="AI79" s="14">
        <f>IF('Données projet'!$A$62&gt;35,AI78+AH79-AQ78,IF(A79&lt;'Données projet'!$A$62,$AF$205^A79,IF(A79='Données projet'!$A$62,'Données projet'!$B$62,AI78+AH79-AQ78)))</f>
        <v>493.59999999999962</v>
      </c>
      <c r="AJ79" s="14">
        <f>AI79*VLOOKUP('Données projet'!$B$10,Paramètres!$A$1:$I$88,3,0)*VLOOKUP('Données projet'!$B$10,Paramètres!$A$1:$I$88,5,0)</f>
        <v>231.00479999999982</v>
      </c>
      <c r="AK79" s="14">
        <f t="shared" si="89"/>
        <v>56.499887632538027</v>
      </c>
      <c r="AL79" s="22">
        <f t="shared" si="58"/>
        <v>500.73733096000342</v>
      </c>
      <c r="AM79" s="61">
        <f t="shared" si="59"/>
        <v>769.82691534085279</v>
      </c>
      <c r="AN79" s="61">
        <f ca="1">AVERAGE(OFFSET($AM$3,0,0,'Données projet'!$E$10+1,1))-AVERAGE(OFFSET($H$3,0,0,'Données projet'!$E$10+1,1))</f>
        <v>375.77859820466693</v>
      </c>
      <c r="AO79" s="61">
        <f t="shared" si="90"/>
        <v>242.84781402593856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22.741777041282532</v>
      </c>
      <c r="AV79" s="23">
        <f>EXP(-LN(2)/25)*AV78+(1-EXP(-LN(2)/25))/(LN(2)/25)*Calculateur!AQ79*Calculateur!AS79*VLOOKUP('Données projet'!$B$9,Paramètres!$A$1:$I$88,3,0)*0.475*44/12</f>
        <v>30.491330549040679</v>
      </c>
      <c r="AW79" s="23">
        <f>EXP(-LN(2)/2)*AW78+(1-EXP(-LN(2)/2))/(LN(2)/2)*AQ79*AT79*VLOOKUP('Données projet'!$B$9,Paramètres!$A$1:$I$88,3,0)*0.475*44/12</f>
        <v>0</v>
      </c>
      <c r="AX79" s="23">
        <f t="shared" si="60"/>
        <v>53.233107590323215</v>
      </c>
      <c r="AY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4.4000000000000004</v>
      </c>
      <c r="BD79" s="13">
        <f>IF('Données projet'!$A$88&gt;35,BD78+BC79-BL78,IF(A79&lt;'Données projet'!$A$88,$BA$205^A79,IF(A79='Données projet'!$A$88,'Données projet'!$B$88,BD78+BC79-BL78)))</f>
        <v>125.20000000000013</v>
      </c>
      <c r="BE79" s="14">
        <f>BD79*VLOOKUP('Données projet'!$B$11,Paramètres!$A$1:$I$88,3,0)*VLOOKUP('Données projet'!$B$11,Paramètres!$A$1:$I$88,5,0)</f>
        <v>126.95280000000012</v>
      </c>
      <c r="BF79" s="14">
        <f t="shared" si="91"/>
        <v>33.29127183204757</v>
      </c>
      <c r="BG79" s="22">
        <f t="shared" si="61"/>
        <v>279.09175844081636</v>
      </c>
      <c r="BH79" s="61">
        <f t="shared" si="62"/>
        <v>548.18134282166579</v>
      </c>
      <c r="BI79" s="61">
        <f ca="1">AVERAGE(OFFSET($BH$3,0,0,'Données projet'!$E$11+1,1))-AVERAGE(OFFSET($H$3,0,0,'Données projet'!$E$11+1,1))</f>
        <v>433.57989081194</v>
      </c>
      <c r="BJ79" s="61">
        <f t="shared" si="92"/>
        <v>182.52060621271355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3"/>
        <v>0</v>
      </c>
      <c r="BT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1" t="e">
        <f t="shared" si="65"/>
        <v>#N/A</v>
      </c>
      <c r="CD79" s="61" t="e">
        <f ca="1">AVERAGE(OFFSET($CC$3,0,0,'Données projet'!$E$12+1,1))-AVERAGE(OFFSET($H$3,0,0,'Données projet'!$E$12+1,1))</f>
        <v>#N/A</v>
      </c>
      <c r="CE79" s="61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66"/>
        <v>0</v>
      </c>
      <c r="CO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1" t="e">
        <f t="shared" si="68"/>
        <v>#N/A</v>
      </c>
      <c r="CY79" s="61" t="e">
        <f ca="1">AVERAGE(OFFSET($CX$3,0,0,'Données projet'!$E$13+1,1))-AVERAGE(OFFSET($H$3,0,0,'Données projet'!$E$13+1,1))</f>
        <v>#N/A</v>
      </c>
      <c r="CZ79" s="61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69"/>
        <v>0</v>
      </c>
      <c r="DJ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1" t="e">
        <f t="shared" si="71"/>
        <v>#N/A</v>
      </c>
      <c r="DT79" s="61" t="e">
        <f ca="1">AVERAGE(OFFSET($DS$3,0,0,'Données projet'!$E$14+1,1))-AVERAGE(OFFSET($H$3,0,0,'Données projet'!$E$14+1,1))</f>
        <v>#N/A</v>
      </c>
      <c r="DU79" s="61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2"/>
        <v>0</v>
      </c>
      <c r="EE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1" t="e">
        <f t="shared" si="74"/>
        <v>#N/A</v>
      </c>
      <c r="EO79" s="61" t="e">
        <f ca="1">AVERAGE(OFFSET($EN$3,0,0,'Données projet'!$E$15+1,1))-AVERAGE(OFFSET($H$3,0,0,'Données projet'!$E$15+1,1))</f>
        <v>#N/A</v>
      </c>
      <c r="EP79" s="61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75"/>
        <v>0</v>
      </c>
      <c r="EZ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1" t="e">
        <f t="shared" si="77"/>
        <v>#N/A</v>
      </c>
      <c r="FJ79" s="61" t="e">
        <f ca="1">AVERAGE(OFFSET($FI$3,0,0,'Données projet'!$E$16+1,1))-AVERAGE(OFFSET($H$3,0,0,'Données projet'!$E$16+1,1))</f>
        <v>#N/A</v>
      </c>
      <c r="FK79" s="61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78"/>
        <v>0</v>
      </c>
      <c r="FU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1" t="e">
        <f t="shared" si="80"/>
        <v>#N/A</v>
      </c>
      <c r="GE79" s="61" t="e">
        <f ca="1">AVERAGE(OFFSET($GD$3,0,0,'Données projet'!$E$17+1,1))-AVERAGE(OFFSET($H$3,0,0,'Données projet'!$E$17+1,1))</f>
        <v>#N/A</v>
      </c>
      <c r="GF79" s="61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81"/>
        <v>0</v>
      </c>
      <c r="GP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1" t="e">
        <f t="shared" si="83"/>
        <v>#N/A</v>
      </c>
      <c r="GZ79" s="61" t="e">
        <f ca="1">AVERAGE(OFFSET($GY$3,0,0,'Données projet'!$E$18+1,1))-AVERAGE(OFFSET($H$3,0,0,'Données projet'!$E$18+1,1))</f>
        <v>#N/A</v>
      </c>
      <c r="HA79" s="61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84"/>
        <v>0</v>
      </c>
    </row>
    <row r="80" spans="1:218" s="5" customFormat="1" x14ac:dyDescent="0.45">
      <c r="A80" s="11">
        <f t="shared" si="85"/>
        <v>77</v>
      </c>
      <c r="B80" s="76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9">
        <f t="shared" si="56"/>
        <v>183.33333333333334</v>
      </c>
      <c r="I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12.4</v>
      </c>
      <c r="N80" s="14">
        <f>IF('Données projet'!$A$36&gt;35,N79+M80-V79,IF(A80&lt;'Données projet'!$A$36,$K$205^A80,IF(A80='Données projet'!$A$36,'Données projet'!$B$36,N79+M80-V79)))</f>
        <v>514.79999999999973</v>
      </c>
      <c r="O80" s="14">
        <f>N80*VLOOKUP('Données projet'!$B$9,Paramètres!$A$1:$I$88,3,0)*VLOOKUP('Données projet'!$B$9,Paramètres!$A$1:$I$88,5,0)</f>
        <v>307.85039999999987</v>
      </c>
      <c r="P80" s="14">
        <f t="shared" si="87"/>
        <v>72.819726494623737</v>
      </c>
      <c r="Q80" s="22">
        <f t="shared" si="54"/>
        <v>663.00047031146948</v>
      </c>
      <c r="R80" s="61">
        <f t="shared" si="55"/>
        <v>932.51062953574183</v>
      </c>
      <c r="S80" s="61">
        <f ca="1">AVERAGE(OFFSET($R$3,0,0,'Données projet'!$E$9+1,1))-AVERAGE(OFFSET($H$3,0,0,'Données projet'!$E$9+1,1))</f>
        <v>445.53168057836308</v>
      </c>
      <c r="T80" s="61">
        <f t="shared" si="88"/>
        <v>326.78684646135241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52.553644560913739</v>
      </c>
      <c r="AA80" s="23">
        <f>EXP(-LN(2)/25)*AA79+(1-EXP(-LN(2)/25))/(LN(2)/25)*Calculateur!V80*Calculateur!X80*VLOOKUP('Données projet'!$B$9,Paramètres!$A$1:$I$88,3,0)*0.475*44/12</f>
        <v>32.094151942343551</v>
      </c>
      <c r="AB80" s="23">
        <f>EXP(-LN(2)/2)*AB79+(1-EXP(-LN(2)/2))/(LN(2)/2)*V80*Y80*VLOOKUP('Données projet'!$B$9,Paramètres!$A$1:$I$88,3,0)*0.475*44/12</f>
        <v>5.937299920373125E-2</v>
      </c>
      <c r="AC80" s="24">
        <f t="shared" si="57"/>
        <v>84.707169502461028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14.6</v>
      </c>
      <c r="AI80" s="14">
        <f>IF('Données projet'!$A$62&gt;35,AI79+AH80-AQ79,IF(A80&lt;'Données projet'!$A$62,$AF$205^A80,IF(A80='Données projet'!$A$62,'Données projet'!$B$62,AI79+AH80-AQ79)))</f>
        <v>508.19999999999965</v>
      </c>
      <c r="AJ80" s="14">
        <f>AI80*VLOOKUP('Données projet'!$B$10,Paramètres!$A$1:$I$88,3,0)*VLOOKUP('Données projet'!$B$10,Paramètres!$A$1:$I$88,5,0)</f>
        <v>237.83759999999981</v>
      </c>
      <c r="AK80" s="14">
        <f t="shared" si="89"/>
        <v>57.974034797190974</v>
      </c>
      <c r="AL80" s="22">
        <f t="shared" si="58"/>
        <v>515.20526393844068</v>
      </c>
      <c r="AM80" s="61">
        <f t="shared" si="59"/>
        <v>784.71542316271302</v>
      </c>
      <c r="AN80" s="61">
        <f ca="1">AVERAGE(OFFSET($AM$3,0,0,'Données projet'!$E$10+1,1))-AVERAGE(OFFSET($H$3,0,0,'Données projet'!$E$10+1,1))</f>
        <v>375.77859820466693</v>
      </c>
      <c r="AO80" s="61">
        <f t="shared" si="90"/>
        <v>242.84781402593856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22.295824664617317</v>
      </c>
      <c r="AV80" s="23">
        <f>EXP(-LN(2)/25)*AV79+(1-EXP(-LN(2)/25))/(LN(2)/25)*Calculateur!AQ80*Calculateur!AS80*VLOOKUP('Données projet'!$B$9,Paramètres!$A$1:$I$88,3,0)*0.475*44/12</f>
        <v>29.657543511707779</v>
      </c>
      <c r="AW80" s="23">
        <f>EXP(-LN(2)/2)*AW79+(1-EXP(-LN(2)/2))/(LN(2)/2)*AQ80*AT80*VLOOKUP('Données projet'!$B$9,Paramètres!$A$1:$I$88,3,0)*0.475*44/12</f>
        <v>0</v>
      </c>
      <c r="AX80" s="23">
        <f t="shared" si="60"/>
        <v>51.9533681763251</v>
      </c>
      <c r="AY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4.4000000000000004</v>
      </c>
      <c r="BD80" s="13">
        <f>IF('Données projet'!$A$88&gt;35,BD79+BC80-BL79,IF(A80&lt;'Données projet'!$A$88,$BA$205^A80,IF(A80='Données projet'!$A$88,'Données projet'!$B$88,BD79+BC80-BL79)))</f>
        <v>129.60000000000014</v>
      </c>
      <c r="BE80" s="14">
        <f>BD80*VLOOKUP('Données projet'!$B$11,Paramètres!$A$1:$I$88,3,0)*VLOOKUP('Données projet'!$B$11,Paramètres!$A$1:$I$88,5,0)</f>
        <v>131.41440000000014</v>
      </c>
      <c r="BF80" s="14">
        <f t="shared" si="91"/>
        <v>34.32297952601067</v>
      </c>
      <c r="BG80" s="22">
        <f t="shared" si="61"/>
        <v>288.65926934113548</v>
      </c>
      <c r="BH80" s="61">
        <f t="shared" si="62"/>
        <v>558.16942856540777</v>
      </c>
      <c r="BI80" s="61">
        <f ca="1">AVERAGE(OFFSET($BH$3,0,0,'Données projet'!$E$11+1,1))-AVERAGE(OFFSET($H$3,0,0,'Données projet'!$E$11+1,1))</f>
        <v>433.57989081194</v>
      </c>
      <c r="BJ80" s="61">
        <f t="shared" si="92"/>
        <v>182.52060621271355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3"/>
        <v>0</v>
      </c>
      <c r="BT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1" t="e">
        <f t="shared" si="65"/>
        <v>#N/A</v>
      </c>
      <c r="CD80" s="61" t="e">
        <f ca="1">AVERAGE(OFFSET($CC$3,0,0,'Données projet'!$E$12+1,1))-AVERAGE(OFFSET($H$3,0,0,'Données projet'!$E$12+1,1))</f>
        <v>#N/A</v>
      </c>
      <c r="CE80" s="61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66"/>
        <v>0</v>
      </c>
      <c r="CO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1" t="e">
        <f t="shared" si="68"/>
        <v>#N/A</v>
      </c>
      <c r="CY80" s="61" t="e">
        <f ca="1">AVERAGE(OFFSET($CX$3,0,0,'Données projet'!$E$13+1,1))-AVERAGE(OFFSET($H$3,0,0,'Données projet'!$E$13+1,1))</f>
        <v>#N/A</v>
      </c>
      <c r="CZ80" s="61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69"/>
        <v>0</v>
      </c>
      <c r="DJ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1" t="e">
        <f t="shared" si="71"/>
        <v>#N/A</v>
      </c>
      <c r="DT80" s="61" t="e">
        <f ca="1">AVERAGE(OFFSET($DS$3,0,0,'Données projet'!$E$14+1,1))-AVERAGE(OFFSET($H$3,0,0,'Données projet'!$E$14+1,1))</f>
        <v>#N/A</v>
      </c>
      <c r="DU80" s="61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2"/>
        <v>0</v>
      </c>
      <c r="EE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1" t="e">
        <f t="shared" si="74"/>
        <v>#N/A</v>
      </c>
      <c r="EO80" s="61" t="e">
        <f ca="1">AVERAGE(OFFSET($EN$3,0,0,'Données projet'!$E$15+1,1))-AVERAGE(OFFSET($H$3,0,0,'Données projet'!$E$15+1,1))</f>
        <v>#N/A</v>
      </c>
      <c r="EP80" s="61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75"/>
        <v>0</v>
      </c>
      <c r="EZ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1" t="e">
        <f t="shared" si="77"/>
        <v>#N/A</v>
      </c>
      <c r="FJ80" s="61" t="e">
        <f ca="1">AVERAGE(OFFSET($FI$3,0,0,'Données projet'!$E$16+1,1))-AVERAGE(OFFSET($H$3,0,0,'Données projet'!$E$16+1,1))</f>
        <v>#N/A</v>
      </c>
      <c r="FK80" s="61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78"/>
        <v>0</v>
      </c>
      <c r="FU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1" t="e">
        <f t="shared" si="80"/>
        <v>#N/A</v>
      </c>
      <c r="GE80" s="61" t="e">
        <f ca="1">AVERAGE(OFFSET($GD$3,0,0,'Données projet'!$E$17+1,1))-AVERAGE(OFFSET($H$3,0,0,'Données projet'!$E$17+1,1))</f>
        <v>#N/A</v>
      </c>
      <c r="GF80" s="61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81"/>
        <v>0</v>
      </c>
      <c r="GP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1" t="e">
        <f t="shared" si="83"/>
        <v>#N/A</v>
      </c>
      <c r="GZ80" s="61" t="e">
        <f ca="1">AVERAGE(OFFSET($GY$3,0,0,'Données projet'!$E$18+1,1))-AVERAGE(OFFSET($H$3,0,0,'Données projet'!$E$18+1,1))</f>
        <v>#N/A</v>
      </c>
      <c r="HA80" s="61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84"/>
        <v>0</v>
      </c>
    </row>
    <row r="81" spans="1:218" s="5" customFormat="1" x14ac:dyDescent="0.45">
      <c r="A81" s="11">
        <f t="shared" si="85"/>
        <v>78</v>
      </c>
      <c r="B81" s="76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9">
        <f t="shared" si="56"/>
        <v>183.33333333333334</v>
      </c>
      <c r="I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12.4</v>
      </c>
      <c r="N81" s="14">
        <f>IF('Données projet'!$A$36&gt;35,N80+M81-V80,IF(A81&lt;'Données projet'!$A$36,$K$205^A81,IF(A81='Données projet'!$A$36,'Données projet'!$B$36,N80+M81-V80)))</f>
        <v>527.1999999999997</v>
      </c>
      <c r="O81" s="14">
        <f>N81*VLOOKUP('Données projet'!$B$9,Paramètres!$A$1:$I$88,3,0)*VLOOKUP('Données projet'!$B$9,Paramètres!$A$1:$I$88,5,0)</f>
        <v>315.26559999999984</v>
      </c>
      <c r="P81" s="14">
        <f t="shared" si="87"/>
        <v>74.367416736885517</v>
      </c>
      <c r="Q81" s="22">
        <f t="shared" si="54"/>
        <v>678.61083748340866</v>
      </c>
      <c r="R81" s="61">
        <f t="shared" si="55"/>
        <v>948.53427551783489</v>
      </c>
      <c r="S81" s="61">
        <f ca="1">AVERAGE(OFFSET($R$3,0,0,'Données projet'!$E$9+1,1))-AVERAGE(OFFSET($H$3,0,0,'Données projet'!$E$9+1,1))</f>
        <v>445.53168057836308</v>
      </c>
      <c r="T81" s="61">
        <f t="shared" si="88"/>
        <v>326.78684646135241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51.523099645632279</v>
      </c>
      <c r="AA81" s="23">
        <f>EXP(-LN(2)/25)*AA80+(1-EXP(-LN(2)/25))/(LN(2)/25)*Calculateur!V81*Calculateur!X81*VLOOKUP('Données projet'!$B$9,Paramètres!$A$1:$I$88,3,0)*0.475*44/12</f>
        <v>31.216535669722067</v>
      </c>
      <c r="AB81" s="23">
        <f>EXP(-LN(2)/2)*AB80+(1-EXP(-LN(2)/2))/(LN(2)/2)*V81*Y81*VLOOKUP('Données projet'!$B$9,Paramètres!$A$1:$I$88,3,0)*0.475*44/12</f>
        <v>4.1983050356341853E-2</v>
      </c>
      <c r="AC81" s="24">
        <f t="shared" si="57"/>
        <v>82.781618365710685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14.6</v>
      </c>
      <c r="AI81" s="14">
        <f>IF('Données projet'!$A$62&gt;35,AI80+AH81-AQ80,IF(A81&lt;'Données projet'!$A$62,$AF$205^A81,IF(A81='Données projet'!$A$62,'Données projet'!$B$62,AI80+AH81-AQ80)))</f>
        <v>522.79999999999961</v>
      </c>
      <c r="AJ81" s="14">
        <f>AI81*VLOOKUP('Données projet'!$B$10,Paramètres!$A$1:$I$88,3,0)*VLOOKUP('Données projet'!$B$10,Paramètres!$A$1:$I$88,5,0)</f>
        <v>244.67039999999983</v>
      </c>
      <c r="AK81" s="14">
        <f t="shared" si="89"/>
        <v>59.443259875819649</v>
      </c>
      <c r="AL81" s="22">
        <f t="shared" si="58"/>
        <v>529.66462428371892</v>
      </c>
      <c r="AM81" s="61">
        <f t="shared" si="59"/>
        <v>799.58806231814515</v>
      </c>
      <c r="AN81" s="61">
        <f ca="1">AVERAGE(OFFSET($AM$3,0,0,'Données projet'!$E$10+1,1))-AVERAGE(OFFSET($H$3,0,0,'Données projet'!$E$10+1,1))</f>
        <v>375.77859820466693</v>
      </c>
      <c r="AO81" s="61">
        <f t="shared" si="90"/>
        <v>242.84781402593856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21.858617142054417</v>
      </c>
      <c r="AV81" s="23">
        <f>EXP(-LN(2)/25)*AV80+(1-EXP(-LN(2)/25))/(LN(2)/25)*Calculateur!AQ81*Calculateur!AS81*VLOOKUP('Données projet'!$B$9,Paramètres!$A$1:$I$88,3,0)*0.475*44/12</f>
        <v>28.846556424757701</v>
      </c>
      <c r="AW81" s="23">
        <f>EXP(-LN(2)/2)*AW80+(1-EXP(-LN(2)/2))/(LN(2)/2)*AQ81*AT81*VLOOKUP('Données projet'!$B$9,Paramètres!$A$1:$I$88,3,0)*0.475*44/12</f>
        <v>0</v>
      </c>
      <c r="AX81" s="23">
        <f t="shared" si="60"/>
        <v>50.705173566812121</v>
      </c>
      <c r="AY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4.4000000000000004</v>
      </c>
      <c r="BD81" s="13">
        <f>IF('Données projet'!$A$88&gt;35,BD80+BC81-BL80,IF(A81&lt;'Données projet'!$A$88,$BA$205^A81,IF(A81='Données projet'!$A$88,'Données projet'!$B$88,BD80+BC81-BL80)))</f>
        <v>134.00000000000014</v>
      </c>
      <c r="BE81" s="14">
        <f>BD81*VLOOKUP('Données projet'!$B$11,Paramètres!$A$1:$I$88,3,0)*VLOOKUP('Données projet'!$B$11,Paramètres!$A$1:$I$88,5,0)</f>
        <v>135.87600000000015</v>
      </c>
      <c r="BF81" s="14">
        <f t="shared" si="91"/>
        <v>35.350617283602737</v>
      </c>
      <c r="BG81" s="22">
        <f t="shared" si="61"/>
        <v>298.21969176894169</v>
      </c>
      <c r="BH81" s="61">
        <f t="shared" si="62"/>
        <v>568.14312980336786</v>
      </c>
      <c r="BI81" s="61">
        <f ca="1">AVERAGE(OFFSET($BH$3,0,0,'Données projet'!$E$11+1,1))-AVERAGE(OFFSET($H$3,0,0,'Données projet'!$E$11+1,1))</f>
        <v>433.57989081194</v>
      </c>
      <c r="BJ81" s="61">
        <f t="shared" si="92"/>
        <v>182.52060621271355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3"/>
        <v>0</v>
      </c>
      <c r="BT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1" t="e">
        <f t="shared" si="65"/>
        <v>#N/A</v>
      </c>
      <c r="CD81" s="61" t="e">
        <f ca="1">AVERAGE(OFFSET($CC$3,0,0,'Données projet'!$E$12+1,1))-AVERAGE(OFFSET($H$3,0,0,'Données projet'!$E$12+1,1))</f>
        <v>#N/A</v>
      </c>
      <c r="CE81" s="61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66"/>
        <v>0</v>
      </c>
      <c r="CO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1" t="e">
        <f t="shared" si="68"/>
        <v>#N/A</v>
      </c>
      <c r="CY81" s="61" t="e">
        <f ca="1">AVERAGE(OFFSET($CX$3,0,0,'Données projet'!$E$13+1,1))-AVERAGE(OFFSET($H$3,0,0,'Données projet'!$E$13+1,1))</f>
        <v>#N/A</v>
      </c>
      <c r="CZ81" s="61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69"/>
        <v>0</v>
      </c>
      <c r="DJ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1" t="e">
        <f t="shared" si="71"/>
        <v>#N/A</v>
      </c>
      <c r="DT81" s="61" t="e">
        <f ca="1">AVERAGE(OFFSET($DS$3,0,0,'Données projet'!$E$14+1,1))-AVERAGE(OFFSET($H$3,0,0,'Données projet'!$E$14+1,1))</f>
        <v>#N/A</v>
      </c>
      <c r="DU81" s="61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2"/>
        <v>0</v>
      </c>
      <c r="EE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1" t="e">
        <f t="shared" si="74"/>
        <v>#N/A</v>
      </c>
      <c r="EO81" s="61" t="e">
        <f ca="1">AVERAGE(OFFSET($EN$3,0,0,'Données projet'!$E$15+1,1))-AVERAGE(OFFSET($H$3,0,0,'Données projet'!$E$15+1,1))</f>
        <v>#N/A</v>
      </c>
      <c r="EP81" s="61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75"/>
        <v>0</v>
      </c>
      <c r="EZ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1" t="e">
        <f t="shared" si="77"/>
        <v>#N/A</v>
      </c>
      <c r="FJ81" s="61" t="e">
        <f ca="1">AVERAGE(OFFSET($FI$3,0,0,'Données projet'!$E$16+1,1))-AVERAGE(OFFSET($H$3,0,0,'Données projet'!$E$16+1,1))</f>
        <v>#N/A</v>
      </c>
      <c r="FK81" s="61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78"/>
        <v>0</v>
      </c>
      <c r="FU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1" t="e">
        <f t="shared" si="80"/>
        <v>#N/A</v>
      </c>
      <c r="GE81" s="61" t="e">
        <f ca="1">AVERAGE(OFFSET($GD$3,0,0,'Données projet'!$E$17+1,1))-AVERAGE(OFFSET($H$3,0,0,'Données projet'!$E$17+1,1))</f>
        <v>#N/A</v>
      </c>
      <c r="GF81" s="61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81"/>
        <v>0</v>
      </c>
      <c r="GP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1" t="e">
        <f t="shared" si="83"/>
        <v>#N/A</v>
      </c>
      <c r="GZ81" s="61" t="e">
        <f ca="1">AVERAGE(OFFSET($GY$3,0,0,'Données projet'!$E$18+1,1))-AVERAGE(OFFSET($H$3,0,0,'Données projet'!$E$18+1,1))</f>
        <v>#N/A</v>
      </c>
      <c r="HA81" s="61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84"/>
        <v>0</v>
      </c>
    </row>
    <row r="82" spans="1:218" s="5" customFormat="1" x14ac:dyDescent="0.45">
      <c r="A82" s="11">
        <f t="shared" si="85"/>
        <v>79</v>
      </c>
      <c r="B82" s="76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9">
        <f t="shared" si="56"/>
        <v>183.33333333333334</v>
      </c>
      <c r="I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12.4</v>
      </c>
      <c r="N82" s="14">
        <f>IF('Données projet'!$A$36&gt;35,N81+M82-V81,IF(A82&lt;'Données projet'!$A$36,$K$205^A82,IF(A82='Données projet'!$A$36,'Données projet'!$B$36,N81+M82-V81)))</f>
        <v>539.59999999999968</v>
      </c>
      <c r="O82" s="14">
        <f>N82*VLOOKUP('Données projet'!$B$9,Paramètres!$A$1:$I$88,3,0)*VLOOKUP('Données projet'!$B$9,Paramètres!$A$1:$I$88,5,0)</f>
        <v>322.68079999999986</v>
      </c>
      <c r="P82" s="14">
        <f t="shared" si="87"/>
        <v>75.910875119409738</v>
      </c>
      <c r="Q82" s="22">
        <f t="shared" si="54"/>
        <v>694.21383416630499</v>
      </c>
      <c r="R82" s="61">
        <f t="shared" si="55"/>
        <v>964.54338154748189</v>
      </c>
      <c r="S82" s="61">
        <f ca="1">AVERAGE(OFFSET($R$3,0,0,'Données projet'!$E$9+1,1))-AVERAGE(OFFSET($H$3,0,0,'Données projet'!$E$9+1,1))</f>
        <v>445.53168057836308</v>
      </c>
      <c r="T82" s="61">
        <f t="shared" si="88"/>
        <v>326.78684646135241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50.512763087569155</v>
      </c>
      <c r="AA82" s="23">
        <f>EXP(-LN(2)/25)*AA81+(1-EXP(-LN(2)/25))/(LN(2)/25)*Calculateur!V82*Calculateur!X82*VLOOKUP('Données projet'!$B$9,Paramètres!$A$1:$I$88,3,0)*0.475*44/12</f>
        <v>30.362917860227252</v>
      </c>
      <c r="AB82" s="23">
        <f>EXP(-LN(2)/2)*AB81+(1-EXP(-LN(2)/2))/(LN(2)/2)*V82*Y82*VLOOKUP('Données projet'!$B$9,Paramètres!$A$1:$I$88,3,0)*0.475*44/12</f>
        <v>2.9686499601865625E-2</v>
      </c>
      <c r="AC82" s="24">
        <f t="shared" si="57"/>
        <v>80.905367447398277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14.6</v>
      </c>
      <c r="AI82" s="14">
        <f>IF('Données projet'!$A$62&gt;35,AI81+AH82-AQ81,IF(A82&lt;'Données projet'!$A$62,$AF$205^A82,IF(A82='Données projet'!$A$62,'Données projet'!$B$62,AI81+AH82-AQ81)))</f>
        <v>537.39999999999964</v>
      </c>
      <c r="AJ82" s="14">
        <f>AI82*VLOOKUP('Données projet'!$B$10,Paramètres!$A$1:$I$88,3,0)*VLOOKUP('Données projet'!$B$10,Paramètres!$A$1:$I$88,5,0)</f>
        <v>251.50319999999982</v>
      </c>
      <c r="AK82" s="14">
        <f t="shared" si="89"/>
        <v>60.907716116489468</v>
      </c>
      <c r="AL82" s="22">
        <f t="shared" si="58"/>
        <v>544.11567890288541</v>
      </c>
      <c r="AM82" s="61">
        <f t="shared" si="59"/>
        <v>814.4452262840623</v>
      </c>
      <c r="AN82" s="61">
        <f ca="1">AVERAGE(OFFSET($AM$3,0,0,'Données projet'!$E$10+1,1))-AVERAGE(OFFSET($H$3,0,0,'Données projet'!$E$10+1,1))</f>
        <v>375.77859820466693</v>
      </c>
      <c r="AO82" s="61">
        <f t="shared" si="90"/>
        <v>242.84781402593856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21.429982992338719</v>
      </c>
      <c r="AV82" s="23">
        <f>EXP(-LN(2)/25)*AV81+(1-EXP(-LN(2)/25))/(LN(2)/25)*Calculateur!AQ82*Calculateur!AS82*VLOOKUP('Données projet'!$B$9,Paramètres!$A$1:$I$88,3,0)*0.475*44/12</f>
        <v>28.057745822348227</v>
      </c>
      <c r="AW82" s="23">
        <f>EXP(-LN(2)/2)*AW81+(1-EXP(-LN(2)/2))/(LN(2)/2)*AQ82*AT82*VLOOKUP('Données projet'!$B$9,Paramètres!$A$1:$I$88,3,0)*0.475*44/12</f>
        <v>0</v>
      </c>
      <c r="AX82" s="23">
        <f t="shared" si="60"/>
        <v>49.487728814686946</v>
      </c>
      <c r="AY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4.4000000000000004</v>
      </c>
      <c r="BD82" s="13">
        <f>IF('Données projet'!$A$88&gt;35,BD81+BC82-BL81,IF(A82&lt;'Données projet'!$A$88,$BA$205^A82,IF(A82='Données projet'!$A$88,'Données projet'!$B$88,BD81+BC82-BL81)))</f>
        <v>138.40000000000015</v>
      </c>
      <c r="BE82" s="14">
        <f>BD82*VLOOKUP('Données projet'!$B$11,Paramètres!$A$1:$I$88,3,0)*VLOOKUP('Données projet'!$B$11,Paramètres!$A$1:$I$88,5,0)</f>
        <v>140.33760000000015</v>
      </c>
      <c r="BF82" s="14">
        <f t="shared" si="91"/>
        <v>36.374334069789043</v>
      </c>
      <c r="BG82" s="22">
        <f t="shared" si="61"/>
        <v>307.7732851715495</v>
      </c>
      <c r="BH82" s="61">
        <f t="shared" si="62"/>
        <v>578.10283255272645</v>
      </c>
      <c r="BI82" s="61">
        <f ca="1">AVERAGE(OFFSET($BH$3,0,0,'Données projet'!$E$11+1,1))-AVERAGE(OFFSET($H$3,0,0,'Données projet'!$E$11+1,1))</f>
        <v>433.57989081194</v>
      </c>
      <c r="BJ82" s="61">
        <f t="shared" si="92"/>
        <v>182.52060621271355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3"/>
        <v>0</v>
      </c>
      <c r="BT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1" t="e">
        <f t="shared" si="65"/>
        <v>#N/A</v>
      </c>
      <c r="CD82" s="61" t="e">
        <f ca="1">AVERAGE(OFFSET($CC$3,0,0,'Données projet'!$E$12+1,1))-AVERAGE(OFFSET($H$3,0,0,'Données projet'!$E$12+1,1))</f>
        <v>#N/A</v>
      </c>
      <c r="CE82" s="61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66"/>
        <v>0</v>
      </c>
      <c r="CO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1" t="e">
        <f t="shared" si="68"/>
        <v>#N/A</v>
      </c>
      <c r="CY82" s="61" t="e">
        <f ca="1">AVERAGE(OFFSET($CX$3,0,0,'Données projet'!$E$13+1,1))-AVERAGE(OFFSET($H$3,0,0,'Données projet'!$E$13+1,1))</f>
        <v>#N/A</v>
      </c>
      <c r="CZ82" s="61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69"/>
        <v>0</v>
      </c>
      <c r="DJ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1" t="e">
        <f t="shared" si="71"/>
        <v>#N/A</v>
      </c>
      <c r="DT82" s="61" t="e">
        <f ca="1">AVERAGE(OFFSET($DS$3,0,0,'Données projet'!$E$14+1,1))-AVERAGE(OFFSET($H$3,0,0,'Données projet'!$E$14+1,1))</f>
        <v>#N/A</v>
      </c>
      <c r="DU82" s="61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2"/>
        <v>0</v>
      </c>
      <c r="EE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1" t="e">
        <f t="shared" si="74"/>
        <v>#N/A</v>
      </c>
      <c r="EO82" s="61" t="e">
        <f ca="1">AVERAGE(OFFSET($EN$3,0,0,'Données projet'!$E$15+1,1))-AVERAGE(OFFSET($H$3,0,0,'Données projet'!$E$15+1,1))</f>
        <v>#N/A</v>
      </c>
      <c r="EP82" s="61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75"/>
        <v>0</v>
      </c>
      <c r="EZ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1" t="e">
        <f t="shared" si="77"/>
        <v>#N/A</v>
      </c>
      <c r="FJ82" s="61" t="e">
        <f ca="1">AVERAGE(OFFSET($FI$3,0,0,'Données projet'!$E$16+1,1))-AVERAGE(OFFSET($H$3,0,0,'Données projet'!$E$16+1,1))</f>
        <v>#N/A</v>
      </c>
      <c r="FK82" s="61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78"/>
        <v>0</v>
      </c>
      <c r="FU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1" t="e">
        <f t="shared" si="80"/>
        <v>#N/A</v>
      </c>
      <c r="GE82" s="61" t="e">
        <f ca="1">AVERAGE(OFFSET($GD$3,0,0,'Données projet'!$E$17+1,1))-AVERAGE(OFFSET($H$3,0,0,'Données projet'!$E$17+1,1))</f>
        <v>#N/A</v>
      </c>
      <c r="GF82" s="61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81"/>
        <v>0</v>
      </c>
      <c r="GP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1" t="e">
        <f t="shared" si="83"/>
        <v>#N/A</v>
      </c>
      <c r="GZ82" s="61" t="e">
        <f ca="1">AVERAGE(OFFSET($GY$3,0,0,'Données projet'!$E$18+1,1))-AVERAGE(OFFSET($H$3,0,0,'Données projet'!$E$18+1,1))</f>
        <v>#N/A</v>
      </c>
      <c r="HA82" s="61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84"/>
        <v>0</v>
      </c>
    </row>
    <row r="83" spans="1:218" s="5" customFormat="1" x14ac:dyDescent="0.45">
      <c r="A83" s="11">
        <f t="shared" si="85"/>
        <v>80</v>
      </c>
      <c r="B83" s="76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9">
        <f t="shared" si="56"/>
        <v>183.33333333333334</v>
      </c>
      <c r="I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552</v>
      </c>
      <c r="L83" s="13">
        <f>VLOOKUP(A83,'Données projet'!$A$35:$I$55,9,0)</f>
        <v>12.4</v>
      </c>
      <c r="M83" s="13">
        <f t="array" ref="M83">INDEX(L:L,MIN(IF(ISNUMBER(L83:L279),ROW(L83:L279),"")))</f>
        <v>12.4</v>
      </c>
      <c r="N83" s="14">
        <f>IF('Données projet'!$A$36&gt;35,N82+M83-V82,IF(A83&lt;'Données projet'!$A$36,$K$205^A83,IF(A83='Données projet'!$A$36,'Données projet'!$B$36,N82+M83-V82)))</f>
        <v>551.99999999999966</v>
      </c>
      <c r="O83" s="14">
        <f>N83*VLOOKUP('Données projet'!$B$9,Paramètres!$A$1:$I$88,3,0)*VLOOKUP('Données projet'!$B$9,Paramètres!$A$1:$I$88,5,0)</f>
        <v>330.09599999999983</v>
      </c>
      <c r="P83" s="14">
        <f t="shared" si="87"/>
        <v>77.450210084163189</v>
      </c>
      <c r="Q83" s="22">
        <f t="shared" si="54"/>
        <v>709.80964922991723</v>
      </c>
      <c r="R83" s="61">
        <f t="shared" si="55"/>
        <v>980.5382608686034</v>
      </c>
      <c r="S83" s="61">
        <f ca="1">AVERAGE(OFFSET($R$3,0,0,'Données projet'!$E$9+1,1))-AVERAGE(OFFSET($H$3,0,0,'Données projet'!$E$9+1,1))</f>
        <v>445.53168057836308</v>
      </c>
      <c r="T83" s="61">
        <f t="shared" si="88"/>
        <v>326.78684646135241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40</v>
      </c>
      <c r="W83" s="17">
        <f>IF(ISNA(VLOOKUP(A83,'Données projet'!$A$35:$I$55,5,0)),0%,VLOOKUP(A83,'Données projet'!$A$35:$I$55,5,0)*VLOOKUP('Données projet'!$B$9,Paramètres!$A$1:$I$88,7,0))</f>
        <v>0.40500000000000003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62.373464431681292</v>
      </c>
      <c r="AA83" s="23">
        <f>EXP(-LN(2)/25)*AA82+(1-EXP(-LN(2)/25))/(LN(2)/25)*Calculateur!V83*Calculateur!X83*VLOOKUP('Données projet'!$B$9,Paramètres!$A$1:$I$88,3,0)*0.475*44/12</f>
        <v>29.532642274622884</v>
      </c>
      <c r="AB83" s="23">
        <f>EXP(-LN(2)/2)*AB82+(1-EXP(-LN(2)/2))/(LN(2)/2)*V83*Y83*VLOOKUP('Données projet'!$B$9,Paramètres!$A$1:$I$88,3,0)*0.475*44/12</f>
        <v>2.0991525178170926E-2</v>
      </c>
      <c r="AC83" s="24">
        <f t="shared" si="57"/>
        <v>91.927098231482347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552</v>
      </c>
      <c r="AG83" s="13">
        <f>VLOOKUP(A83,'Données projet'!$A$61:$I$81,9,0)</f>
        <v>14.6</v>
      </c>
      <c r="AH83" s="13">
        <f t="array" ref="AH83">INDEX(AG:AG,MIN(IF(ISNUMBER(AG83:AG279),ROW(AG83:AG279),"")))</f>
        <v>14.6</v>
      </c>
      <c r="AI83" s="14">
        <f>IF('Données projet'!$A$62&gt;35,AI82+AH83-AQ82,IF(A83&lt;'Données projet'!$A$62,$AF$205^A83,IF(A83='Données projet'!$A$62,'Données projet'!$B$62,AI82+AH83-AQ82)))</f>
        <v>551.99999999999966</v>
      </c>
      <c r="AJ83" s="14">
        <f>AI83*VLOOKUP('Données projet'!$B$10,Paramètres!$A$1:$I$88,3,0)*VLOOKUP('Données projet'!$B$10,Paramètres!$A$1:$I$88,5,0)</f>
        <v>258.33599999999984</v>
      </c>
      <c r="AK83" s="14">
        <f t="shared" si="89"/>
        <v>62.367547966451262</v>
      </c>
      <c r="AL83" s="22">
        <f t="shared" si="58"/>
        <v>558.55867937490223</v>
      </c>
      <c r="AM83" s="61">
        <f t="shared" si="59"/>
        <v>829.2872910135884</v>
      </c>
      <c r="AN83" s="61">
        <f ca="1">AVERAGE(OFFSET($AM$3,0,0,'Données projet'!$E$10+1,1))-AVERAGE(OFFSET($H$3,0,0,'Données projet'!$E$10+1,1))</f>
        <v>375.77859820466693</v>
      </c>
      <c r="AO83" s="61">
        <f t="shared" si="90"/>
        <v>242.84781402593856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80</v>
      </c>
      <c r="AR83" s="17">
        <f>IF(ISNA(VLOOKUP(A83,'Données projet'!$A$61:$I$81,5,0)),0%,VLOOKUP(A83,'Données projet'!$A$61:$I$81,5,0)*VLOOKUP('Données projet'!$B$10,Paramètres!$A$1:$I$88,7,0))</f>
        <v>0.27500000000000002</v>
      </c>
      <c r="AS83" s="17">
        <f>IF(ISNA(VLOOKUP(A83,'Données projet'!$A$61:$I$81,6,0)),0%,VLOOKUP(A83,'Données projet'!$A$61:$I$81,6,0)*VLOOKUP('Données projet'!$B$10,Paramètres!$A$1:$I$88,7,0))</f>
        <v>0.27500000000000002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38.462036072620521</v>
      </c>
      <c r="AV83" s="23">
        <f>EXP(-LN(2)/25)*AV82+(1-EXP(-LN(2)/25))/(LN(2)/25)*Calculateur!AQ83*Calculateur!AS83*VLOOKUP('Données projet'!$B$9,Paramètres!$A$1:$I$88,3,0)*0.475*44/12</f>
        <v>44.674070979126633</v>
      </c>
      <c r="AW83" s="23">
        <f>EXP(-LN(2)/2)*AW82+(1-EXP(-LN(2)/2))/(LN(2)/2)*AQ83*AT83*VLOOKUP('Données projet'!$B$9,Paramètres!$A$1:$I$88,3,0)*0.475*44/12</f>
        <v>0</v>
      </c>
      <c r="AX83" s="23">
        <f t="shared" si="60"/>
        <v>83.13610705174716</v>
      </c>
      <c r="AY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4.4000000000000004</v>
      </c>
      <c r="BD83" s="13">
        <f>IF('Données projet'!$A$88&gt;35,BD82+BC83-BL82,IF(A83&lt;'Données projet'!$A$88,$BA$205^A83,IF(A83='Données projet'!$A$88,'Données projet'!$B$88,BD82+BC83-BL82)))</f>
        <v>142.80000000000015</v>
      </c>
      <c r="BE83" s="14">
        <f>BD83*VLOOKUP('Données projet'!$B$11,Paramètres!$A$1:$I$88,3,0)*VLOOKUP('Données projet'!$B$11,Paramètres!$A$1:$I$88,5,0)</f>
        <v>144.79920000000018</v>
      </c>
      <c r="BF83" s="14">
        <f t="shared" si="91"/>
        <v>37.394268839921352</v>
      </c>
      <c r="BG83" s="22">
        <f t="shared" si="61"/>
        <v>317.32029156286336</v>
      </c>
      <c r="BH83" s="61">
        <f t="shared" si="62"/>
        <v>588.04890320154948</v>
      </c>
      <c r="BI83" s="61">
        <f ca="1">AVERAGE(OFFSET($BH$3,0,0,'Données projet'!$E$11+1,1))-AVERAGE(OFFSET($H$3,0,0,'Données projet'!$E$11+1,1))</f>
        <v>433.57989081194</v>
      </c>
      <c r="BJ83" s="61">
        <f t="shared" si="92"/>
        <v>182.52060621271355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3"/>
        <v>0</v>
      </c>
      <c r="BT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1" t="e">
        <f t="shared" si="65"/>
        <v>#N/A</v>
      </c>
      <c r="CD83" s="61" t="e">
        <f ca="1">AVERAGE(OFFSET($CC$3,0,0,'Données projet'!$E$12+1,1))-AVERAGE(OFFSET($H$3,0,0,'Données projet'!$E$12+1,1))</f>
        <v>#N/A</v>
      </c>
      <c r="CE83" s="61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66"/>
        <v>0</v>
      </c>
      <c r="CO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1" t="e">
        <f t="shared" si="68"/>
        <v>#N/A</v>
      </c>
      <c r="CY83" s="61" t="e">
        <f ca="1">AVERAGE(OFFSET($CX$3,0,0,'Données projet'!$E$13+1,1))-AVERAGE(OFFSET($H$3,0,0,'Données projet'!$E$13+1,1))</f>
        <v>#N/A</v>
      </c>
      <c r="CZ83" s="61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69"/>
        <v>0</v>
      </c>
      <c r="DJ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1" t="e">
        <f t="shared" si="71"/>
        <v>#N/A</v>
      </c>
      <c r="DT83" s="61" t="e">
        <f ca="1">AVERAGE(OFFSET($DS$3,0,0,'Données projet'!$E$14+1,1))-AVERAGE(OFFSET($H$3,0,0,'Données projet'!$E$14+1,1))</f>
        <v>#N/A</v>
      </c>
      <c r="DU83" s="61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2"/>
        <v>0</v>
      </c>
      <c r="EE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1" t="e">
        <f t="shared" si="74"/>
        <v>#N/A</v>
      </c>
      <c r="EO83" s="61" t="e">
        <f ca="1">AVERAGE(OFFSET($EN$3,0,0,'Données projet'!$E$15+1,1))-AVERAGE(OFFSET($H$3,0,0,'Données projet'!$E$15+1,1))</f>
        <v>#N/A</v>
      </c>
      <c r="EP83" s="61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75"/>
        <v>0</v>
      </c>
      <c r="EZ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1" t="e">
        <f t="shared" si="77"/>
        <v>#N/A</v>
      </c>
      <c r="FJ83" s="61" t="e">
        <f ca="1">AVERAGE(OFFSET($FI$3,0,0,'Données projet'!$E$16+1,1))-AVERAGE(OFFSET($H$3,0,0,'Données projet'!$E$16+1,1))</f>
        <v>#N/A</v>
      </c>
      <c r="FK83" s="61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78"/>
        <v>0</v>
      </c>
      <c r="FU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1" t="e">
        <f t="shared" si="80"/>
        <v>#N/A</v>
      </c>
      <c r="GE83" s="61" t="e">
        <f ca="1">AVERAGE(OFFSET($GD$3,0,0,'Données projet'!$E$17+1,1))-AVERAGE(OFFSET($H$3,0,0,'Données projet'!$E$17+1,1))</f>
        <v>#N/A</v>
      </c>
      <c r="GF83" s="61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81"/>
        <v>0</v>
      </c>
      <c r="GP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1" t="e">
        <f t="shared" si="83"/>
        <v>#N/A</v>
      </c>
      <c r="GZ83" s="61" t="e">
        <f ca="1">AVERAGE(OFFSET($GY$3,0,0,'Données projet'!$E$18+1,1))-AVERAGE(OFFSET($H$3,0,0,'Données projet'!$E$18+1,1))</f>
        <v>#N/A</v>
      </c>
      <c r="HA83" s="61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84"/>
        <v>0</v>
      </c>
    </row>
    <row r="84" spans="1:218" s="5" customFormat="1" x14ac:dyDescent="0.45">
      <c r="A84" s="11">
        <f t="shared" si="85"/>
        <v>81</v>
      </c>
      <c r="B84" s="76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9">
        <f t="shared" si="56"/>
        <v>183.33333333333334</v>
      </c>
      <c r="I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11.6</v>
      </c>
      <c r="N84" s="14">
        <f>IF('Données projet'!$A$36&gt;35,N83+M84-V83,IF(A84&lt;'Données projet'!$A$36,$K$205^A84,IF(A84='Données projet'!$A$36,'Données projet'!$B$36,N83+M84-V83)))</f>
        <v>523.59999999999968</v>
      </c>
      <c r="O84" s="14">
        <f>N84*VLOOKUP('Données projet'!$B$9,Paramètres!$A$1:$I$88,3,0)*VLOOKUP('Données projet'!$B$9,Paramètres!$A$1:$I$88,5,0)</f>
        <v>313.11279999999982</v>
      </c>
      <c r="P84" s="14">
        <f t="shared" si="87"/>
        <v>73.918528209995515</v>
      </c>
      <c r="Q84" s="22">
        <f t="shared" si="54"/>
        <v>674.07956329907518</v>
      </c>
      <c r="R84" s="61">
        <f t="shared" si="55"/>
        <v>945.20031632257655</v>
      </c>
      <c r="S84" s="61">
        <f ca="1">AVERAGE(OFFSET($R$3,0,0,'Données projet'!$E$9+1,1))-AVERAGE(OFFSET($H$3,0,0,'Données projet'!$E$9+1,1))</f>
        <v>445.53168057836308</v>
      </c>
      <c r="T84" s="61">
        <f t="shared" si="88"/>
        <v>326.78684646135241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61.150358838232783</v>
      </c>
      <c r="AA84" s="23">
        <f>EXP(-LN(2)/25)*AA83+(1-EXP(-LN(2)/25))/(LN(2)/25)*Calculateur!V84*Calculateur!X84*VLOOKUP('Données projet'!$B$9,Paramètres!$A$1:$I$88,3,0)*0.475*44/12</f>
        <v>28.725070618569163</v>
      </c>
      <c r="AB84" s="23">
        <f>EXP(-LN(2)/2)*AB83+(1-EXP(-LN(2)/2))/(LN(2)/2)*V84*Y84*VLOOKUP('Données projet'!$B$9,Paramètres!$A$1:$I$88,3,0)*0.475*44/12</f>
        <v>1.4843249800932812E-2</v>
      </c>
      <c r="AC84" s="24">
        <f t="shared" si="57"/>
        <v>89.890272706602886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16.3</v>
      </c>
      <c r="AI84" s="14">
        <f>IF('Données projet'!$A$62&gt;35,AI83+AH84-AQ83,IF(A84&lt;'Données projet'!$A$62,$AF$205^A84,IF(A84='Données projet'!$A$62,'Données projet'!$B$62,AI83+AH84-AQ83)))</f>
        <v>488.29999999999961</v>
      </c>
      <c r="AJ84" s="14">
        <f>AI84*VLOOKUP('Données projet'!$B$10,Paramètres!$A$1:$I$88,3,0)*VLOOKUP('Données projet'!$B$10,Paramètres!$A$1:$I$88,5,0)</f>
        <v>228.52439999999979</v>
      </c>
      <c r="AK84" s="14">
        <f t="shared" si="89"/>
        <v>55.963502892381136</v>
      </c>
      <c r="AL84" s="22">
        <f t="shared" si="58"/>
        <v>495.48309753756348</v>
      </c>
      <c r="AM84" s="61">
        <f t="shared" si="59"/>
        <v>766.60385056106497</v>
      </c>
      <c r="AN84" s="61">
        <f ca="1">AVERAGE(OFFSET($AM$3,0,0,'Données projet'!$E$10+1,1))-AVERAGE(OFFSET($H$3,0,0,'Données projet'!$E$10+1,1))</f>
        <v>375.77859820466693</v>
      </c>
      <c r="AO84" s="61">
        <f t="shared" si="90"/>
        <v>242.84781402593856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37.707819004762001</v>
      </c>
      <c r="AV84" s="23">
        <f>EXP(-LN(2)/25)*AV83+(1-EXP(-LN(2)/25))/(LN(2)/25)*Calculateur!AQ84*Calculateur!AS84*VLOOKUP('Données projet'!$B$9,Paramètres!$A$1:$I$88,3,0)*0.475*44/12</f>
        <v>43.452456158895124</v>
      </c>
      <c r="AW84" s="23">
        <f>EXP(-LN(2)/2)*AW83+(1-EXP(-LN(2)/2))/(LN(2)/2)*AQ84*AT84*VLOOKUP('Données projet'!$B$9,Paramètres!$A$1:$I$88,3,0)*0.475*44/12</f>
        <v>0</v>
      </c>
      <c r="AX84" s="23">
        <f t="shared" si="60"/>
        <v>81.160275163657133</v>
      </c>
      <c r="AY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4.4000000000000004</v>
      </c>
      <c r="BD84" s="13">
        <f>IF('Données projet'!$A$88&gt;35,BD83+BC84-BL83,IF(A84&lt;'Données projet'!$A$88,$BA$205^A84,IF(A84='Données projet'!$A$88,'Données projet'!$B$88,BD83+BC84-BL83)))</f>
        <v>147.20000000000016</v>
      </c>
      <c r="BE84" s="14">
        <f>BD84*VLOOKUP('Données projet'!$B$11,Paramètres!$A$1:$I$88,3,0)*VLOOKUP('Données projet'!$B$11,Paramètres!$A$1:$I$88,5,0)</f>
        <v>149.26080000000016</v>
      </c>
      <c r="BF84" s="14">
        <f t="shared" si="91"/>
        <v>38.410551499792945</v>
      </c>
      <c r="BG84" s="22">
        <f t="shared" si="61"/>
        <v>326.86093719547301</v>
      </c>
      <c r="BH84" s="61">
        <f t="shared" si="62"/>
        <v>597.98169021897445</v>
      </c>
      <c r="BI84" s="61">
        <f ca="1">AVERAGE(OFFSET($BH$3,0,0,'Données projet'!$E$11+1,1))-AVERAGE(OFFSET($H$3,0,0,'Données projet'!$E$11+1,1))</f>
        <v>433.57989081194</v>
      </c>
      <c r="BJ84" s="61">
        <f t="shared" si="92"/>
        <v>182.52060621271355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3"/>
        <v>0</v>
      </c>
      <c r="BT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1" t="e">
        <f t="shared" si="65"/>
        <v>#N/A</v>
      </c>
      <c r="CD84" s="61" t="e">
        <f ca="1">AVERAGE(OFFSET($CC$3,0,0,'Données projet'!$E$12+1,1))-AVERAGE(OFFSET($H$3,0,0,'Données projet'!$E$12+1,1))</f>
        <v>#N/A</v>
      </c>
      <c r="CE84" s="61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66"/>
        <v>0</v>
      </c>
      <c r="CO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1" t="e">
        <f t="shared" si="68"/>
        <v>#N/A</v>
      </c>
      <c r="CY84" s="61" t="e">
        <f ca="1">AVERAGE(OFFSET($CX$3,0,0,'Données projet'!$E$13+1,1))-AVERAGE(OFFSET($H$3,0,0,'Données projet'!$E$13+1,1))</f>
        <v>#N/A</v>
      </c>
      <c r="CZ84" s="61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69"/>
        <v>0</v>
      </c>
      <c r="DJ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1" t="e">
        <f t="shared" si="71"/>
        <v>#N/A</v>
      </c>
      <c r="DT84" s="61" t="e">
        <f ca="1">AVERAGE(OFFSET($DS$3,0,0,'Données projet'!$E$14+1,1))-AVERAGE(OFFSET($H$3,0,0,'Données projet'!$E$14+1,1))</f>
        <v>#N/A</v>
      </c>
      <c r="DU84" s="61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2"/>
        <v>0</v>
      </c>
      <c r="EE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1" t="e">
        <f t="shared" si="74"/>
        <v>#N/A</v>
      </c>
      <c r="EO84" s="61" t="e">
        <f ca="1">AVERAGE(OFFSET($EN$3,0,0,'Données projet'!$E$15+1,1))-AVERAGE(OFFSET($H$3,0,0,'Données projet'!$E$15+1,1))</f>
        <v>#N/A</v>
      </c>
      <c r="EP84" s="61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75"/>
        <v>0</v>
      </c>
      <c r="EZ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1" t="e">
        <f t="shared" si="77"/>
        <v>#N/A</v>
      </c>
      <c r="FJ84" s="61" t="e">
        <f ca="1">AVERAGE(OFFSET($FI$3,0,0,'Données projet'!$E$16+1,1))-AVERAGE(OFFSET($H$3,0,0,'Données projet'!$E$16+1,1))</f>
        <v>#N/A</v>
      </c>
      <c r="FK84" s="61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78"/>
        <v>0</v>
      </c>
      <c r="FU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1" t="e">
        <f t="shared" si="80"/>
        <v>#N/A</v>
      </c>
      <c r="GE84" s="61" t="e">
        <f ca="1">AVERAGE(OFFSET($GD$3,0,0,'Données projet'!$E$17+1,1))-AVERAGE(OFFSET($H$3,0,0,'Données projet'!$E$17+1,1))</f>
        <v>#N/A</v>
      </c>
      <c r="GF84" s="61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81"/>
        <v>0</v>
      </c>
      <c r="GP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1" t="e">
        <f t="shared" si="83"/>
        <v>#N/A</v>
      </c>
      <c r="GZ84" s="61" t="e">
        <f ca="1">AVERAGE(OFFSET($GY$3,0,0,'Données projet'!$E$18+1,1))-AVERAGE(OFFSET($H$3,0,0,'Données projet'!$E$18+1,1))</f>
        <v>#N/A</v>
      </c>
      <c r="HA84" s="61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84"/>
        <v>0</v>
      </c>
    </row>
    <row r="85" spans="1:218" s="5" customFormat="1" x14ac:dyDescent="0.45">
      <c r="A85" s="11">
        <f t="shared" si="85"/>
        <v>82</v>
      </c>
      <c r="B85" s="76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9">
        <f t="shared" si="56"/>
        <v>183.33333333333334</v>
      </c>
      <c r="I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11.6</v>
      </c>
      <c r="N85" s="14">
        <f>IF('Données projet'!$A$36&gt;35,N84+M85-V84,IF(A85&lt;'Données projet'!$A$36,$K$205^A85,IF(A85='Données projet'!$A$36,'Données projet'!$B$36,N84+M85-V84)))</f>
        <v>535.1999999999997</v>
      </c>
      <c r="O85" s="14">
        <f>N85*VLOOKUP('Données projet'!$B$9,Paramètres!$A$1:$I$88,3,0)*VLOOKUP('Données projet'!$B$9,Paramètres!$A$1:$I$88,5,0)</f>
        <v>320.04959999999983</v>
      </c>
      <c r="P85" s="14">
        <f t="shared" si="87"/>
        <v>75.363673814346512</v>
      </c>
      <c r="Q85" s="22">
        <f t="shared" si="54"/>
        <v>688.6781185599865</v>
      </c>
      <c r="R85" s="61">
        <f t="shared" si="55"/>
        <v>960.18421019197353</v>
      </c>
      <c r="S85" s="61">
        <f ca="1">AVERAGE(OFFSET($R$3,0,0,'Données projet'!$E$9+1,1))-AVERAGE(OFFSET($H$3,0,0,'Données projet'!$E$9+1,1))</f>
        <v>445.53168057836308</v>
      </c>
      <c r="T85" s="61">
        <f t="shared" si="88"/>
        <v>326.78684646135241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59.951237599451055</v>
      </c>
      <c r="AA85" s="23">
        <f>EXP(-LN(2)/25)*AA84+(1-EXP(-LN(2)/25))/(LN(2)/25)*Calculateur!V85*Calculateur!X85*VLOOKUP('Données projet'!$B$9,Paramètres!$A$1:$I$88,3,0)*0.475*44/12</f>
        <v>27.939582051918578</v>
      </c>
      <c r="AB85" s="23">
        <f>EXP(-LN(2)/2)*AB84+(1-EXP(-LN(2)/2))/(LN(2)/2)*V85*Y85*VLOOKUP('Données projet'!$B$9,Paramètres!$A$1:$I$88,3,0)*0.475*44/12</f>
        <v>1.0495762589085463E-2</v>
      </c>
      <c r="AC85" s="24">
        <f t="shared" si="57"/>
        <v>87.901315413958727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16.3</v>
      </c>
      <c r="AI85" s="14">
        <f>IF('Données projet'!$A$62&gt;35,AI84+AH85-AQ84,IF(A85&lt;'Données projet'!$A$62,$AF$205^A85,IF(A85='Données projet'!$A$62,'Données projet'!$B$62,AI84+AH85-AQ84)))</f>
        <v>504.59999999999962</v>
      </c>
      <c r="AJ85" s="14">
        <f>AI85*VLOOKUP('Données projet'!$B$10,Paramètres!$A$1:$I$88,3,0)*VLOOKUP('Données projet'!$B$10,Paramètres!$A$1:$I$88,5,0)</f>
        <v>236.15279999999984</v>
      </c>
      <c r="AK85" s="14">
        <f t="shared" si="89"/>
        <v>57.61100977459931</v>
      </c>
      <c r="AL85" s="22">
        <f t="shared" si="58"/>
        <v>511.63863535742689</v>
      </c>
      <c r="AM85" s="61">
        <f t="shared" si="59"/>
        <v>783.14472698941393</v>
      </c>
      <c r="AN85" s="61">
        <f ca="1">AVERAGE(OFFSET($AM$3,0,0,'Données projet'!$E$10+1,1))-AVERAGE(OFFSET($H$3,0,0,'Données projet'!$E$10+1,1))</f>
        <v>375.77859820466693</v>
      </c>
      <c r="AO85" s="61">
        <f t="shared" si="90"/>
        <v>242.84781402593856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36.968391673577202</v>
      </c>
      <c r="AV85" s="23">
        <f>EXP(-LN(2)/25)*AV84+(1-EXP(-LN(2)/25))/(LN(2)/25)*Calculateur!AQ85*Calculateur!AS85*VLOOKUP('Données projet'!$B$9,Paramètres!$A$1:$I$88,3,0)*0.475*44/12</f>
        <v>42.264246460164777</v>
      </c>
      <c r="AW85" s="23">
        <f>EXP(-LN(2)/2)*AW84+(1-EXP(-LN(2)/2))/(LN(2)/2)*AQ85*AT85*VLOOKUP('Données projet'!$B$9,Paramètres!$A$1:$I$88,3,0)*0.475*44/12</f>
        <v>0</v>
      </c>
      <c r="AX85" s="23">
        <f t="shared" si="60"/>
        <v>79.232638133741972</v>
      </c>
      <c r="AY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4.4000000000000004</v>
      </c>
      <c r="BD85" s="13">
        <f>IF('Données projet'!$A$88&gt;35,BD84+BC85-BL84,IF(A85&lt;'Données projet'!$A$88,$BA$205^A85,IF(A85='Données projet'!$A$88,'Données projet'!$B$88,BD84+BC85-BL84)))</f>
        <v>151.60000000000016</v>
      </c>
      <c r="BE85" s="14">
        <f>BD85*VLOOKUP('Données projet'!$B$11,Paramètres!$A$1:$I$88,3,0)*VLOOKUP('Données projet'!$B$11,Paramètres!$A$1:$I$88,5,0)</f>
        <v>153.72240000000016</v>
      </c>
      <c r="BF85" s="14">
        <f t="shared" si="91"/>
        <v>39.423303747679547</v>
      </c>
      <c r="BG85" s="22">
        <f t="shared" si="61"/>
        <v>336.39543402720881</v>
      </c>
      <c r="BH85" s="61">
        <f t="shared" si="62"/>
        <v>607.90152565919584</v>
      </c>
      <c r="BI85" s="61">
        <f ca="1">AVERAGE(OFFSET($BH$3,0,0,'Données projet'!$E$11+1,1))-AVERAGE(OFFSET($H$3,0,0,'Données projet'!$E$11+1,1))</f>
        <v>433.57989081194</v>
      </c>
      <c r="BJ85" s="61">
        <f t="shared" si="92"/>
        <v>182.52060621271355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3"/>
        <v>0</v>
      </c>
      <c r="BT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1" t="e">
        <f t="shared" si="65"/>
        <v>#N/A</v>
      </c>
      <c r="CD85" s="61" t="e">
        <f ca="1">AVERAGE(OFFSET($CC$3,0,0,'Données projet'!$E$12+1,1))-AVERAGE(OFFSET($H$3,0,0,'Données projet'!$E$12+1,1))</f>
        <v>#N/A</v>
      </c>
      <c r="CE85" s="61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66"/>
        <v>0</v>
      </c>
      <c r="CO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1" t="e">
        <f t="shared" si="68"/>
        <v>#N/A</v>
      </c>
      <c r="CY85" s="61" t="e">
        <f ca="1">AVERAGE(OFFSET($CX$3,0,0,'Données projet'!$E$13+1,1))-AVERAGE(OFFSET($H$3,0,0,'Données projet'!$E$13+1,1))</f>
        <v>#N/A</v>
      </c>
      <c r="CZ85" s="61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69"/>
        <v>0</v>
      </c>
      <c r="DJ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1" t="e">
        <f t="shared" si="71"/>
        <v>#N/A</v>
      </c>
      <c r="DT85" s="61" t="e">
        <f ca="1">AVERAGE(OFFSET($DS$3,0,0,'Données projet'!$E$14+1,1))-AVERAGE(OFFSET($H$3,0,0,'Données projet'!$E$14+1,1))</f>
        <v>#N/A</v>
      </c>
      <c r="DU85" s="61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2"/>
        <v>0</v>
      </c>
      <c r="EE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1" t="e">
        <f t="shared" si="74"/>
        <v>#N/A</v>
      </c>
      <c r="EO85" s="61" t="e">
        <f ca="1">AVERAGE(OFFSET($EN$3,0,0,'Données projet'!$E$15+1,1))-AVERAGE(OFFSET($H$3,0,0,'Données projet'!$E$15+1,1))</f>
        <v>#N/A</v>
      </c>
      <c r="EP85" s="61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75"/>
        <v>0</v>
      </c>
      <c r="EZ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1" t="e">
        <f t="shared" si="77"/>
        <v>#N/A</v>
      </c>
      <c r="FJ85" s="61" t="e">
        <f ca="1">AVERAGE(OFFSET($FI$3,0,0,'Données projet'!$E$16+1,1))-AVERAGE(OFFSET($H$3,0,0,'Données projet'!$E$16+1,1))</f>
        <v>#N/A</v>
      </c>
      <c r="FK85" s="61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78"/>
        <v>0</v>
      </c>
      <c r="FU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1" t="e">
        <f t="shared" si="80"/>
        <v>#N/A</v>
      </c>
      <c r="GE85" s="61" t="e">
        <f ca="1">AVERAGE(OFFSET($GD$3,0,0,'Données projet'!$E$17+1,1))-AVERAGE(OFFSET($H$3,0,0,'Données projet'!$E$17+1,1))</f>
        <v>#N/A</v>
      </c>
      <c r="GF85" s="61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81"/>
        <v>0</v>
      </c>
      <c r="GP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1" t="e">
        <f t="shared" si="83"/>
        <v>#N/A</v>
      </c>
      <c r="GZ85" s="61" t="e">
        <f ca="1">AVERAGE(OFFSET($GY$3,0,0,'Données projet'!$E$18+1,1))-AVERAGE(OFFSET($H$3,0,0,'Données projet'!$E$18+1,1))</f>
        <v>#N/A</v>
      </c>
      <c r="HA85" s="61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84"/>
        <v>0</v>
      </c>
    </row>
    <row r="86" spans="1:218" s="5" customFormat="1" x14ac:dyDescent="0.45">
      <c r="A86" s="11">
        <f t="shared" si="85"/>
        <v>83</v>
      </c>
      <c r="B86" s="76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9">
        <f t="shared" si="56"/>
        <v>183.33333333333334</v>
      </c>
      <c r="I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11.6</v>
      </c>
      <c r="N86" s="14">
        <f>IF('Données projet'!$A$36&gt;35,N85+M86-V85,IF(A86&lt;'Données projet'!$A$36,$K$205^A86,IF(A86='Données projet'!$A$36,'Données projet'!$B$36,N85+M86-V85)))</f>
        <v>546.79999999999973</v>
      </c>
      <c r="O86" s="14">
        <f>N86*VLOOKUP('Données projet'!$B$9,Paramètres!$A$1:$I$88,3,0)*VLOOKUP('Données projet'!$B$9,Paramètres!$A$1:$I$88,5,0)</f>
        <v>326.98639999999983</v>
      </c>
      <c r="P86" s="14">
        <f t="shared" si="87"/>
        <v>76.805177798122628</v>
      </c>
      <c r="Q86" s="22">
        <f t="shared" si="54"/>
        <v>703.27033133172984</v>
      </c>
      <c r="R86" s="61">
        <f t="shared" si="55"/>
        <v>975.15507680883331</v>
      </c>
      <c r="S86" s="61">
        <f ca="1">AVERAGE(OFFSET($R$3,0,0,'Données projet'!$E$9+1,1))-AVERAGE(OFFSET($H$3,0,0,'Données projet'!$E$9+1,1))</f>
        <v>445.53168057836308</v>
      </c>
      <c r="T86" s="61">
        <f t="shared" si="88"/>
        <v>326.78684646135241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58.775630396770097</v>
      </c>
      <c r="AA86" s="23">
        <f>EXP(-LN(2)/25)*AA85+(1-EXP(-LN(2)/25))/(LN(2)/25)*Calculateur!V86*Calculateur!X86*VLOOKUP('Données projet'!$B$9,Paramètres!$A$1:$I$88,3,0)*0.475*44/12</f>
        <v>27.1755727114301</v>
      </c>
      <c r="AB86" s="23">
        <f>EXP(-LN(2)/2)*AB85+(1-EXP(-LN(2)/2))/(LN(2)/2)*V86*Y86*VLOOKUP('Données projet'!$B$9,Paramètres!$A$1:$I$88,3,0)*0.475*44/12</f>
        <v>7.4216249004664062E-3</v>
      </c>
      <c r="AC86" s="24">
        <f t="shared" si="57"/>
        <v>85.958624733100663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16.3</v>
      </c>
      <c r="AI86" s="14">
        <f>IF('Données projet'!$A$62&gt;35,AI85+AH86-AQ85,IF(A86&lt;'Données projet'!$A$62,$AF$205^A86,IF(A86='Données projet'!$A$62,'Données projet'!$B$62,AI85+AH86-AQ85)))</f>
        <v>520.89999999999964</v>
      </c>
      <c r="AJ86" s="14">
        <f>AI86*VLOOKUP('Données projet'!$B$10,Paramètres!$A$1:$I$88,3,0)*VLOOKUP('Données projet'!$B$10,Paramètres!$A$1:$I$88,5,0)</f>
        <v>243.78119999999981</v>
      </c>
      <c r="AK86" s="14">
        <f t="shared" si="89"/>
        <v>59.252332447937562</v>
      </c>
      <c r="AL86" s="22">
        <f t="shared" si="58"/>
        <v>527.78340234682412</v>
      </c>
      <c r="AM86" s="61">
        <f t="shared" si="59"/>
        <v>799.6681478239276</v>
      </c>
      <c r="AN86" s="61">
        <f ca="1">AVERAGE(OFFSET($AM$3,0,0,'Données projet'!$E$10+1,1))-AVERAGE(OFFSET($H$3,0,0,'Données projet'!$E$10+1,1))</f>
        <v>375.77859820466693</v>
      </c>
      <c r="AO86" s="61">
        <f t="shared" si="90"/>
        <v>242.84781402593856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36.243464061350792</v>
      </c>
      <c r="AV86" s="23">
        <f>EXP(-LN(2)/25)*AV85+(1-EXP(-LN(2)/25))/(LN(2)/25)*Calculateur!AQ86*Calculateur!AS86*VLOOKUP('Données projet'!$B$9,Paramètres!$A$1:$I$88,3,0)*0.475*44/12</f>
        <v>41.108528418131449</v>
      </c>
      <c r="AW86" s="23">
        <f>EXP(-LN(2)/2)*AW85+(1-EXP(-LN(2)/2))/(LN(2)/2)*AQ86*AT86*VLOOKUP('Données projet'!$B$9,Paramètres!$A$1:$I$88,3,0)*0.475*44/12</f>
        <v>0</v>
      </c>
      <c r="AX86" s="23">
        <f t="shared" si="60"/>
        <v>77.351992479482249</v>
      </c>
      <c r="AY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>
        <f>VLOOKUP(A86,'Données projet'!$A$87:$I$107,2,0)</f>
        <v>156</v>
      </c>
      <c r="BB86" s="13">
        <f>VLOOKUP(A86,'Données projet'!$A$87:$I$107,9,0)</f>
        <v>4.4000000000000004</v>
      </c>
      <c r="BC86" s="13">
        <f t="array" ref="BC86">INDEX(BB:BB,MIN(IF(ISNUMBER(BB86:BB282),ROW(BB86:BB282),"")))</f>
        <v>4.4000000000000004</v>
      </c>
      <c r="BD86" s="13">
        <f>IF('Données projet'!$A$88&gt;35,BD85+BC86-BL85,IF(A86&lt;'Données projet'!$A$88,$BA$205^A86,IF(A86='Données projet'!$A$88,'Données projet'!$B$88,BD85+BC86-BL85)))</f>
        <v>156.00000000000017</v>
      </c>
      <c r="BE86" s="14">
        <f>BD86*VLOOKUP('Données projet'!$B$11,Paramètres!$A$1:$I$88,3,0)*VLOOKUP('Données projet'!$B$11,Paramètres!$A$1:$I$88,5,0)</f>
        <v>158.1840000000002</v>
      </c>
      <c r="BF86" s="14">
        <f t="shared" si="91"/>
        <v>40.432639815875952</v>
      </c>
      <c r="BG86" s="22">
        <f t="shared" si="61"/>
        <v>345.92398101265093</v>
      </c>
      <c r="BH86" s="61">
        <f t="shared" si="62"/>
        <v>617.80872648975446</v>
      </c>
      <c r="BI86" s="61">
        <f ca="1">AVERAGE(OFFSET($BH$3,0,0,'Données projet'!$E$11+1,1))-AVERAGE(OFFSET($H$3,0,0,'Données projet'!$E$11+1,1))</f>
        <v>433.57989081194</v>
      </c>
      <c r="BJ86" s="61">
        <f t="shared" si="92"/>
        <v>182.52060621271355</v>
      </c>
      <c r="BK86" s="16">
        <f>IF(ISNA(VLOOKUP(A86,'Données projet'!$A$87:$I$107,3,0)),0,VLOOKUP(A86,'Données projet'!$A$87:$I$107,3,0))</f>
        <v>3</v>
      </c>
      <c r="BL86" s="16">
        <f>IF(ISNA(VLOOKUP(A86,'Données projet'!$A$87:$I$107,4,0)),0,VLOOKUP(A86,'Données projet'!$A$87:$I$107,4,0))</f>
        <v>27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3"/>
        <v>0</v>
      </c>
      <c r="BT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1" t="e">
        <f t="shared" si="65"/>
        <v>#N/A</v>
      </c>
      <c r="CD86" s="61" t="e">
        <f ca="1">AVERAGE(OFFSET($CC$3,0,0,'Données projet'!$E$12+1,1))-AVERAGE(OFFSET($H$3,0,0,'Données projet'!$E$12+1,1))</f>
        <v>#N/A</v>
      </c>
      <c r="CE86" s="61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66"/>
        <v>0</v>
      </c>
      <c r="CO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1" t="e">
        <f t="shared" si="68"/>
        <v>#N/A</v>
      </c>
      <c r="CY86" s="61" t="e">
        <f ca="1">AVERAGE(OFFSET($CX$3,0,0,'Données projet'!$E$13+1,1))-AVERAGE(OFFSET($H$3,0,0,'Données projet'!$E$13+1,1))</f>
        <v>#N/A</v>
      </c>
      <c r="CZ86" s="61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69"/>
        <v>0</v>
      </c>
      <c r="DJ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1" t="e">
        <f t="shared" si="71"/>
        <v>#N/A</v>
      </c>
      <c r="DT86" s="61" t="e">
        <f ca="1">AVERAGE(OFFSET($DS$3,0,0,'Données projet'!$E$14+1,1))-AVERAGE(OFFSET($H$3,0,0,'Données projet'!$E$14+1,1))</f>
        <v>#N/A</v>
      </c>
      <c r="DU86" s="61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2"/>
        <v>0</v>
      </c>
      <c r="EE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1" t="e">
        <f t="shared" si="74"/>
        <v>#N/A</v>
      </c>
      <c r="EO86" s="61" t="e">
        <f ca="1">AVERAGE(OFFSET($EN$3,0,0,'Données projet'!$E$15+1,1))-AVERAGE(OFFSET($H$3,0,0,'Données projet'!$E$15+1,1))</f>
        <v>#N/A</v>
      </c>
      <c r="EP86" s="61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75"/>
        <v>0</v>
      </c>
      <c r="EZ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1" t="e">
        <f t="shared" si="77"/>
        <v>#N/A</v>
      </c>
      <c r="FJ86" s="61" t="e">
        <f ca="1">AVERAGE(OFFSET($FI$3,0,0,'Données projet'!$E$16+1,1))-AVERAGE(OFFSET($H$3,0,0,'Données projet'!$E$16+1,1))</f>
        <v>#N/A</v>
      </c>
      <c r="FK86" s="61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78"/>
        <v>0</v>
      </c>
      <c r="FU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1" t="e">
        <f t="shared" si="80"/>
        <v>#N/A</v>
      </c>
      <c r="GE86" s="61" t="e">
        <f ca="1">AVERAGE(OFFSET($GD$3,0,0,'Données projet'!$E$17+1,1))-AVERAGE(OFFSET($H$3,0,0,'Données projet'!$E$17+1,1))</f>
        <v>#N/A</v>
      </c>
      <c r="GF86" s="61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81"/>
        <v>0</v>
      </c>
      <c r="GP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1" t="e">
        <f t="shared" si="83"/>
        <v>#N/A</v>
      </c>
      <c r="GZ86" s="61" t="e">
        <f ca="1">AVERAGE(OFFSET($GY$3,0,0,'Données projet'!$E$18+1,1))-AVERAGE(OFFSET($H$3,0,0,'Données projet'!$E$18+1,1))</f>
        <v>#N/A</v>
      </c>
      <c r="HA86" s="61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84"/>
        <v>0</v>
      </c>
    </row>
    <row r="87" spans="1:218" s="5" customFormat="1" x14ac:dyDescent="0.45">
      <c r="A87" s="11">
        <f t="shared" si="85"/>
        <v>84</v>
      </c>
      <c r="B87" s="76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9">
        <f t="shared" si="56"/>
        <v>183.33333333333334</v>
      </c>
      <c r="I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11.6</v>
      </c>
      <c r="N87" s="14">
        <f>IF('Données projet'!$A$36&gt;35,N86+M87-V86,IF(A87&lt;'Données projet'!$A$36,$K$205^A87,IF(A87='Données projet'!$A$36,'Données projet'!$B$36,N86+M87-V86)))</f>
        <v>558.39999999999975</v>
      </c>
      <c r="O87" s="14">
        <f>N87*VLOOKUP('Données projet'!$B$9,Paramètres!$A$1:$I$88,3,0)*VLOOKUP('Données projet'!$B$9,Paramètres!$A$1:$I$88,5,0)</f>
        <v>333.92319999999989</v>
      </c>
      <c r="P87" s="14">
        <f t="shared" si="87"/>
        <v>78.243126314975967</v>
      </c>
      <c r="Q87" s="22">
        <f t="shared" si="54"/>
        <v>717.85635166524969</v>
      </c>
      <c r="R87" s="61">
        <f t="shared" si="55"/>
        <v>990.1131821898</v>
      </c>
      <c r="S87" s="61">
        <f ca="1">AVERAGE(OFFSET($R$3,0,0,'Données projet'!$E$9+1,1))-AVERAGE(OFFSET($H$3,0,0,'Données projet'!$E$9+1,1))</f>
        <v>445.53168057836308</v>
      </c>
      <c r="T87" s="61">
        <f t="shared" si="88"/>
        <v>326.78684646135241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57.623076134284126</v>
      </c>
      <c r="AA87" s="23">
        <f>EXP(-LN(2)/25)*AA86+(1-EXP(-LN(2)/25))/(LN(2)/25)*Calculateur!V87*Calculateur!X87*VLOOKUP('Données projet'!$B$9,Paramètres!$A$1:$I$88,3,0)*0.475*44/12</f>
        <v>26.432455246534786</v>
      </c>
      <c r="AB87" s="23">
        <f>EXP(-LN(2)/2)*AB86+(1-EXP(-LN(2)/2))/(LN(2)/2)*V87*Y87*VLOOKUP('Données projet'!$B$9,Paramètres!$A$1:$I$88,3,0)*0.475*44/12</f>
        <v>5.2478812945427316E-3</v>
      </c>
      <c r="AC87" s="24">
        <f t="shared" si="57"/>
        <v>84.060779262113442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16.3</v>
      </c>
      <c r="AI87" s="14">
        <f>IF('Données projet'!$A$62&gt;35,AI86+AH87-AQ86,IF(A87&lt;'Données projet'!$A$62,$AF$205^A87,IF(A87='Données projet'!$A$62,'Données projet'!$B$62,AI86+AH87-AQ86)))</f>
        <v>537.19999999999959</v>
      </c>
      <c r="AJ87" s="14">
        <f>AI87*VLOOKUP('Données projet'!$B$10,Paramètres!$A$1:$I$88,3,0)*VLOOKUP('Données projet'!$B$10,Paramètres!$A$1:$I$88,5,0)</f>
        <v>251.40959999999981</v>
      </c>
      <c r="AK87" s="14">
        <f t="shared" si="89"/>
        <v>60.887686632376067</v>
      </c>
      <c r="AL87" s="22">
        <f t="shared" si="58"/>
        <v>543.91777421805455</v>
      </c>
      <c r="AM87" s="61">
        <f t="shared" si="59"/>
        <v>816.17460474260486</v>
      </c>
      <c r="AN87" s="61">
        <f ca="1">AVERAGE(OFFSET($AM$3,0,0,'Données projet'!$E$10+1,1))-AVERAGE(OFFSET($H$3,0,0,'Données projet'!$E$10+1,1))</f>
        <v>375.77859820466693</v>
      </c>
      <c r="AO87" s="61">
        <f t="shared" si="90"/>
        <v>242.84781402593856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35.532751837437964</v>
      </c>
      <c r="AV87" s="23">
        <f>EXP(-LN(2)/25)*AV86+(1-EXP(-LN(2)/25))/(LN(2)/25)*Calculateur!AQ87*Calculateur!AS87*VLOOKUP('Données projet'!$B$9,Paramètres!$A$1:$I$88,3,0)*0.475*44/12</f>
        <v>39.984413546734089</v>
      </c>
      <c r="AW87" s="23">
        <f>EXP(-LN(2)/2)*AW86+(1-EXP(-LN(2)/2))/(LN(2)/2)*AQ87*AT87*VLOOKUP('Données projet'!$B$9,Paramètres!$A$1:$I$88,3,0)*0.475*44/12</f>
        <v>0</v>
      </c>
      <c r="AX87" s="23">
        <f t="shared" si="60"/>
        <v>75.517165384172046</v>
      </c>
      <c r="AY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4.4000000000000004</v>
      </c>
      <c r="BD87" s="13">
        <f>IF('Données projet'!$A$88&gt;35,BD86+BC87-BL86,IF(A87&lt;'Données projet'!$A$88,$BA$205^A87,IF(A87='Données projet'!$A$88,'Données projet'!$B$88,BD86+BC87-BL86)))</f>
        <v>133.40000000000018</v>
      </c>
      <c r="BE87" s="14">
        <f>BD87*VLOOKUP('Données projet'!$B$11,Paramètres!$A$1:$I$88,3,0)*VLOOKUP('Données projet'!$B$11,Paramètres!$A$1:$I$88,5,0)</f>
        <v>135.26760000000019</v>
      </c>
      <c r="BF87" s="14">
        <f t="shared" si="91"/>
        <v>35.210718959789169</v>
      </c>
      <c r="BG87" s="22">
        <f t="shared" si="61"/>
        <v>296.91640552163312</v>
      </c>
      <c r="BH87" s="61">
        <f t="shared" si="62"/>
        <v>569.17323604618343</v>
      </c>
      <c r="BI87" s="61">
        <f ca="1">AVERAGE(OFFSET($BH$3,0,0,'Données projet'!$E$11+1,1))-AVERAGE(OFFSET($H$3,0,0,'Données projet'!$E$11+1,1))</f>
        <v>433.57989081194</v>
      </c>
      <c r="BJ87" s="61">
        <f t="shared" si="92"/>
        <v>182.52060621271355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3"/>
        <v>0</v>
      </c>
      <c r="BT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1" t="e">
        <f t="shared" si="65"/>
        <v>#N/A</v>
      </c>
      <c r="CD87" s="61" t="e">
        <f ca="1">AVERAGE(OFFSET($CC$3,0,0,'Données projet'!$E$12+1,1))-AVERAGE(OFFSET($H$3,0,0,'Données projet'!$E$12+1,1))</f>
        <v>#N/A</v>
      </c>
      <c r="CE87" s="61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66"/>
        <v>0</v>
      </c>
      <c r="CO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1" t="e">
        <f t="shared" si="68"/>
        <v>#N/A</v>
      </c>
      <c r="CY87" s="61" t="e">
        <f ca="1">AVERAGE(OFFSET($CX$3,0,0,'Données projet'!$E$13+1,1))-AVERAGE(OFFSET($H$3,0,0,'Données projet'!$E$13+1,1))</f>
        <v>#N/A</v>
      </c>
      <c r="CZ87" s="61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69"/>
        <v>0</v>
      </c>
      <c r="DJ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1" t="e">
        <f t="shared" si="71"/>
        <v>#N/A</v>
      </c>
      <c r="DT87" s="61" t="e">
        <f ca="1">AVERAGE(OFFSET($DS$3,0,0,'Données projet'!$E$14+1,1))-AVERAGE(OFFSET($H$3,0,0,'Données projet'!$E$14+1,1))</f>
        <v>#N/A</v>
      </c>
      <c r="DU87" s="61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2"/>
        <v>0</v>
      </c>
      <c r="EE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1" t="e">
        <f t="shared" si="74"/>
        <v>#N/A</v>
      </c>
      <c r="EO87" s="61" t="e">
        <f ca="1">AVERAGE(OFFSET($EN$3,0,0,'Données projet'!$E$15+1,1))-AVERAGE(OFFSET($H$3,0,0,'Données projet'!$E$15+1,1))</f>
        <v>#N/A</v>
      </c>
      <c r="EP87" s="61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75"/>
        <v>0</v>
      </c>
      <c r="EZ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1" t="e">
        <f t="shared" si="77"/>
        <v>#N/A</v>
      </c>
      <c r="FJ87" s="61" t="e">
        <f ca="1">AVERAGE(OFFSET($FI$3,0,0,'Données projet'!$E$16+1,1))-AVERAGE(OFFSET($H$3,0,0,'Données projet'!$E$16+1,1))</f>
        <v>#N/A</v>
      </c>
      <c r="FK87" s="61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78"/>
        <v>0</v>
      </c>
      <c r="FU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1" t="e">
        <f t="shared" si="80"/>
        <v>#N/A</v>
      </c>
      <c r="GE87" s="61" t="e">
        <f ca="1">AVERAGE(OFFSET($GD$3,0,0,'Données projet'!$E$17+1,1))-AVERAGE(OFFSET($H$3,0,0,'Données projet'!$E$17+1,1))</f>
        <v>#N/A</v>
      </c>
      <c r="GF87" s="61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81"/>
        <v>0</v>
      </c>
      <c r="GP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1" t="e">
        <f t="shared" si="83"/>
        <v>#N/A</v>
      </c>
      <c r="GZ87" s="61" t="e">
        <f ca="1">AVERAGE(OFFSET($GY$3,0,0,'Données projet'!$E$18+1,1))-AVERAGE(OFFSET($H$3,0,0,'Données projet'!$E$18+1,1))</f>
        <v>#N/A</v>
      </c>
      <c r="HA87" s="61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84"/>
        <v>0</v>
      </c>
    </row>
    <row r="88" spans="1:218" s="5" customFormat="1" x14ac:dyDescent="0.45">
      <c r="A88" s="11">
        <f t="shared" si="85"/>
        <v>85</v>
      </c>
      <c r="B88" s="76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9">
        <f t="shared" si="56"/>
        <v>183.33333333333334</v>
      </c>
      <c r="I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570</v>
      </c>
      <c r="L88" s="13">
        <f>VLOOKUP(A88,'Données projet'!$A$35:$I$55,9,0)</f>
        <v>11.6</v>
      </c>
      <c r="M88" s="13">
        <f t="array" ref="M88">INDEX(L:L,MIN(IF(ISNUMBER(L88:L284),ROW(L88:L284),"")))</f>
        <v>11.6</v>
      </c>
      <c r="N88" s="14">
        <f>IF('Données projet'!$A$36&gt;35,N87+M88-V87,IF(A88&lt;'Données projet'!$A$36,$K$205^A88,IF(A88='Données projet'!$A$36,'Données projet'!$B$36,N87+M88-V87)))</f>
        <v>569.99999999999977</v>
      </c>
      <c r="O88" s="14">
        <f>N88*VLOOKUP('Données projet'!$B$9,Paramètres!$A$1:$I$88,3,0)*VLOOKUP('Données projet'!$B$9,Paramètres!$A$1:$I$88,5,0)</f>
        <v>340.8599999999999</v>
      </c>
      <c r="P88" s="14">
        <f t="shared" si="87"/>
        <v>79.677601734543444</v>
      </c>
      <c r="Q88" s="22">
        <f t="shared" si="54"/>
        <v>732.43632302099616</v>
      </c>
      <c r="R88" s="61">
        <f t="shared" si="55"/>
        <v>1005.0587837492776</v>
      </c>
      <c r="S88" s="61">
        <f ca="1">AVERAGE(OFFSET($R$3,0,0,'Données projet'!$E$9+1,1))-AVERAGE(OFFSET($H$3,0,0,'Données projet'!$E$9+1,1))</f>
        <v>445.53168057836308</v>
      </c>
      <c r="T88" s="61">
        <f t="shared" si="88"/>
        <v>326.78684646135241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37</v>
      </c>
      <c r="W88" s="17">
        <f>IF(ISNA(VLOOKUP(A88,'Données projet'!$A$35:$I$55,5,0)),0%,VLOOKUP(A88,'Données projet'!$A$35:$I$55,5,0)*VLOOKUP('Données projet'!$B$9,Paramètres!$A$1:$I$88,7,0))</f>
        <v>0.40500000000000003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68.380506640024208</v>
      </c>
      <c r="AA88" s="23">
        <f>EXP(-LN(2)/25)*AA87+(1-EXP(-LN(2)/25))/(LN(2)/25)*Calculateur!V88*Calculateur!X88*VLOOKUP('Données projet'!$B$9,Paramètres!$A$1:$I$88,3,0)*0.475*44/12</f>
        <v>25.709658367795882</v>
      </c>
      <c r="AB88" s="23">
        <f>EXP(-LN(2)/2)*AB87+(1-EXP(-LN(2)/2))/(LN(2)/2)*V88*Y88*VLOOKUP('Données projet'!$B$9,Paramètres!$A$1:$I$88,3,0)*0.475*44/12</f>
        <v>3.7108124502332031E-3</v>
      </c>
      <c r="AC88" s="24">
        <f t="shared" si="57"/>
        <v>94.093875820270327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16.3</v>
      </c>
      <c r="AI88" s="14">
        <f>IF('Données projet'!$A$62&gt;35,AI87+AH88-AQ87,IF(A88&lt;'Données projet'!$A$62,$AF$205^A88,IF(A88='Données projet'!$A$62,'Données projet'!$B$62,AI87+AH88-AQ87)))</f>
        <v>553.49999999999955</v>
      </c>
      <c r="AJ88" s="14">
        <f>AI88*VLOOKUP('Données projet'!$B$10,Paramètres!$A$1:$I$88,3,0)*VLOOKUP('Données projet'!$B$10,Paramètres!$A$1:$I$88,5,0)</f>
        <v>259.03799999999978</v>
      </c>
      <c r="AK88" s="14">
        <f t="shared" si="89"/>
        <v>62.517274213025438</v>
      </c>
      <c r="AL88" s="22">
        <f t="shared" si="58"/>
        <v>560.04210258768558</v>
      </c>
      <c r="AM88" s="61">
        <f t="shared" si="59"/>
        <v>832.66456331596714</v>
      </c>
      <c r="AN88" s="61">
        <f ca="1">AVERAGE(OFFSET($AM$3,0,0,'Données projet'!$E$10+1,1))-AVERAGE(OFFSET($H$3,0,0,'Données projet'!$E$10+1,1))</f>
        <v>375.77859820466693</v>
      </c>
      <c r="AO88" s="61">
        <f t="shared" si="90"/>
        <v>242.84781402593856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34.835976246744409</v>
      </c>
      <c r="AV88" s="23">
        <f>EXP(-LN(2)/25)*AV87+(1-EXP(-LN(2)/25))/(LN(2)/25)*Calculateur!AQ88*Calculateur!AS88*VLOOKUP('Données projet'!$B$9,Paramètres!$A$1:$I$88,3,0)*0.475*44/12</f>
        <v>38.891037655609722</v>
      </c>
      <c r="AW88" s="23">
        <f>EXP(-LN(2)/2)*AW87+(1-EXP(-LN(2)/2))/(LN(2)/2)*AQ88*AT88*VLOOKUP('Données projet'!$B$9,Paramètres!$A$1:$I$88,3,0)*0.475*44/12</f>
        <v>0</v>
      </c>
      <c r="AX88" s="23">
        <f t="shared" si="60"/>
        <v>73.72701390235413</v>
      </c>
      <c r="AY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4.4000000000000004</v>
      </c>
      <c r="BD88" s="13">
        <f>IF('Données projet'!$A$88&gt;35,BD87+BC88-BL87,IF(A88&lt;'Données projet'!$A$88,$BA$205^A88,IF(A88='Données projet'!$A$88,'Données projet'!$B$88,BD87+BC88-BL87)))</f>
        <v>137.80000000000018</v>
      </c>
      <c r="BE88" s="14">
        <f>BD88*VLOOKUP('Données projet'!$B$11,Paramètres!$A$1:$I$88,3,0)*VLOOKUP('Données projet'!$B$11,Paramètres!$A$1:$I$88,5,0)</f>
        <v>139.72920000000019</v>
      </c>
      <c r="BF88" s="14">
        <f t="shared" si="91"/>
        <v>36.234962028891445</v>
      </c>
      <c r="BG88" s="22">
        <f t="shared" si="61"/>
        <v>306.47091553365289</v>
      </c>
      <c r="BH88" s="61">
        <f t="shared" si="62"/>
        <v>579.0933762619344</v>
      </c>
      <c r="BI88" s="61">
        <f ca="1">AVERAGE(OFFSET($BH$3,0,0,'Données projet'!$E$11+1,1))-AVERAGE(OFFSET($H$3,0,0,'Données projet'!$E$11+1,1))</f>
        <v>433.57989081194</v>
      </c>
      <c r="BJ88" s="61">
        <f t="shared" si="92"/>
        <v>182.52060621271355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3"/>
        <v>0</v>
      </c>
      <c r="BT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1" t="e">
        <f t="shared" si="65"/>
        <v>#N/A</v>
      </c>
      <c r="CD88" s="61" t="e">
        <f ca="1">AVERAGE(OFFSET($CC$3,0,0,'Données projet'!$E$12+1,1))-AVERAGE(OFFSET($H$3,0,0,'Données projet'!$E$12+1,1))</f>
        <v>#N/A</v>
      </c>
      <c r="CE88" s="61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66"/>
        <v>0</v>
      </c>
      <c r="CO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1" t="e">
        <f t="shared" si="68"/>
        <v>#N/A</v>
      </c>
      <c r="CY88" s="61" t="e">
        <f ca="1">AVERAGE(OFFSET($CX$3,0,0,'Données projet'!$E$13+1,1))-AVERAGE(OFFSET($H$3,0,0,'Données projet'!$E$13+1,1))</f>
        <v>#N/A</v>
      </c>
      <c r="CZ88" s="61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69"/>
        <v>0</v>
      </c>
      <c r="DJ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1" t="e">
        <f t="shared" si="71"/>
        <v>#N/A</v>
      </c>
      <c r="DT88" s="61" t="e">
        <f ca="1">AVERAGE(OFFSET($DS$3,0,0,'Données projet'!$E$14+1,1))-AVERAGE(OFFSET($H$3,0,0,'Données projet'!$E$14+1,1))</f>
        <v>#N/A</v>
      </c>
      <c r="DU88" s="61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2"/>
        <v>0</v>
      </c>
      <c r="EE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1" t="e">
        <f t="shared" si="74"/>
        <v>#N/A</v>
      </c>
      <c r="EO88" s="61" t="e">
        <f ca="1">AVERAGE(OFFSET($EN$3,0,0,'Données projet'!$E$15+1,1))-AVERAGE(OFFSET($H$3,0,0,'Données projet'!$E$15+1,1))</f>
        <v>#N/A</v>
      </c>
      <c r="EP88" s="61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75"/>
        <v>0</v>
      </c>
      <c r="EZ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1" t="e">
        <f t="shared" si="77"/>
        <v>#N/A</v>
      </c>
      <c r="FJ88" s="61" t="e">
        <f ca="1">AVERAGE(OFFSET($FI$3,0,0,'Données projet'!$E$16+1,1))-AVERAGE(OFFSET($H$3,0,0,'Données projet'!$E$16+1,1))</f>
        <v>#N/A</v>
      </c>
      <c r="FK88" s="61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78"/>
        <v>0</v>
      </c>
      <c r="FU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1" t="e">
        <f t="shared" si="80"/>
        <v>#N/A</v>
      </c>
      <c r="GE88" s="61" t="e">
        <f ca="1">AVERAGE(OFFSET($GD$3,0,0,'Données projet'!$E$17+1,1))-AVERAGE(OFFSET($H$3,0,0,'Données projet'!$E$17+1,1))</f>
        <v>#N/A</v>
      </c>
      <c r="GF88" s="61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81"/>
        <v>0</v>
      </c>
      <c r="GP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1" t="e">
        <f t="shared" si="83"/>
        <v>#N/A</v>
      </c>
      <c r="GZ88" s="61" t="e">
        <f ca="1">AVERAGE(OFFSET($GY$3,0,0,'Données projet'!$E$18+1,1))-AVERAGE(OFFSET($H$3,0,0,'Données projet'!$E$18+1,1))</f>
        <v>#N/A</v>
      </c>
      <c r="HA88" s="61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84"/>
        <v>0</v>
      </c>
    </row>
    <row r="89" spans="1:218" s="5" customFormat="1" x14ac:dyDescent="0.45">
      <c r="A89" s="11">
        <f t="shared" si="85"/>
        <v>86</v>
      </c>
      <c r="B89" s="76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9">
        <f t="shared" si="56"/>
        <v>183.33333333333334</v>
      </c>
      <c r="I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10.4</v>
      </c>
      <c r="N89" s="14">
        <f>IF('Données projet'!$A$36&gt;35,N88+M89-V88,IF(A89&lt;'Données projet'!$A$36,$K$205^A89,IF(A89='Données projet'!$A$36,'Données projet'!$B$36,N88+M89-V88)))</f>
        <v>543.39999999999975</v>
      </c>
      <c r="O89" s="14">
        <f>N89*VLOOKUP('Données projet'!$B$9,Paramètres!$A$1:$I$88,3,0)*VLOOKUP('Données projet'!$B$9,Paramètres!$A$1:$I$88,5,0)</f>
        <v>324.95319999999987</v>
      </c>
      <c r="P89" s="14">
        <f t="shared" si="87"/>
        <v>76.383040117947246</v>
      </c>
      <c r="Q89" s="22">
        <f t="shared" si="54"/>
        <v>698.99395153875787</v>
      </c>
      <c r="R89" s="61">
        <f t="shared" si="55"/>
        <v>971.97569960416263</v>
      </c>
      <c r="S89" s="61">
        <f ca="1">AVERAGE(OFFSET($R$3,0,0,'Données projet'!$E$9+1,1))-AVERAGE(OFFSET($H$3,0,0,'Données projet'!$E$9+1,1))</f>
        <v>445.53168057836308</v>
      </c>
      <c r="T89" s="61">
        <f t="shared" si="88"/>
        <v>326.78684646135241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67.039606612804064</v>
      </c>
      <c r="AA89" s="23">
        <f>EXP(-LN(2)/25)*AA88+(1-EXP(-LN(2)/25))/(LN(2)/25)*Calculateur!V89*Calculateur!X89*VLOOKUP('Données projet'!$B$9,Paramètres!$A$1:$I$88,3,0)*0.475*44/12</f>
        <v>25.006626407716329</v>
      </c>
      <c r="AB89" s="23">
        <f>EXP(-LN(2)/2)*AB88+(1-EXP(-LN(2)/2))/(LN(2)/2)*V89*Y89*VLOOKUP('Données projet'!$B$9,Paramètres!$A$1:$I$88,3,0)*0.475*44/12</f>
        <v>2.6239406472713658E-3</v>
      </c>
      <c r="AC89" s="24">
        <f t="shared" si="57"/>
        <v>92.048856961167658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16.3</v>
      </c>
      <c r="AI89" s="14">
        <f>IF('Données projet'!$A$62&gt;35,AI88+AH89-AQ88,IF(A89&lt;'Données projet'!$A$62,$AF$205^A89,IF(A89='Données projet'!$A$62,'Données projet'!$B$62,AI88+AH89-AQ88)))</f>
        <v>569.7999999999995</v>
      </c>
      <c r="AJ89" s="14">
        <f>AI89*VLOOKUP('Données projet'!$B$10,Paramètres!$A$1:$I$88,3,0)*VLOOKUP('Données projet'!$B$10,Paramètres!$A$1:$I$88,5,0)</f>
        <v>266.66639999999978</v>
      </c>
      <c r="AK89" s="14">
        <f t="shared" si="89"/>
        <v>64.141284508389305</v>
      </c>
      <c r="AL89" s="22">
        <f t="shared" si="58"/>
        <v>576.15671718544434</v>
      </c>
      <c r="AM89" s="61">
        <f t="shared" si="59"/>
        <v>849.13846525084909</v>
      </c>
      <c r="AN89" s="61">
        <f ca="1">AVERAGE(OFFSET($AM$3,0,0,'Données projet'!$E$10+1,1))-AVERAGE(OFFSET($H$3,0,0,'Données projet'!$E$10+1,1))</f>
        <v>375.77859820466693</v>
      </c>
      <c r="AO89" s="61">
        <f t="shared" si="90"/>
        <v>242.84781402593856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34.152864000393208</v>
      </c>
      <c r="AV89" s="23">
        <f>EXP(-LN(2)/25)*AV88+(1-EXP(-LN(2)/25))/(LN(2)/25)*Calculateur!AQ89*Calculateur!AS89*VLOOKUP('Données projet'!$B$9,Paramètres!$A$1:$I$88,3,0)*0.475*44/12</f>
        <v>37.827560185726291</v>
      </c>
      <c r="AW89" s="23">
        <f>EXP(-LN(2)/2)*AW88+(1-EXP(-LN(2)/2))/(LN(2)/2)*AQ89*AT89*VLOOKUP('Données projet'!$B$9,Paramètres!$A$1:$I$88,3,0)*0.475*44/12</f>
        <v>0</v>
      </c>
      <c r="AX89" s="23">
        <f t="shared" si="60"/>
        <v>71.980424186119507</v>
      </c>
      <c r="AY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4.4000000000000004</v>
      </c>
      <c r="BD89" s="13">
        <f>IF('Données projet'!$A$88&gt;35,BD88+BC89-BL88,IF(A89&lt;'Données projet'!$A$88,$BA$205^A89,IF(A89='Données projet'!$A$88,'Données projet'!$B$88,BD88+BC89-BL88)))</f>
        <v>142.20000000000019</v>
      </c>
      <c r="BE89" s="14">
        <f>BD89*VLOOKUP('Données projet'!$B$11,Paramètres!$A$1:$I$88,3,0)*VLOOKUP('Données projet'!$B$11,Paramètres!$A$1:$I$88,5,0)</f>
        <v>144.19080000000019</v>
      </c>
      <c r="BF89" s="14">
        <f t="shared" si="91"/>
        <v>37.255404686461105</v>
      </c>
      <c r="BG89" s="22">
        <f t="shared" si="61"/>
        <v>316.01880649558672</v>
      </c>
      <c r="BH89" s="61">
        <f t="shared" si="62"/>
        <v>589.00055456099142</v>
      </c>
      <c r="BI89" s="61">
        <f ca="1">AVERAGE(OFFSET($BH$3,0,0,'Données projet'!$E$11+1,1))-AVERAGE(OFFSET($H$3,0,0,'Données projet'!$E$11+1,1))</f>
        <v>433.57989081194</v>
      </c>
      <c r="BJ89" s="61">
        <f t="shared" si="92"/>
        <v>182.52060621271355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3"/>
        <v>0</v>
      </c>
      <c r="BT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1" t="e">
        <f t="shared" si="65"/>
        <v>#N/A</v>
      </c>
      <c r="CD89" s="61" t="e">
        <f ca="1">AVERAGE(OFFSET($CC$3,0,0,'Données projet'!$E$12+1,1))-AVERAGE(OFFSET($H$3,0,0,'Données projet'!$E$12+1,1))</f>
        <v>#N/A</v>
      </c>
      <c r="CE89" s="61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66"/>
        <v>0</v>
      </c>
      <c r="CO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1" t="e">
        <f t="shared" si="68"/>
        <v>#N/A</v>
      </c>
      <c r="CY89" s="61" t="e">
        <f ca="1">AVERAGE(OFFSET($CX$3,0,0,'Données projet'!$E$13+1,1))-AVERAGE(OFFSET($H$3,0,0,'Données projet'!$E$13+1,1))</f>
        <v>#N/A</v>
      </c>
      <c r="CZ89" s="61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69"/>
        <v>0</v>
      </c>
      <c r="DJ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1" t="e">
        <f t="shared" si="71"/>
        <v>#N/A</v>
      </c>
      <c r="DT89" s="61" t="e">
        <f ca="1">AVERAGE(OFFSET($DS$3,0,0,'Données projet'!$E$14+1,1))-AVERAGE(OFFSET($H$3,0,0,'Données projet'!$E$14+1,1))</f>
        <v>#N/A</v>
      </c>
      <c r="DU89" s="61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2"/>
        <v>0</v>
      </c>
      <c r="EE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1" t="e">
        <f t="shared" si="74"/>
        <v>#N/A</v>
      </c>
      <c r="EO89" s="61" t="e">
        <f ca="1">AVERAGE(OFFSET($EN$3,0,0,'Données projet'!$E$15+1,1))-AVERAGE(OFFSET($H$3,0,0,'Données projet'!$E$15+1,1))</f>
        <v>#N/A</v>
      </c>
      <c r="EP89" s="61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75"/>
        <v>0</v>
      </c>
      <c r="EZ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1" t="e">
        <f t="shared" si="77"/>
        <v>#N/A</v>
      </c>
      <c r="FJ89" s="61" t="e">
        <f ca="1">AVERAGE(OFFSET($FI$3,0,0,'Données projet'!$E$16+1,1))-AVERAGE(OFFSET($H$3,0,0,'Données projet'!$E$16+1,1))</f>
        <v>#N/A</v>
      </c>
      <c r="FK89" s="61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78"/>
        <v>0</v>
      </c>
      <c r="FU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1" t="e">
        <f t="shared" si="80"/>
        <v>#N/A</v>
      </c>
      <c r="GE89" s="61" t="e">
        <f ca="1">AVERAGE(OFFSET($GD$3,0,0,'Données projet'!$E$17+1,1))-AVERAGE(OFFSET($H$3,0,0,'Données projet'!$E$17+1,1))</f>
        <v>#N/A</v>
      </c>
      <c r="GF89" s="61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81"/>
        <v>0</v>
      </c>
      <c r="GP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1" t="e">
        <f t="shared" si="83"/>
        <v>#N/A</v>
      </c>
      <c r="GZ89" s="61" t="e">
        <f ca="1">AVERAGE(OFFSET($GY$3,0,0,'Données projet'!$E$18+1,1))-AVERAGE(OFFSET($H$3,0,0,'Données projet'!$E$18+1,1))</f>
        <v>#N/A</v>
      </c>
      <c r="HA89" s="61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84"/>
        <v>0</v>
      </c>
    </row>
    <row r="90" spans="1:218" s="5" customFormat="1" x14ac:dyDescent="0.45">
      <c r="A90" s="11">
        <f t="shared" si="85"/>
        <v>87</v>
      </c>
      <c r="B90" s="76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9">
        <f t="shared" si="56"/>
        <v>183.33333333333334</v>
      </c>
      <c r="I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10.4</v>
      </c>
      <c r="N90" s="14">
        <f>IF('Données projet'!$A$36&gt;35,N89+M90-V89,IF(A90&lt;'Données projet'!$A$36,$K$205^A90,IF(A90='Données projet'!$A$36,'Données projet'!$B$36,N89+M90-V89)))</f>
        <v>553.79999999999973</v>
      </c>
      <c r="O90" s="14">
        <f>N90*VLOOKUP('Données projet'!$B$9,Paramètres!$A$1:$I$88,3,0)*VLOOKUP('Données projet'!$B$9,Paramètres!$A$1:$I$88,5,0)</f>
        <v>331.17239999999987</v>
      </c>
      <c r="P90" s="14">
        <f t="shared" si="87"/>
        <v>77.67332541108614</v>
      </c>
      <c r="Q90" s="22">
        <f t="shared" si="54"/>
        <v>712.07297175764143</v>
      </c>
      <c r="R90" s="61">
        <f t="shared" si="55"/>
        <v>985.40777432811626</v>
      </c>
      <c r="S90" s="61">
        <f ca="1">AVERAGE(OFFSET($R$3,0,0,'Données projet'!$E$9+1,1))-AVERAGE(OFFSET($H$3,0,0,'Données projet'!$E$9+1,1))</f>
        <v>445.53168057836308</v>
      </c>
      <c r="T90" s="61">
        <f t="shared" si="88"/>
        <v>326.78684646135241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65.725000817249452</v>
      </c>
      <c r="AA90" s="23">
        <f>EXP(-LN(2)/25)*AA89+(1-EXP(-LN(2)/25))/(LN(2)/25)*Calculateur!V90*Calculateur!X90*VLOOKUP('Données projet'!$B$9,Paramètres!$A$1:$I$88,3,0)*0.475*44/12</f>
        <v>24.322818893555997</v>
      </c>
      <c r="AB90" s="23">
        <f>EXP(-LN(2)/2)*AB89+(1-EXP(-LN(2)/2))/(LN(2)/2)*V90*Y90*VLOOKUP('Données projet'!$B$9,Paramètres!$A$1:$I$88,3,0)*0.475*44/12</f>
        <v>1.8554062251166016E-3</v>
      </c>
      <c r="AC90" s="24">
        <f t="shared" si="57"/>
        <v>90.04967511703056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16.3</v>
      </c>
      <c r="AI90" s="14">
        <f>IF('Données projet'!$A$62&gt;35,AI89+AH90-AQ89,IF(A90&lt;'Données projet'!$A$62,$AF$205^A90,IF(A90='Données projet'!$A$62,'Données projet'!$B$62,AI89+AH90-AQ89)))</f>
        <v>586.09999999999945</v>
      </c>
      <c r="AJ90" s="14">
        <f>AI90*VLOOKUP('Données projet'!$B$10,Paramètres!$A$1:$I$88,3,0)*VLOOKUP('Données projet'!$B$10,Paramètres!$A$1:$I$88,5,0)</f>
        <v>274.29479999999973</v>
      </c>
      <c r="AK90" s="14">
        <f t="shared" si="89"/>
        <v>65.759895389425367</v>
      </c>
      <c r="AL90" s="22">
        <f t="shared" si="58"/>
        <v>592.26192780324868</v>
      </c>
      <c r="AM90" s="61">
        <f t="shared" si="59"/>
        <v>865.59673037372352</v>
      </c>
      <c r="AN90" s="61">
        <f ca="1">AVERAGE(OFFSET($AM$3,0,0,'Données projet'!$E$10+1,1))-AVERAGE(OFFSET($H$3,0,0,'Données projet'!$E$10+1,1))</f>
        <v>375.77859820466693</v>
      </c>
      <c r="AO90" s="61">
        <f t="shared" si="90"/>
        <v>242.84781402593856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33.483147168535631</v>
      </c>
      <c r="AV90" s="23">
        <f>EXP(-LN(2)/25)*AV89+(1-EXP(-LN(2)/25))/(LN(2)/25)*Calculateur!AQ90*Calculateur!AS90*VLOOKUP('Données projet'!$B$9,Paramètres!$A$1:$I$88,3,0)*0.475*44/12</f>
        <v>36.793163563182674</v>
      </c>
      <c r="AW90" s="23">
        <f>EXP(-LN(2)/2)*AW89+(1-EXP(-LN(2)/2))/(LN(2)/2)*AQ90*AT90*VLOOKUP('Données projet'!$B$9,Paramètres!$A$1:$I$88,3,0)*0.475*44/12</f>
        <v>0</v>
      </c>
      <c r="AX90" s="23">
        <f t="shared" si="60"/>
        <v>70.276310731718297</v>
      </c>
      <c r="AY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4.4000000000000004</v>
      </c>
      <c r="BD90" s="13">
        <f>IF('Données projet'!$A$88&gt;35,BD89+BC90-BL89,IF(A90&lt;'Données projet'!$A$88,$BA$205^A90,IF(A90='Données projet'!$A$88,'Données projet'!$B$88,BD89+BC90-BL89)))</f>
        <v>146.60000000000019</v>
      </c>
      <c r="BE90" s="14">
        <f>BD90*VLOOKUP('Données projet'!$B$11,Paramètres!$A$1:$I$88,3,0)*VLOOKUP('Données projet'!$B$11,Paramètres!$A$1:$I$88,5,0)</f>
        <v>148.65240000000023</v>
      </c>
      <c r="BF90" s="14">
        <f t="shared" si="91"/>
        <v>38.272178020303876</v>
      </c>
      <c r="BG90" s="22">
        <f t="shared" si="61"/>
        <v>325.56030671869627</v>
      </c>
      <c r="BH90" s="61">
        <f t="shared" si="62"/>
        <v>598.89510928917116</v>
      </c>
      <c r="BI90" s="61">
        <f ca="1">AVERAGE(OFFSET($BH$3,0,0,'Données projet'!$E$11+1,1))-AVERAGE(OFFSET($H$3,0,0,'Données projet'!$E$11+1,1))</f>
        <v>433.57989081194</v>
      </c>
      <c r="BJ90" s="61">
        <f t="shared" si="92"/>
        <v>182.52060621271355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3"/>
        <v>0</v>
      </c>
      <c r="BT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1" t="e">
        <f t="shared" si="65"/>
        <v>#N/A</v>
      </c>
      <c r="CD90" s="61" t="e">
        <f ca="1">AVERAGE(OFFSET($CC$3,0,0,'Données projet'!$E$12+1,1))-AVERAGE(OFFSET($H$3,0,0,'Données projet'!$E$12+1,1))</f>
        <v>#N/A</v>
      </c>
      <c r="CE90" s="61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66"/>
        <v>0</v>
      </c>
      <c r="CO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1" t="e">
        <f t="shared" si="68"/>
        <v>#N/A</v>
      </c>
      <c r="CY90" s="61" t="e">
        <f ca="1">AVERAGE(OFFSET($CX$3,0,0,'Données projet'!$E$13+1,1))-AVERAGE(OFFSET($H$3,0,0,'Données projet'!$E$13+1,1))</f>
        <v>#N/A</v>
      </c>
      <c r="CZ90" s="61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69"/>
        <v>0</v>
      </c>
      <c r="DJ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1" t="e">
        <f t="shared" si="71"/>
        <v>#N/A</v>
      </c>
      <c r="DT90" s="61" t="e">
        <f ca="1">AVERAGE(OFFSET($DS$3,0,0,'Données projet'!$E$14+1,1))-AVERAGE(OFFSET($H$3,0,0,'Données projet'!$E$14+1,1))</f>
        <v>#N/A</v>
      </c>
      <c r="DU90" s="61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2"/>
        <v>0</v>
      </c>
      <c r="EE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1" t="e">
        <f t="shared" si="74"/>
        <v>#N/A</v>
      </c>
      <c r="EO90" s="61" t="e">
        <f ca="1">AVERAGE(OFFSET($EN$3,0,0,'Données projet'!$E$15+1,1))-AVERAGE(OFFSET($H$3,0,0,'Données projet'!$E$15+1,1))</f>
        <v>#N/A</v>
      </c>
      <c r="EP90" s="61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75"/>
        <v>0</v>
      </c>
      <c r="EZ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1" t="e">
        <f t="shared" si="77"/>
        <v>#N/A</v>
      </c>
      <c r="FJ90" s="61" t="e">
        <f ca="1">AVERAGE(OFFSET($FI$3,0,0,'Données projet'!$E$16+1,1))-AVERAGE(OFFSET($H$3,0,0,'Données projet'!$E$16+1,1))</f>
        <v>#N/A</v>
      </c>
      <c r="FK90" s="61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78"/>
        <v>0</v>
      </c>
      <c r="FU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1" t="e">
        <f t="shared" si="80"/>
        <v>#N/A</v>
      </c>
      <c r="GE90" s="61" t="e">
        <f ca="1">AVERAGE(OFFSET($GD$3,0,0,'Données projet'!$E$17+1,1))-AVERAGE(OFFSET($H$3,0,0,'Données projet'!$E$17+1,1))</f>
        <v>#N/A</v>
      </c>
      <c r="GF90" s="61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81"/>
        <v>0</v>
      </c>
      <c r="GP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1" t="e">
        <f t="shared" si="83"/>
        <v>#N/A</v>
      </c>
      <c r="GZ90" s="61" t="e">
        <f ca="1">AVERAGE(OFFSET($GY$3,0,0,'Données projet'!$E$18+1,1))-AVERAGE(OFFSET($H$3,0,0,'Données projet'!$E$18+1,1))</f>
        <v>#N/A</v>
      </c>
      <c r="HA90" s="61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84"/>
        <v>0</v>
      </c>
    </row>
    <row r="91" spans="1:218" s="5" customFormat="1" x14ac:dyDescent="0.45">
      <c r="A91" s="11">
        <f t="shared" si="85"/>
        <v>88</v>
      </c>
      <c r="B91" s="76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9">
        <f t="shared" si="56"/>
        <v>183.33333333333334</v>
      </c>
      <c r="I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10.4</v>
      </c>
      <c r="N91" s="14">
        <f>IF('Données projet'!$A$36&gt;35,N90+M91-V90,IF(A91&lt;'Données projet'!$A$36,$K$205^A91,IF(A91='Données projet'!$A$36,'Données projet'!$B$36,N90+M91-V90)))</f>
        <v>564.1999999999997</v>
      </c>
      <c r="O91" s="14">
        <f>N91*VLOOKUP('Données projet'!$B$9,Paramètres!$A$1:$I$88,3,0)*VLOOKUP('Données projet'!$B$9,Paramètres!$A$1:$I$88,5,0)</f>
        <v>337.39159999999987</v>
      </c>
      <c r="P91" s="14">
        <f t="shared" si="87"/>
        <v>78.960793154935487</v>
      </c>
      <c r="Q91" s="22">
        <f t="shared" si="54"/>
        <v>725.14708474484576</v>
      </c>
      <c r="R91" s="61">
        <f t="shared" si="55"/>
        <v>998.82881711403945</v>
      </c>
      <c r="S91" s="61">
        <f ca="1">AVERAGE(OFFSET($R$3,0,0,'Données projet'!$E$9+1,1))-AVERAGE(OFFSET($H$3,0,0,'Données projet'!$E$9+1,1))</f>
        <v>445.53168057836308</v>
      </c>
      <c r="T91" s="61">
        <f t="shared" si="88"/>
        <v>326.78684646135241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64.436173639515303</v>
      </c>
      <c r="AA91" s="23">
        <f>EXP(-LN(2)/25)*AA90+(1-EXP(-LN(2)/25))/(LN(2)/25)*Calculateur!V91*Calculateur!X91*VLOOKUP('Données projet'!$B$9,Paramètres!$A$1:$I$88,3,0)*0.475*44/12</f>
        <v>23.657710131830253</v>
      </c>
      <c r="AB91" s="23">
        <f>EXP(-LN(2)/2)*AB90+(1-EXP(-LN(2)/2))/(LN(2)/2)*V91*Y91*VLOOKUP('Données projet'!$B$9,Paramètres!$A$1:$I$88,3,0)*0.475*44/12</f>
        <v>1.3119703236356829E-3</v>
      </c>
      <c r="AC91" s="24">
        <f t="shared" si="57"/>
        <v>88.095195741669201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16.3</v>
      </c>
      <c r="AI91" s="14">
        <f>IF('Données projet'!$A$62&gt;35,AI90+AH91-AQ90,IF(A91&lt;'Données projet'!$A$62,$AF$205^A91,IF(A91='Données projet'!$A$62,'Données projet'!$B$62,AI90+AH91-AQ90)))</f>
        <v>602.39999999999941</v>
      </c>
      <c r="AJ91" s="14">
        <f>AI91*VLOOKUP('Données projet'!$B$10,Paramètres!$A$1:$I$88,3,0)*VLOOKUP('Données projet'!$B$10,Paramètres!$A$1:$I$88,5,0)</f>
        <v>281.92319999999972</v>
      </c>
      <c r="AK91" s="14">
        <f t="shared" si="89"/>
        <v>67.373274270618694</v>
      </c>
      <c r="AL91" s="22">
        <f t="shared" si="58"/>
        <v>608.35802602132696</v>
      </c>
      <c r="AM91" s="61">
        <f t="shared" si="59"/>
        <v>882.03975839052066</v>
      </c>
      <c r="AN91" s="61">
        <f ca="1">AVERAGE(OFFSET($AM$3,0,0,'Données projet'!$E$10+1,1))-AVERAGE(OFFSET($H$3,0,0,'Données projet'!$E$10+1,1))</f>
        <v>375.77859820466693</v>
      </c>
      <c r="AO91" s="61">
        <f t="shared" si="90"/>
        <v>242.84781402593856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32.826563075263849</v>
      </c>
      <c r="AV91" s="23">
        <f>EXP(-LN(2)/25)*AV90+(1-EXP(-LN(2)/25))/(LN(2)/25)*Calculateur!AQ91*Calculateur!AS91*VLOOKUP('Données projet'!$B$9,Paramètres!$A$1:$I$88,3,0)*0.475*44/12</f>
        <v>35.787052570679066</v>
      </c>
      <c r="AW91" s="23">
        <f>EXP(-LN(2)/2)*AW90+(1-EXP(-LN(2)/2))/(LN(2)/2)*AQ91*AT91*VLOOKUP('Données projet'!$B$9,Paramètres!$A$1:$I$88,3,0)*0.475*44/12</f>
        <v>0</v>
      </c>
      <c r="AX91" s="23">
        <f t="shared" si="60"/>
        <v>68.613615645942915</v>
      </c>
      <c r="AY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4.4000000000000004</v>
      </c>
      <c r="BD91" s="13">
        <f>IF('Données projet'!$A$88&gt;35,BD90+BC91-BL90,IF(A91&lt;'Données projet'!$A$88,$BA$205^A91,IF(A91='Données projet'!$A$88,'Données projet'!$B$88,BD90+BC91-BL90)))</f>
        <v>151.0000000000002</v>
      </c>
      <c r="BE91" s="14">
        <f>BD91*VLOOKUP('Données projet'!$B$11,Paramètres!$A$1:$I$88,3,0)*VLOOKUP('Données projet'!$B$11,Paramètres!$A$1:$I$88,5,0)</f>
        <v>153.1140000000002</v>
      </c>
      <c r="BF91" s="14">
        <f t="shared" si="91"/>
        <v>39.285404802158489</v>
      </c>
      <c r="BG91" s="22">
        <f t="shared" si="61"/>
        <v>335.09563003042643</v>
      </c>
      <c r="BH91" s="61">
        <f t="shared" si="62"/>
        <v>608.77736239962019</v>
      </c>
      <c r="BI91" s="61">
        <f ca="1">AVERAGE(OFFSET($BH$3,0,0,'Données projet'!$E$11+1,1))-AVERAGE(OFFSET($H$3,0,0,'Données projet'!$E$11+1,1))</f>
        <v>433.57989081194</v>
      </c>
      <c r="BJ91" s="61">
        <f t="shared" si="92"/>
        <v>182.52060621271355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3"/>
        <v>0</v>
      </c>
      <c r="BT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1" t="e">
        <f t="shared" si="65"/>
        <v>#N/A</v>
      </c>
      <c r="CD91" s="61" t="e">
        <f ca="1">AVERAGE(OFFSET($CC$3,0,0,'Données projet'!$E$12+1,1))-AVERAGE(OFFSET($H$3,0,0,'Données projet'!$E$12+1,1))</f>
        <v>#N/A</v>
      </c>
      <c r="CE91" s="61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66"/>
        <v>0</v>
      </c>
      <c r="CO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1" t="e">
        <f t="shared" si="68"/>
        <v>#N/A</v>
      </c>
      <c r="CY91" s="61" t="e">
        <f ca="1">AVERAGE(OFFSET($CX$3,0,0,'Données projet'!$E$13+1,1))-AVERAGE(OFFSET($H$3,0,0,'Données projet'!$E$13+1,1))</f>
        <v>#N/A</v>
      </c>
      <c r="CZ91" s="61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69"/>
        <v>0</v>
      </c>
      <c r="DJ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1" t="e">
        <f t="shared" si="71"/>
        <v>#N/A</v>
      </c>
      <c r="DT91" s="61" t="e">
        <f ca="1">AVERAGE(OFFSET($DS$3,0,0,'Données projet'!$E$14+1,1))-AVERAGE(OFFSET($H$3,0,0,'Données projet'!$E$14+1,1))</f>
        <v>#N/A</v>
      </c>
      <c r="DU91" s="61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2"/>
        <v>0</v>
      </c>
      <c r="EE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1" t="e">
        <f t="shared" si="74"/>
        <v>#N/A</v>
      </c>
      <c r="EO91" s="61" t="e">
        <f ca="1">AVERAGE(OFFSET($EN$3,0,0,'Données projet'!$E$15+1,1))-AVERAGE(OFFSET($H$3,0,0,'Données projet'!$E$15+1,1))</f>
        <v>#N/A</v>
      </c>
      <c r="EP91" s="61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75"/>
        <v>0</v>
      </c>
      <c r="EZ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1" t="e">
        <f t="shared" si="77"/>
        <v>#N/A</v>
      </c>
      <c r="FJ91" s="61" t="e">
        <f ca="1">AVERAGE(OFFSET($FI$3,0,0,'Données projet'!$E$16+1,1))-AVERAGE(OFFSET($H$3,0,0,'Données projet'!$E$16+1,1))</f>
        <v>#N/A</v>
      </c>
      <c r="FK91" s="61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78"/>
        <v>0</v>
      </c>
      <c r="FU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1" t="e">
        <f t="shared" si="80"/>
        <v>#N/A</v>
      </c>
      <c r="GE91" s="61" t="e">
        <f ca="1">AVERAGE(OFFSET($GD$3,0,0,'Données projet'!$E$17+1,1))-AVERAGE(OFFSET($H$3,0,0,'Données projet'!$E$17+1,1))</f>
        <v>#N/A</v>
      </c>
      <c r="GF91" s="61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81"/>
        <v>0</v>
      </c>
      <c r="GP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1" t="e">
        <f t="shared" si="83"/>
        <v>#N/A</v>
      </c>
      <c r="GZ91" s="61" t="e">
        <f ca="1">AVERAGE(OFFSET($GY$3,0,0,'Données projet'!$E$18+1,1))-AVERAGE(OFFSET($H$3,0,0,'Données projet'!$E$18+1,1))</f>
        <v>#N/A</v>
      </c>
      <c r="HA91" s="61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84"/>
        <v>0</v>
      </c>
    </row>
    <row r="92" spans="1:218" s="5" customFormat="1" x14ac:dyDescent="0.45">
      <c r="A92" s="11">
        <f t="shared" si="85"/>
        <v>89</v>
      </c>
      <c r="B92" s="76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9">
        <f t="shared" si="56"/>
        <v>183.33333333333334</v>
      </c>
      <c r="I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10.4</v>
      </c>
      <c r="N92" s="14">
        <f>IF('Données projet'!$A$36&gt;35,N91+M92-V91,IF(A92&lt;'Données projet'!$A$36,$K$205^A92,IF(A92='Données projet'!$A$36,'Données projet'!$B$36,N91+M92-V91)))</f>
        <v>574.59999999999968</v>
      </c>
      <c r="O92" s="14">
        <f>N92*VLOOKUP('Données projet'!$B$9,Paramètres!$A$1:$I$88,3,0)*VLOOKUP('Données projet'!$B$9,Paramètres!$A$1:$I$88,5,0)</f>
        <v>343.61079999999981</v>
      </c>
      <c r="P92" s="14">
        <f t="shared" si="87"/>
        <v>80.245501275740537</v>
      </c>
      <c r="Q92" s="22">
        <f t="shared" si="54"/>
        <v>738.21639138858109</v>
      </c>
      <c r="R92" s="61">
        <f t="shared" si="55"/>
        <v>1012.2390351001047</v>
      </c>
      <c r="S92" s="61">
        <f ca="1">AVERAGE(OFFSET($R$3,0,0,'Données projet'!$E$9+1,1))-AVERAGE(OFFSET($H$3,0,0,'Données projet'!$E$9+1,1))</f>
        <v>445.53168057836308</v>
      </c>
      <c r="T92" s="61">
        <f t="shared" si="88"/>
        <v>326.78684646135241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63.172619576629558</v>
      </c>
      <c r="AA92" s="23">
        <f>EXP(-LN(2)/25)*AA91+(1-EXP(-LN(2)/25))/(LN(2)/25)*Calculateur!V92*Calculateur!X92*VLOOKUP('Données projet'!$B$9,Paramètres!$A$1:$I$88,3,0)*0.475*44/12</f>
        <v>23.010788804170449</v>
      </c>
      <c r="AB92" s="23">
        <f>EXP(-LN(2)/2)*AB91+(1-EXP(-LN(2)/2))/(LN(2)/2)*V92*Y92*VLOOKUP('Données projet'!$B$9,Paramètres!$A$1:$I$88,3,0)*0.475*44/12</f>
        <v>9.2770311255830078E-4</v>
      </c>
      <c r="AC92" s="24">
        <f t="shared" si="57"/>
        <v>86.184336083912555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16.3</v>
      </c>
      <c r="AI92" s="14">
        <f>IF('Données projet'!$A$62&gt;35,AI91+AH92-AQ91,IF(A92&lt;'Données projet'!$A$62,$AF$205^A92,IF(A92='Données projet'!$A$62,'Données projet'!$B$62,AI91+AH92-AQ91)))</f>
        <v>618.69999999999936</v>
      </c>
      <c r="AJ92" s="14">
        <f>AI92*VLOOKUP('Données projet'!$B$10,Paramètres!$A$1:$I$88,3,0)*VLOOKUP('Données projet'!$B$10,Paramètres!$A$1:$I$88,5,0)</f>
        <v>289.55159999999972</v>
      </c>
      <c r="AK92" s="14">
        <f t="shared" si="89"/>
        <v>68.981578990770117</v>
      </c>
      <c r="AL92" s="22">
        <f t="shared" si="58"/>
        <v>624.44528674225739</v>
      </c>
      <c r="AM92" s="61">
        <f t="shared" si="59"/>
        <v>898.46793045378104</v>
      </c>
      <c r="AN92" s="61">
        <f ca="1">AVERAGE(OFFSET($AM$3,0,0,'Données projet'!$E$10+1,1))-AVERAGE(OFFSET($H$3,0,0,'Données projet'!$E$10+1,1))</f>
        <v>375.77859820466693</v>
      </c>
      <c r="AO92" s="61">
        <f t="shared" si="90"/>
        <v>242.84781402593856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32.182854195584369</v>
      </c>
      <c r="AV92" s="23">
        <f>EXP(-LN(2)/25)*AV91+(1-EXP(-LN(2)/25))/(LN(2)/25)*Calculateur!AQ92*Calculateur!AS92*VLOOKUP('Données projet'!$B$9,Paramètres!$A$1:$I$88,3,0)*0.475*44/12</f>
        <v>34.808453736174542</v>
      </c>
      <c r="AW92" s="23">
        <f>EXP(-LN(2)/2)*AW91+(1-EXP(-LN(2)/2))/(LN(2)/2)*AQ92*AT92*VLOOKUP('Données projet'!$B$9,Paramètres!$A$1:$I$88,3,0)*0.475*44/12</f>
        <v>0</v>
      </c>
      <c r="AX92" s="23">
        <f t="shared" si="60"/>
        <v>66.991307931758911</v>
      </c>
      <c r="AY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4.4000000000000004</v>
      </c>
      <c r="BD92" s="13">
        <f>IF('Données projet'!$A$88&gt;35,BD91+BC92-BL91,IF(A92&lt;'Données projet'!$A$88,$BA$205^A92,IF(A92='Données projet'!$A$88,'Données projet'!$B$88,BD91+BC92-BL91)))</f>
        <v>155.4000000000002</v>
      </c>
      <c r="BE92" s="14">
        <f>BD92*VLOOKUP('Données projet'!$B$11,Paramètres!$A$1:$I$88,3,0)*VLOOKUP('Données projet'!$B$11,Paramètres!$A$1:$I$88,5,0)</f>
        <v>157.57560000000021</v>
      </c>
      <c r="BF92" s="14">
        <f t="shared" si="91"/>
        <v>40.295200242024464</v>
      </c>
      <c r="BG92" s="22">
        <f t="shared" si="61"/>
        <v>344.62497708819296</v>
      </c>
      <c r="BH92" s="61">
        <f t="shared" si="62"/>
        <v>618.64762079971661</v>
      </c>
      <c r="BI92" s="61">
        <f ca="1">AVERAGE(OFFSET($BH$3,0,0,'Données projet'!$E$11+1,1))-AVERAGE(OFFSET($H$3,0,0,'Données projet'!$E$11+1,1))</f>
        <v>433.57989081194</v>
      </c>
      <c r="BJ92" s="61">
        <f t="shared" si="92"/>
        <v>182.52060621271355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3"/>
        <v>0</v>
      </c>
      <c r="BT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1" t="e">
        <f t="shared" si="65"/>
        <v>#N/A</v>
      </c>
      <c r="CD92" s="61" t="e">
        <f ca="1">AVERAGE(OFFSET($CC$3,0,0,'Données projet'!$E$12+1,1))-AVERAGE(OFFSET($H$3,0,0,'Données projet'!$E$12+1,1))</f>
        <v>#N/A</v>
      </c>
      <c r="CE92" s="61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66"/>
        <v>0</v>
      </c>
      <c r="CO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1" t="e">
        <f t="shared" si="68"/>
        <v>#N/A</v>
      </c>
      <c r="CY92" s="61" t="e">
        <f ca="1">AVERAGE(OFFSET($CX$3,0,0,'Données projet'!$E$13+1,1))-AVERAGE(OFFSET($H$3,0,0,'Données projet'!$E$13+1,1))</f>
        <v>#N/A</v>
      </c>
      <c r="CZ92" s="61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69"/>
        <v>0</v>
      </c>
      <c r="DJ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1" t="e">
        <f t="shared" si="71"/>
        <v>#N/A</v>
      </c>
      <c r="DT92" s="61" t="e">
        <f ca="1">AVERAGE(OFFSET($DS$3,0,0,'Données projet'!$E$14+1,1))-AVERAGE(OFFSET($H$3,0,0,'Données projet'!$E$14+1,1))</f>
        <v>#N/A</v>
      </c>
      <c r="DU92" s="61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2"/>
        <v>0</v>
      </c>
      <c r="EE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1" t="e">
        <f t="shared" si="74"/>
        <v>#N/A</v>
      </c>
      <c r="EO92" s="61" t="e">
        <f ca="1">AVERAGE(OFFSET($EN$3,0,0,'Données projet'!$E$15+1,1))-AVERAGE(OFFSET($H$3,0,0,'Données projet'!$E$15+1,1))</f>
        <v>#N/A</v>
      </c>
      <c r="EP92" s="61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75"/>
        <v>0</v>
      </c>
      <c r="EZ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1" t="e">
        <f t="shared" si="77"/>
        <v>#N/A</v>
      </c>
      <c r="FJ92" s="61" t="e">
        <f ca="1">AVERAGE(OFFSET($FI$3,0,0,'Données projet'!$E$16+1,1))-AVERAGE(OFFSET($H$3,0,0,'Données projet'!$E$16+1,1))</f>
        <v>#N/A</v>
      </c>
      <c r="FK92" s="61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78"/>
        <v>0</v>
      </c>
      <c r="FU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1" t="e">
        <f t="shared" si="80"/>
        <v>#N/A</v>
      </c>
      <c r="GE92" s="61" t="e">
        <f ca="1">AVERAGE(OFFSET($GD$3,0,0,'Données projet'!$E$17+1,1))-AVERAGE(OFFSET($H$3,0,0,'Données projet'!$E$17+1,1))</f>
        <v>#N/A</v>
      </c>
      <c r="GF92" s="61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81"/>
        <v>0</v>
      </c>
      <c r="GP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1" t="e">
        <f t="shared" si="83"/>
        <v>#N/A</v>
      </c>
      <c r="GZ92" s="61" t="e">
        <f ca="1">AVERAGE(OFFSET($GY$3,0,0,'Données projet'!$E$18+1,1))-AVERAGE(OFFSET($H$3,0,0,'Données projet'!$E$18+1,1))</f>
        <v>#N/A</v>
      </c>
      <c r="HA92" s="61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84"/>
        <v>0</v>
      </c>
    </row>
    <row r="93" spans="1:218" s="5" customFormat="1" x14ac:dyDescent="0.45">
      <c r="A93" s="11">
        <f t="shared" si="85"/>
        <v>90</v>
      </c>
      <c r="B93" s="76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9">
        <f t="shared" si="56"/>
        <v>183.33333333333334</v>
      </c>
      <c r="I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585</v>
      </c>
      <c r="L93" s="13">
        <f>VLOOKUP(A93,'Données projet'!$A$35:$I$55,9,0)</f>
        <v>10.4</v>
      </c>
      <c r="M93" s="13">
        <f t="array" ref="M93">INDEX(L:L,MIN(IF(ISNUMBER(L93:L289),ROW(L93:L289),"")))</f>
        <v>10.4</v>
      </c>
      <c r="N93" s="14">
        <f>IF('Données projet'!$A$36&gt;35,N92+M93-V92,IF(A93&lt;'Données projet'!$A$36,$K$205^A93,IF(A93='Données projet'!$A$36,'Données projet'!$B$36,N92+M93-V92)))</f>
        <v>584.99999999999966</v>
      </c>
      <c r="O93" s="14">
        <f>N93*VLOOKUP('Données projet'!$B$9,Paramètres!$A$1:$I$88,3,0)*VLOOKUP('Données projet'!$B$9,Paramètres!$A$1:$I$88,5,0)</f>
        <v>349.82999999999981</v>
      </c>
      <c r="P93" s="14">
        <f t="shared" si="87"/>
        <v>81.527505482803917</v>
      </c>
      <c r="Q93" s="22">
        <f t="shared" si="54"/>
        <v>751.28098871588315</v>
      </c>
      <c r="R93" s="61">
        <f t="shared" si="55"/>
        <v>1025.6386297201109</v>
      </c>
      <c r="S93" s="61">
        <f ca="1">AVERAGE(OFFSET($R$3,0,0,'Données projet'!$E$9+1,1))-AVERAGE(OFFSET($H$3,0,0,'Données projet'!$E$9+1,1))</f>
        <v>445.53168057836308</v>
      </c>
      <c r="T93" s="61">
        <f t="shared" si="88"/>
        <v>326.78684646135241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585</v>
      </c>
      <c r="W93" s="17">
        <f>IF(ISNA(VLOOKUP(A93,'Données projet'!$A$35:$I$55,5,0)),0%,VLOOKUP(A93,'Données projet'!$A$35:$I$55,5,0)*VLOOKUP('Données projet'!$B$9,Paramètres!$A$1:$I$88,7,0))</f>
        <v>0.45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270.76626258911159</v>
      </c>
      <c r="AA93" s="23">
        <f>EXP(-LN(2)/25)*AA92+(1-EXP(-LN(2)/25))/(LN(2)/25)*Calculateur!V93*Calculateur!X93*VLOOKUP('Données projet'!$B$9,Paramètres!$A$1:$I$88,3,0)*0.475*44/12</f>
        <v>22.381557574235618</v>
      </c>
      <c r="AB93" s="23">
        <f>EXP(-LN(2)/2)*AB92+(1-EXP(-LN(2)/2))/(LN(2)/2)*V93*Y93*VLOOKUP('Données projet'!$B$9,Paramètres!$A$1:$I$88,3,0)*0.475*44/12</f>
        <v>6.5598516181784145E-4</v>
      </c>
      <c r="AC93" s="24">
        <f t="shared" si="57"/>
        <v>293.14847614850902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635</v>
      </c>
      <c r="AG93" s="13">
        <f>VLOOKUP(A93,'Données projet'!$A$61:$I$81,9,0)</f>
        <v>16.3</v>
      </c>
      <c r="AH93" s="13">
        <f t="array" ref="AH93">INDEX(AG:AG,MIN(IF(ISNUMBER(AG93:AG289),ROW(AG93:AG289),"")))</f>
        <v>16.3</v>
      </c>
      <c r="AI93" s="14">
        <f>IF('Données projet'!$A$62&gt;35,AI92+AH93-AQ92,IF(A93&lt;'Données projet'!$A$62,$AF$205^A93,IF(A93='Données projet'!$A$62,'Données projet'!$B$62,AI92+AH93-AQ92)))</f>
        <v>634.99999999999932</v>
      </c>
      <c r="AJ93" s="14">
        <f>AI93*VLOOKUP('Données projet'!$B$10,Paramètres!$A$1:$I$88,3,0)*VLOOKUP('Données projet'!$B$10,Paramètres!$A$1:$I$88,5,0)</f>
        <v>297.17999999999967</v>
      </c>
      <c r="AK93" s="14">
        <f t="shared" si="89"/>
        <v>70.584958598354604</v>
      </c>
      <c r="AL93" s="22">
        <f t="shared" si="58"/>
        <v>640.52396955880033</v>
      </c>
      <c r="AM93" s="61">
        <f t="shared" si="59"/>
        <v>914.88161056302806</v>
      </c>
      <c r="AN93" s="61">
        <f ca="1">AVERAGE(OFFSET($AM$3,0,0,'Données projet'!$E$10+1,1))-AVERAGE(OFFSET($H$3,0,0,'Données projet'!$E$10+1,1))</f>
        <v>375.77859820466693</v>
      </c>
      <c r="AO93" s="61">
        <f t="shared" si="90"/>
        <v>242.84781402593856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92</v>
      </c>
      <c r="AR93" s="17">
        <f>IF(ISNA(VLOOKUP(A93,'Données projet'!$A$61:$I$81,5,0)),0%,VLOOKUP(A93,'Données projet'!$A$61:$I$81,5,0)*VLOOKUP('Données projet'!$B$10,Paramètres!$A$1:$I$88,7,0))</f>
        <v>0.27500000000000002</v>
      </c>
      <c r="AS93" s="17">
        <f>IF(ISNA(VLOOKUP(A93,'Données projet'!$A$61:$I$81,6,0)),0%,VLOOKUP(A93,'Données projet'!$A$61:$I$81,6,0)*VLOOKUP('Données projet'!$B$10,Paramètres!$A$1:$I$88,7,0))</f>
        <v>0.27500000000000002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51.621892326538742</v>
      </c>
      <c r="AV93" s="23">
        <f>EXP(-LN(2)/25)*AV92+(1-EXP(-LN(2)/25))/(LN(2)/25)*Calculateur!AQ93*Calculateur!AS93*VLOOKUP('Données projet'!$B$9,Paramètres!$A$1:$I$88,3,0)*0.475*44/12</f>
        <v>53.847715283812562</v>
      </c>
      <c r="AW93" s="23">
        <f>EXP(-LN(2)/2)*AW92+(1-EXP(-LN(2)/2))/(LN(2)/2)*AQ93*AT93*VLOOKUP('Données projet'!$B$9,Paramètres!$A$1:$I$88,3,0)*0.475*44/12</f>
        <v>0</v>
      </c>
      <c r="AX93" s="23">
        <f t="shared" si="60"/>
        <v>105.4696076103513</v>
      </c>
      <c r="AY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4.4000000000000004</v>
      </c>
      <c r="BD93" s="13">
        <f>IF('Données projet'!$A$88&gt;35,BD92+BC93-BL92,IF(A93&lt;'Données projet'!$A$88,$BA$205^A93,IF(A93='Données projet'!$A$88,'Données projet'!$B$88,BD92+BC93-BL92)))</f>
        <v>159.80000000000021</v>
      </c>
      <c r="BE93" s="14">
        <f>BD93*VLOOKUP('Données projet'!$B$11,Paramètres!$A$1:$I$88,3,0)*VLOOKUP('Données projet'!$B$11,Paramètres!$A$1:$I$88,5,0)</f>
        <v>162.03720000000024</v>
      </c>
      <c r="BF93" s="14">
        <f t="shared" si="91"/>
        <v>41.301672654656642</v>
      </c>
      <c r="BG93" s="22">
        <f t="shared" si="61"/>
        <v>354.14853654019407</v>
      </c>
      <c r="BH93" s="61">
        <f t="shared" si="62"/>
        <v>628.50617754442169</v>
      </c>
      <c r="BI93" s="61">
        <f ca="1">AVERAGE(OFFSET($BH$3,0,0,'Données projet'!$E$11+1,1))-AVERAGE(OFFSET($H$3,0,0,'Données projet'!$E$11+1,1))</f>
        <v>433.57989081194</v>
      </c>
      <c r="BJ93" s="61">
        <f t="shared" si="92"/>
        <v>182.52060621271355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3"/>
        <v>0</v>
      </c>
      <c r="BT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1" t="e">
        <f t="shared" si="65"/>
        <v>#N/A</v>
      </c>
      <c r="CD93" s="61" t="e">
        <f ca="1">AVERAGE(OFFSET($CC$3,0,0,'Données projet'!$E$12+1,1))-AVERAGE(OFFSET($H$3,0,0,'Données projet'!$E$12+1,1))</f>
        <v>#N/A</v>
      </c>
      <c r="CE93" s="61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66"/>
        <v>0</v>
      </c>
      <c r="CO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1" t="e">
        <f t="shared" si="68"/>
        <v>#N/A</v>
      </c>
      <c r="CY93" s="61" t="e">
        <f ca="1">AVERAGE(OFFSET($CX$3,0,0,'Données projet'!$E$13+1,1))-AVERAGE(OFFSET($H$3,0,0,'Données projet'!$E$13+1,1))</f>
        <v>#N/A</v>
      </c>
      <c r="CZ93" s="61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69"/>
        <v>0</v>
      </c>
      <c r="DJ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1" t="e">
        <f t="shared" si="71"/>
        <v>#N/A</v>
      </c>
      <c r="DT93" s="61" t="e">
        <f ca="1">AVERAGE(OFFSET($DS$3,0,0,'Données projet'!$E$14+1,1))-AVERAGE(OFFSET($H$3,0,0,'Données projet'!$E$14+1,1))</f>
        <v>#N/A</v>
      </c>
      <c r="DU93" s="61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2"/>
        <v>0</v>
      </c>
      <c r="EE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1" t="e">
        <f t="shared" si="74"/>
        <v>#N/A</v>
      </c>
      <c r="EO93" s="61" t="e">
        <f ca="1">AVERAGE(OFFSET($EN$3,0,0,'Données projet'!$E$15+1,1))-AVERAGE(OFFSET($H$3,0,0,'Données projet'!$E$15+1,1))</f>
        <v>#N/A</v>
      </c>
      <c r="EP93" s="61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75"/>
        <v>0</v>
      </c>
      <c r="EZ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1" t="e">
        <f t="shared" si="77"/>
        <v>#N/A</v>
      </c>
      <c r="FJ93" s="61" t="e">
        <f ca="1">AVERAGE(OFFSET($FI$3,0,0,'Données projet'!$E$16+1,1))-AVERAGE(OFFSET($H$3,0,0,'Données projet'!$E$16+1,1))</f>
        <v>#N/A</v>
      </c>
      <c r="FK93" s="61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78"/>
        <v>0</v>
      </c>
      <c r="FU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1" t="e">
        <f t="shared" si="80"/>
        <v>#N/A</v>
      </c>
      <c r="GE93" s="61" t="e">
        <f ca="1">AVERAGE(OFFSET($GD$3,0,0,'Données projet'!$E$17+1,1))-AVERAGE(OFFSET($H$3,0,0,'Données projet'!$E$17+1,1))</f>
        <v>#N/A</v>
      </c>
      <c r="GF93" s="61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81"/>
        <v>0</v>
      </c>
      <c r="GP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1" t="e">
        <f t="shared" si="83"/>
        <v>#N/A</v>
      </c>
      <c r="GZ93" s="61" t="e">
        <f ca="1">AVERAGE(OFFSET($GY$3,0,0,'Données projet'!$E$18+1,1))-AVERAGE(OFFSET($H$3,0,0,'Données projet'!$E$18+1,1))</f>
        <v>#N/A</v>
      </c>
      <c r="HA93" s="61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84"/>
        <v>0</v>
      </c>
    </row>
    <row r="94" spans="1:218" s="5" customFormat="1" x14ac:dyDescent="0.45">
      <c r="A94" s="11">
        <f t="shared" si="85"/>
        <v>91</v>
      </c>
      <c r="B94" s="76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9">
        <f t="shared" si="56"/>
        <v>183.33333333333334</v>
      </c>
      <c r="I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-3.4106051316484809E-13</v>
      </c>
      <c r="O94" s="14">
        <f>N94*VLOOKUP('Données projet'!$B$9,Paramètres!$A$1:$I$88,3,0)*VLOOKUP('Données projet'!$B$9,Paramètres!$A$1:$I$88,5,0)</f>
        <v>-2.0395418687257919E-13</v>
      </c>
      <c r="P94" s="14" t="e">
        <f t="shared" si="87"/>
        <v>#NUM!</v>
      </c>
      <c r="Q94" s="22" t="e">
        <f t="shared" si="54"/>
        <v>#NUM!</v>
      </c>
      <c r="R94" s="61" t="e">
        <f t="shared" si="55"/>
        <v>#NUM!</v>
      </c>
      <c r="S94" s="61">
        <f ca="1">AVERAGE(OFFSET($R$3,0,0,'Données projet'!$E$9+1,1))-AVERAGE(OFFSET($H$3,0,0,'Données projet'!$E$9+1,1))</f>
        <v>445.53168057836308</v>
      </c>
      <c r="T94" s="61">
        <f t="shared" si="88"/>
        <v>326.78684646135241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265.45670133085196</v>
      </c>
      <c r="AA94" s="23">
        <f>EXP(-LN(2)/25)*AA93+(1-EXP(-LN(2)/25))/(LN(2)/25)*Calculateur!V94*Calculateur!X94*VLOOKUP('Données projet'!$B$9,Paramètres!$A$1:$I$88,3,0)*0.475*44/12</f>
        <v>21.769532705373187</v>
      </c>
      <c r="AB94" s="23">
        <f>EXP(-LN(2)/2)*AB93+(1-EXP(-LN(2)/2))/(LN(2)/2)*V94*Y94*VLOOKUP('Données projet'!$B$9,Paramètres!$A$1:$I$88,3,0)*0.475*44/12</f>
        <v>4.6385155627915039E-4</v>
      </c>
      <c r="AC94" s="24">
        <f t="shared" si="57"/>
        <v>287.22669788778143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17.5</v>
      </c>
      <c r="AI94" s="14">
        <f>IF('Données projet'!$A$62&gt;35,AI93+AH94-AQ93,IF(A94&lt;'Données projet'!$A$62,$AF$205^A94,IF(A94='Données projet'!$A$62,'Données projet'!$B$62,AI93+AH94-AQ93)))</f>
        <v>560.49999999999932</v>
      </c>
      <c r="AJ94" s="14">
        <f>AI94*VLOOKUP('Données projet'!$B$10,Paramètres!$A$1:$I$88,3,0)*VLOOKUP('Données projet'!$B$10,Paramètres!$A$1:$I$88,5,0)</f>
        <v>262.31399999999968</v>
      </c>
      <c r="AK94" s="14">
        <f t="shared" si="89"/>
        <v>63.215374593233221</v>
      </c>
      <c r="AL94" s="22">
        <f t="shared" si="58"/>
        <v>566.96366074988066</v>
      </c>
      <c r="AM94" s="61">
        <f t="shared" si="59"/>
        <v>841.65048759272577</v>
      </c>
      <c r="AN94" s="61">
        <f ca="1">AVERAGE(OFFSET($AM$3,0,0,'Données projet'!$E$10+1,1))-AVERAGE(OFFSET($H$3,0,0,'Données projet'!$E$10+1,1))</f>
        <v>375.77859820466693</v>
      </c>
      <c r="AO94" s="61">
        <f t="shared" si="90"/>
        <v>242.84781402593856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50.609618504260631</v>
      </c>
      <c r="AV94" s="23">
        <f>EXP(-LN(2)/25)*AV93+(1-EXP(-LN(2)/25))/(LN(2)/25)*Calculateur!AQ94*Calculateur!AS94*VLOOKUP('Données projet'!$B$9,Paramètres!$A$1:$I$88,3,0)*0.475*44/12</f>
        <v>52.375246677648434</v>
      </c>
      <c r="AW94" s="23">
        <f>EXP(-LN(2)/2)*AW93+(1-EXP(-LN(2)/2))/(LN(2)/2)*AQ94*AT94*VLOOKUP('Données projet'!$B$9,Paramètres!$A$1:$I$88,3,0)*0.475*44/12</f>
        <v>0</v>
      </c>
      <c r="AX94" s="23">
        <f t="shared" si="60"/>
        <v>102.98486518190907</v>
      </c>
      <c r="AY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4.4000000000000004</v>
      </c>
      <c r="BD94" s="13">
        <f>IF('Données projet'!$A$88&gt;35,BD93+BC94-BL93,IF(A94&lt;'Données projet'!$A$88,$BA$205^A94,IF(A94='Données projet'!$A$88,'Données projet'!$B$88,BD93+BC94-BL93)))</f>
        <v>164.20000000000022</v>
      </c>
      <c r="BE94" s="14">
        <f>BD94*VLOOKUP('Données projet'!$B$11,Paramètres!$A$1:$I$88,3,0)*VLOOKUP('Données projet'!$B$11,Paramètres!$A$1:$I$88,5,0)</f>
        <v>166.49880000000024</v>
      </c>
      <c r="BF94" s="14">
        <f t="shared" si="91"/>
        <v>42.304924050589257</v>
      </c>
      <c r="BG94" s="22">
        <f t="shared" si="61"/>
        <v>363.66648605477667</v>
      </c>
      <c r="BH94" s="61">
        <f t="shared" si="62"/>
        <v>638.35331289762166</v>
      </c>
      <c r="BI94" s="61">
        <f ca="1">AVERAGE(OFFSET($BH$3,0,0,'Données projet'!$E$11+1,1))-AVERAGE(OFFSET($H$3,0,0,'Données projet'!$E$11+1,1))</f>
        <v>433.57989081194</v>
      </c>
      <c r="BJ94" s="61">
        <f t="shared" si="92"/>
        <v>182.52060621271355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3"/>
        <v>0</v>
      </c>
      <c r="BT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1" t="e">
        <f t="shared" si="65"/>
        <v>#N/A</v>
      </c>
      <c r="CD94" s="61" t="e">
        <f ca="1">AVERAGE(OFFSET($CC$3,0,0,'Données projet'!$E$12+1,1))-AVERAGE(OFFSET($H$3,0,0,'Données projet'!$E$12+1,1))</f>
        <v>#N/A</v>
      </c>
      <c r="CE94" s="61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66"/>
        <v>0</v>
      </c>
      <c r="CO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1" t="e">
        <f t="shared" si="68"/>
        <v>#N/A</v>
      </c>
      <c r="CY94" s="61" t="e">
        <f ca="1">AVERAGE(OFFSET($CX$3,0,0,'Données projet'!$E$13+1,1))-AVERAGE(OFFSET($H$3,0,0,'Données projet'!$E$13+1,1))</f>
        <v>#N/A</v>
      </c>
      <c r="CZ94" s="61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69"/>
        <v>0</v>
      </c>
      <c r="DJ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1" t="e">
        <f t="shared" si="71"/>
        <v>#N/A</v>
      </c>
      <c r="DT94" s="61" t="e">
        <f ca="1">AVERAGE(OFFSET($DS$3,0,0,'Données projet'!$E$14+1,1))-AVERAGE(OFFSET($H$3,0,0,'Données projet'!$E$14+1,1))</f>
        <v>#N/A</v>
      </c>
      <c r="DU94" s="61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2"/>
        <v>0</v>
      </c>
      <c r="EE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1" t="e">
        <f t="shared" si="74"/>
        <v>#N/A</v>
      </c>
      <c r="EO94" s="61" t="e">
        <f ca="1">AVERAGE(OFFSET($EN$3,0,0,'Données projet'!$E$15+1,1))-AVERAGE(OFFSET($H$3,0,0,'Données projet'!$E$15+1,1))</f>
        <v>#N/A</v>
      </c>
      <c r="EP94" s="61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75"/>
        <v>0</v>
      </c>
      <c r="EZ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1" t="e">
        <f t="shared" si="77"/>
        <v>#N/A</v>
      </c>
      <c r="FJ94" s="61" t="e">
        <f ca="1">AVERAGE(OFFSET($FI$3,0,0,'Données projet'!$E$16+1,1))-AVERAGE(OFFSET($H$3,0,0,'Données projet'!$E$16+1,1))</f>
        <v>#N/A</v>
      </c>
      <c r="FK94" s="61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78"/>
        <v>0</v>
      </c>
      <c r="FU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1" t="e">
        <f t="shared" si="80"/>
        <v>#N/A</v>
      </c>
      <c r="GE94" s="61" t="e">
        <f ca="1">AVERAGE(OFFSET($GD$3,0,0,'Données projet'!$E$17+1,1))-AVERAGE(OFFSET($H$3,0,0,'Données projet'!$E$17+1,1))</f>
        <v>#N/A</v>
      </c>
      <c r="GF94" s="61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81"/>
        <v>0</v>
      </c>
      <c r="GP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1" t="e">
        <f t="shared" si="83"/>
        <v>#N/A</v>
      </c>
      <c r="GZ94" s="61" t="e">
        <f ca="1">AVERAGE(OFFSET($GY$3,0,0,'Données projet'!$E$18+1,1))-AVERAGE(OFFSET($H$3,0,0,'Données projet'!$E$18+1,1))</f>
        <v>#N/A</v>
      </c>
      <c r="HA94" s="61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84"/>
        <v>0</v>
      </c>
    </row>
    <row r="95" spans="1:218" s="5" customFormat="1" x14ac:dyDescent="0.45">
      <c r="A95" s="11">
        <f t="shared" si="85"/>
        <v>92</v>
      </c>
      <c r="B95" s="76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9">
        <f t="shared" si="56"/>
        <v>183.33333333333334</v>
      </c>
      <c r="I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-3.4106051316484809E-13</v>
      </c>
      <c r="O95" s="14">
        <f>N95*VLOOKUP('Données projet'!$B$9,Paramètres!$A$1:$I$88,3,0)*VLOOKUP('Données projet'!$B$9,Paramètres!$A$1:$I$88,5,0)</f>
        <v>-2.0395418687257919E-13</v>
      </c>
      <c r="P95" s="14" t="e">
        <f t="shared" si="87"/>
        <v>#NUM!</v>
      </c>
      <c r="Q95" s="22" t="e">
        <f t="shared" si="54"/>
        <v>#NUM!</v>
      </c>
      <c r="R95" s="61" t="e">
        <f t="shared" si="55"/>
        <v>#NUM!</v>
      </c>
      <c r="S95" s="61">
        <f ca="1">AVERAGE(OFFSET($R$3,0,0,'Données projet'!$E$9+1,1))-AVERAGE(OFFSET($H$3,0,0,'Données projet'!$E$9+1,1))</f>
        <v>445.53168057836308</v>
      </c>
      <c r="T95" s="61">
        <f t="shared" si="88"/>
        <v>326.78684646135241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260.25125733035424</v>
      </c>
      <c r="AA95" s="23">
        <f>EXP(-LN(2)/25)*AA94+(1-EXP(-LN(2)/25))/(LN(2)/25)*Calculateur!V95*Calculateur!X95*VLOOKUP('Données projet'!$B$9,Paramètres!$A$1:$I$88,3,0)*0.475*44/12</f>
        <v>21.174243688734787</v>
      </c>
      <c r="AB95" s="23">
        <f>EXP(-LN(2)/2)*AB94+(1-EXP(-LN(2)/2))/(LN(2)/2)*V95*Y95*VLOOKUP('Données projet'!$B$9,Paramètres!$A$1:$I$88,3,0)*0.475*44/12</f>
        <v>3.2799258090892072E-4</v>
      </c>
      <c r="AC95" s="24">
        <f t="shared" si="57"/>
        <v>281.42582901166998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17.5</v>
      </c>
      <c r="AI95" s="14">
        <f>IF('Données projet'!$A$62&gt;35,AI94+AH95-AQ94,IF(A95&lt;'Données projet'!$A$62,$AF$205^A95,IF(A95='Données projet'!$A$62,'Données projet'!$B$62,AI94+AH95-AQ94)))</f>
        <v>577.99999999999932</v>
      </c>
      <c r="AJ95" s="14">
        <f>AI95*VLOOKUP('Données projet'!$B$10,Paramètres!$A$1:$I$88,3,0)*VLOOKUP('Données projet'!$B$10,Paramètres!$A$1:$I$88,5,0)</f>
        <v>270.50399999999968</v>
      </c>
      <c r="AK95" s="14">
        <f t="shared" si="89"/>
        <v>64.956219195709608</v>
      </c>
      <c r="AL95" s="22">
        <f t="shared" si="58"/>
        <v>584.25988176586031</v>
      </c>
      <c r="AM95" s="61">
        <f t="shared" si="59"/>
        <v>859.27018380897198</v>
      </c>
      <c r="AN95" s="61">
        <f ca="1">AVERAGE(OFFSET($AM$3,0,0,'Données projet'!$E$10+1,1))-AVERAGE(OFFSET($H$3,0,0,'Données projet'!$E$10+1,1))</f>
        <v>375.77859820466693</v>
      </c>
      <c r="AO95" s="61">
        <f t="shared" si="90"/>
        <v>242.84781402593856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49.617194754211326</v>
      </c>
      <c r="AV95" s="23">
        <f>EXP(-LN(2)/25)*AV94+(1-EXP(-LN(2)/25))/(LN(2)/25)*Calculateur!AQ95*Calculateur!AS95*VLOOKUP('Données projet'!$B$9,Paramètres!$A$1:$I$88,3,0)*0.475*44/12</f>
        <v>50.94304280295362</v>
      </c>
      <c r="AW95" s="23">
        <f>EXP(-LN(2)/2)*AW94+(1-EXP(-LN(2)/2))/(LN(2)/2)*AQ95*AT95*VLOOKUP('Données projet'!$B$9,Paramètres!$A$1:$I$88,3,0)*0.475*44/12</f>
        <v>0</v>
      </c>
      <c r="AX95" s="23">
        <f t="shared" si="60"/>
        <v>100.56023755716495</v>
      </c>
      <c r="AY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4.4000000000000004</v>
      </c>
      <c r="BD95" s="13">
        <f>IF('Données projet'!$A$88&gt;35,BD94+BC95-BL94,IF(A95&lt;'Données projet'!$A$88,$BA$205^A95,IF(A95='Données projet'!$A$88,'Données projet'!$B$88,BD94+BC95-BL94)))</f>
        <v>168.60000000000022</v>
      </c>
      <c r="BE95" s="14">
        <f>BD95*VLOOKUP('Données projet'!$B$11,Paramètres!$A$1:$I$88,3,0)*VLOOKUP('Données projet'!$B$11,Paramètres!$A$1:$I$88,5,0)</f>
        <v>170.96040000000022</v>
      </c>
      <c r="BF95" s="14">
        <f t="shared" si="91"/>
        <v>43.305050662028719</v>
      </c>
      <c r="BG95" s="22">
        <f t="shared" si="61"/>
        <v>373.17899323636703</v>
      </c>
      <c r="BH95" s="61">
        <f t="shared" si="62"/>
        <v>648.18929527947876</v>
      </c>
      <c r="BI95" s="61">
        <f ca="1">AVERAGE(OFFSET($BH$3,0,0,'Données projet'!$E$11+1,1))-AVERAGE(OFFSET($H$3,0,0,'Données projet'!$E$11+1,1))</f>
        <v>433.57989081194</v>
      </c>
      <c r="BJ95" s="61">
        <f t="shared" si="92"/>
        <v>182.52060621271355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3"/>
        <v>0</v>
      </c>
      <c r="BT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1" t="e">
        <f t="shared" si="65"/>
        <v>#N/A</v>
      </c>
      <c r="CD95" s="61" t="e">
        <f ca="1">AVERAGE(OFFSET($CC$3,0,0,'Données projet'!$E$12+1,1))-AVERAGE(OFFSET($H$3,0,0,'Données projet'!$E$12+1,1))</f>
        <v>#N/A</v>
      </c>
      <c r="CE95" s="61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66"/>
        <v>0</v>
      </c>
      <c r="CO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1" t="e">
        <f t="shared" si="68"/>
        <v>#N/A</v>
      </c>
      <c r="CY95" s="61" t="e">
        <f ca="1">AVERAGE(OFFSET($CX$3,0,0,'Données projet'!$E$13+1,1))-AVERAGE(OFFSET($H$3,0,0,'Données projet'!$E$13+1,1))</f>
        <v>#N/A</v>
      </c>
      <c r="CZ95" s="61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69"/>
        <v>0</v>
      </c>
      <c r="DJ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1" t="e">
        <f t="shared" si="71"/>
        <v>#N/A</v>
      </c>
      <c r="DT95" s="61" t="e">
        <f ca="1">AVERAGE(OFFSET($DS$3,0,0,'Données projet'!$E$14+1,1))-AVERAGE(OFFSET($H$3,0,0,'Données projet'!$E$14+1,1))</f>
        <v>#N/A</v>
      </c>
      <c r="DU95" s="61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2"/>
        <v>0</v>
      </c>
      <c r="EE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1" t="e">
        <f t="shared" si="74"/>
        <v>#N/A</v>
      </c>
      <c r="EO95" s="61" t="e">
        <f ca="1">AVERAGE(OFFSET($EN$3,0,0,'Données projet'!$E$15+1,1))-AVERAGE(OFFSET($H$3,0,0,'Données projet'!$E$15+1,1))</f>
        <v>#N/A</v>
      </c>
      <c r="EP95" s="61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75"/>
        <v>0</v>
      </c>
      <c r="EZ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1" t="e">
        <f t="shared" si="77"/>
        <v>#N/A</v>
      </c>
      <c r="FJ95" s="61" t="e">
        <f ca="1">AVERAGE(OFFSET($FI$3,0,0,'Données projet'!$E$16+1,1))-AVERAGE(OFFSET($H$3,0,0,'Données projet'!$E$16+1,1))</f>
        <v>#N/A</v>
      </c>
      <c r="FK95" s="61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78"/>
        <v>0</v>
      </c>
      <c r="FU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1" t="e">
        <f t="shared" si="80"/>
        <v>#N/A</v>
      </c>
      <c r="GE95" s="61" t="e">
        <f ca="1">AVERAGE(OFFSET($GD$3,0,0,'Données projet'!$E$17+1,1))-AVERAGE(OFFSET($H$3,0,0,'Données projet'!$E$17+1,1))</f>
        <v>#N/A</v>
      </c>
      <c r="GF95" s="61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81"/>
        <v>0</v>
      </c>
      <c r="GP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1" t="e">
        <f t="shared" si="83"/>
        <v>#N/A</v>
      </c>
      <c r="GZ95" s="61" t="e">
        <f ca="1">AVERAGE(OFFSET($GY$3,0,0,'Données projet'!$E$18+1,1))-AVERAGE(OFFSET($H$3,0,0,'Données projet'!$E$18+1,1))</f>
        <v>#N/A</v>
      </c>
      <c r="HA95" s="61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84"/>
        <v>0</v>
      </c>
    </row>
    <row r="96" spans="1:218" s="5" customFormat="1" x14ac:dyDescent="0.45">
      <c r="A96" s="11">
        <f t="shared" si="85"/>
        <v>93</v>
      </c>
      <c r="B96" s="76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9">
        <f t="shared" si="56"/>
        <v>183.33333333333334</v>
      </c>
      <c r="I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-3.4106051316484809E-13</v>
      </c>
      <c r="O96" s="14">
        <f>N96*VLOOKUP('Données projet'!$B$9,Paramètres!$A$1:$I$88,3,0)*VLOOKUP('Données projet'!$B$9,Paramètres!$A$1:$I$88,5,0)</f>
        <v>-2.0395418687257919E-13</v>
      </c>
      <c r="P96" s="14" t="e">
        <f t="shared" si="87"/>
        <v>#NUM!</v>
      </c>
      <c r="Q96" s="22" t="e">
        <f t="shared" si="54"/>
        <v>#NUM!</v>
      </c>
      <c r="R96" s="61" t="e">
        <f t="shared" si="55"/>
        <v>#NUM!</v>
      </c>
      <c r="S96" s="61">
        <f ca="1">AVERAGE(OFFSET($R$3,0,0,'Données projet'!$E$9+1,1))-AVERAGE(OFFSET($H$3,0,0,'Données projet'!$E$9+1,1))</f>
        <v>445.53168057836308</v>
      </c>
      <c r="T96" s="61">
        <f t="shared" si="88"/>
        <v>326.78684646135241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255.14788891169891</v>
      </c>
      <c r="AA96" s="23">
        <f>EXP(-LN(2)/25)*AA95+(1-EXP(-LN(2)/25))/(LN(2)/25)*Calculateur!V96*Calculateur!X96*VLOOKUP('Données projet'!$B$9,Paramètres!$A$1:$I$88,3,0)*0.475*44/12</f>
        <v>20.595232881561252</v>
      </c>
      <c r="AB96" s="23">
        <f>EXP(-LN(2)/2)*AB95+(1-EXP(-LN(2)/2))/(LN(2)/2)*V96*Y96*VLOOKUP('Données projet'!$B$9,Paramètres!$A$1:$I$88,3,0)*0.475*44/12</f>
        <v>2.3192577813957519E-4</v>
      </c>
      <c r="AC96" s="24">
        <f t="shared" si="57"/>
        <v>275.74335371903834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17.5</v>
      </c>
      <c r="AI96" s="14">
        <f>IF('Données projet'!$A$62&gt;35,AI95+AH96-AQ95,IF(A96&lt;'Données projet'!$A$62,$AF$205^A96,IF(A96='Données projet'!$A$62,'Données projet'!$B$62,AI95+AH96-AQ95)))</f>
        <v>595.49999999999932</v>
      </c>
      <c r="AJ96" s="14">
        <f>AI96*VLOOKUP('Données projet'!$B$10,Paramètres!$A$1:$I$88,3,0)*VLOOKUP('Données projet'!$B$10,Paramètres!$A$1:$I$88,5,0)</f>
        <v>278.69399999999968</v>
      </c>
      <c r="AK96" s="14">
        <f t="shared" si="89"/>
        <v>66.69093848559443</v>
      </c>
      <c r="AL96" s="22">
        <f t="shared" si="58"/>
        <v>601.54543452907626</v>
      </c>
      <c r="AM96" s="61">
        <f t="shared" si="59"/>
        <v>876.87360020091228</v>
      </c>
      <c r="AN96" s="61">
        <f ca="1">AVERAGE(OFFSET($AM$3,0,0,'Données projet'!$E$10+1,1))-AVERAGE(OFFSET($H$3,0,0,'Données projet'!$E$10+1,1))</f>
        <v>375.77859820466693</v>
      </c>
      <c r="AO96" s="61">
        <f t="shared" si="90"/>
        <v>242.84781402593856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48.644231828581766</v>
      </c>
      <c r="AV96" s="23">
        <f>EXP(-LN(2)/25)*AV95+(1-EXP(-LN(2)/25))/(LN(2)/25)*Calculateur!AQ96*Calculateur!AS96*VLOOKUP('Données projet'!$B$9,Paramètres!$A$1:$I$88,3,0)*0.475*44/12</f>
        <v>49.550002618528666</v>
      </c>
      <c r="AW96" s="23">
        <f>EXP(-LN(2)/2)*AW95+(1-EXP(-LN(2)/2))/(LN(2)/2)*AQ96*AT96*VLOOKUP('Données projet'!$B$9,Paramètres!$A$1:$I$88,3,0)*0.475*44/12</f>
        <v>0</v>
      </c>
      <c r="AX96" s="23">
        <f t="shared" si="60"/>
        <v>98.194234447110432</v>
      </c>
      <c r="AY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>
        <f>VLOOKUP(A96,'Données projet'!$A$87:$I$107,2,0)</f>
        <v>173</v>
      </c>
      <c r="BB96" s="13">
        <f>VLOOKUP(A96,'Données projet'!$A$87:$I$107,9,0)</f>
        <v>4.4000000000000004</v>
      </c>
      <c r="BC96" s="13">
        <f t="array" ref="BC96">INDEX(BB:BB,MIN(IF(ISNUMBER(BB96:BB292),ROW(BB96:BB292),"")))</f>
        <v>4.4000000000000004</v>
      </c>
      <c r="BD96" s="13">
        <f>IF('Données projet'!$A$88&gt;35,BD95+BC96-BL95,IF(A96&lt;'Données projet'!$A$88,$BA$205^A96,IF(A96='Données projet'!$A$88,'Données projet'!$B$88,BD95+BC96-BL95)))</f>
        <v>173.00000000000023</v>
      </c>
      <c r="BE96" s="14">
        <f>BD96*VLOOKUP('Données projet'!$B$11,Paramètres!$A$1:$I$88,3,0)*VLOOKUP('Données projet'!$B$11,Paramètres!$A$1:$I$88,5,0)</f>
        <v>175.42200000000022</v>
      </c>
      <c r="BF96" s="14">
        <f t="shared" si="91"/>
        <v>44.302143412304773</v>
      </c>
      <c r="BG96" s="22">
        <f t="shared" si="61"/>
        <v>382.68621644309786</v>
      </c>
      <c r="BH96" s="61">
        <f t="shared" si="62"/>
        <v>658.01438211493382</v>
      </c>
      <c r="BI96" s="61">
        <f ca="1">AVERAGE(OFFSET($BH$3,0,0,'Données projet'!$E$11+1,1))-AVERAGE(OFFSET($H$3,0,0,'Données projet'!$E$11+1,1))</f>
        <v>433.57989081194</v>
      </c>
      <c r="BJ96" s="61">
        <f t="shared" si="92"/>
        <v>182.52060621271355</v>
      </c>
      <c r="BK96" s="16">
        <f>IF(ISNA(VLOOKUP(A96,'Données projet'!$A$87:$I$107,3,0)),0,VLOOKUP(A96,'Données projet'!$A$87:$I$107,3,0))</f>
        <v>4</v>
      </c>
      <c r="BL96" s="16">
        <f>IF(ISNA(VLOOKUP(A96,'Données projet'!$A$87:$I$107,4,0)),0,VLOOKUP(A96,'Données projet'!$A$87:$I$107,4,0))</f>
        <v>28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0.215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4.7567757029334148</v>
      </c>
      <c r="BR96" s="23">
        <f>EXP(-LN(2)/2)*BR95+(1-EXP(-LN(2)/2))/(LN(2)/2)*BL96*BO96*VLOOKUP('Données projet'!$B$9,Paramètres!$A$1:$I$88,3,0)*0.475*44/12</f>
        <v>0</v>
      </c>
      <c r="BS96" s="24">
        <f t="shared" si="63"/>
        <v>4.7567757029334148</v>
      </c>
      <c r="BT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1" t="e">
        <f t="shared" si="65"/>
        <v>#N/A</v>
      </c>
      <c r="CD96" s="61" t="e">
        <f ca="1">AVERAGE(OFFSET($CC$3,0,0,'Données projet'!$E$12+1,1))-AVERAGE(OFFSET($H$3,0,0,'Données projet'!$E$12+1,1))</f>
        <v>#N/A</v>
      </c>
      <c r="CE96" s="61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66"/>
        <v>0</v>
      </c>
      <c r="CO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1" t="e">
        <f t="shared" si="68"/>
        <v>#N/A</v>
      </c>
      <c r="CY96" s="61" t="e">
        <f ca="1">AVERAGE(OFFSET($CX$3,0,0,'Données projet'!$E$13+1,1))-AVERAGE(OFFSET($H$3,0,0,'Données projet'!$E$13+1,1))</f>
        <v>#N/A</v>
      </c>
      <c r="CZ96" s="61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69"/>
        <v>0</v>
      </c>
      <c r="DJ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1" t="e">
        <f t="shared" si="71"/>
        <v>#N/A</v>
      </c>
      <c r="DT96" s="61" t="e">
        <f ca="1">AVERAGE(OFFSET($DS$3,0,0,'Données projet'!$E$14+1,1))-AVERAGE(OFFSET($H$3,0,0,'Données projet'!$E$14+1,1))</f>
        <v>#N/A</v>
      </c>
      <c r="DU96" s="61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2"/>
        <v>0</v>
      </c>
      <c r="EE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1" t="e">
        <f t="shared" si="74"/>
        <v>#N/A</v>
      </c>
      <c r="EO96" s="61" t="e">
        <f ca="1">AVERAGE(OFFSET($EN$3,0,0,'Données projet'!$E$15+1,1))-AVERAGE(OFFSET($H$3,0,0,'Données projet'!$E$15+1,1))</f>
        <v>#N/A</v>
      </c>
      <c r="EP96" s="61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75"/>
        <v>0</v>
      </c>
      <c r="EZ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1" t="e">
        <f t="shared" si="77"/>
        <v>#N/A</v>
      </c>
      <c r="FJ96" s="61" t="e">
        <f ca="1">AVERAGE(OFFSET($FI$3,0,0,'Données projet'!$E$16+1,1))-AVERAGE(OFFSET($H$3,0,0,'Données projet'!$E$16+1,1))</f>
        <v>#N/A</v>
      </c>
      <c r="FK96" s="61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78"/>
        <v>0</v>
      </c>
      <c r="FU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1" t="e">
        <f t="shared" si="80"/>
        <v>#N/A</v>
      </c>
      <c r="GE96" s="61" t="e">
        <f ca="1">AVERAGE(OFFSET($GD$3,0,0,'Données projet'!$E$17+1,1))-AVERAGE(OFFSET($H$3,0,0,'Données projet'!$E$17+1,1))</f>
        <v>#N/A</v>
      </c>
      <c r="GF96" s="61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81"/>
        <v>0</v>
      </c>
      <c r="GP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1" t="e">
        <f t="shared" si="83"/>
        <v>#N/A</v>
      </c>
      <c r="GZ96" s="61" t="e">
        <f ca="1">AVERAGE(OFFSET($GY$3,0,0,'Données projet'!$E$18+1,1))-AVERAGE(OFFSET($H$3,0,0,'Données projet'!$E$18+1,1))</f>
        <v>#N/A</v>
      </c>
      <c r="HA96" s="61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84"/>
        <v>0</v>
      </c>
    </row>
    <row r="97" spans="1:218" s="5" customFormat="1" x14ac:dyDescent="0.45">
      <c r="A97" s="11">
        <f t="shared" si="85"/>
        <v>94</v>
      </c>
      <c r="B97" s="76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9">
        <f t="shared" si="56"/>
        <v>183.33333333333334</v>
      </c>
      <c r="I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-3.4106051316484809E-13</v>
      </c>
      <c r="O97" s="14">
        <f>N97*VLOOKUP('Données projet'!$B$9,Paramètres!$A$1:$I$88,3,0)*VLOOKUP('Données projet'!$B$9,Paramètres!$A$1:$I$88,5,0)</f>
        <v>-2.0395418687257919E-13</v>
      </c>
      <c r="P97" s="14" t="e">
        <f t="shared" si="87"/>
        <v>#NUM!</v>
      </c>
      <c r="Q97" s="22" t="e">
        <f t="shared" si="54"/>
        <v>#NUM!</v>
      </c>
      <c r="R97" s="61" t="e">
        <f t="shared" si="55"/>
        <v>#NUM!</v>
      </c>
      <c r="S97" s="61">
        <f ca="1">AVERAGE(OFFSET($R$3,0,0,'Données projet'!$E$9+1,1))-AVERAGE(OFFSET($H$3,0,0,'Données projet'!$E$9+1,1))</f>
        <v>445.53168057836308</v>
      </c>
      <c r="T97" s="61">
        <f t="shared" si="88"/>
        <v>326.78684646135241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250.14459443498606</v>
      </c>
      <c r="AA97" s="23">
        <f>EXP(-LN(2)/25)*AA96+(1-EXP(-LN(2)/25))/(LN(2)/25)*Calculateur!V97*Calculateur!X97*VLOOKUP('Données projet'!$B$9,Paramètres!$A$1:$I$88,3,0)*0.475*44/12</f>
        <v>20.032055155358734</v>
      </c>
      <c r="AB97" s="23">
        <f>EXP(-LN(2)/2)*AB96+(1-EXP(-LN(2)/2))/(LN(2)/2)*V97*Y97*VLOOKUP('Données projet'!$B$9,Paramètres!$A$1:$I$88,3,0)*0.475*44/12</f>
        <v>1.6399629045446036E-4</v>
      </c>
      <c r="AC97" s="24">
        <f t="shared" si="57"/>
        <v>270.17681358663526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17.5</v>
      </c>
      <c r="AI97" s="14">
        <f>IF('Données projet'!$A$62&gt;35,AI96+AH97-AQ96,IF(A97&lt;'Données projet'!$A$62,$AF$205^A97,IF(A97='Données projet'!$A$62,'Données projet'!$B$62,AI96+AH97-AQ96)))</f>
        <v>612.99999999999932</v>
      </c>
      <c r="AJ97" s="14">
        <f>AI97*VLOOKUP('Données projet'!$B$10,Paramètres!$A$1:$I$88,3,0)*VLOOKUP('Données projet'!$B$10,Paramètres!$A$1:$I$88,5,0)</f>
        <v>286.88399999999967</v>
      </c>
      <c r="AK97" s="14">
        <f t="shared" si="89"/>
        <v>68.419733135699374</v>
      </c>
      <c r="AL97" s="22">
        <f t="shared" si="58"/>
        <v>618.82066854467587</v>
      </c>
      <c r="AM97" s="61">
        <f t="shared" si="59"/>
        <v>894.46118362191442</v>
      </c>
      <c r="AN97" s="61">
        <f ca="1">AVERAGE(OFFSET($AM$3,0,0,'Données projet'!$E$10+1,1))-AVERAGE(OFFSET($H$3,0,0,'Données projet'!$E$10+1,1))</f>
        <v>375.77859820466693</v>
      </c>
      <c r="AO97" s="61">
        <f t="shared" si="90"/>
        <v>242.84781402593856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47.690348112475021</v>
      </c>
      <c r="AV97" s="23">
        <f>EXP(-LN(2)/25)*AV96+(1-EXP(-LN(2)/25))/(LN(2)/25)*Calculateur!AQ97*Calculateur!AS97*VLOOKUP('Données projet'!$B$9,Paramètres!$A$1:$I$88,3,0)*0.475*44/12</f>
        <v>48.195055191203608</v>
      </c>
      <c r="AW97" s="23">
        <f>EXP(-LN(2)/2)*AW96+(1-EXP(-LN(2)/2))/(LN(2)/2)*AQ97*AT97*VLOOKUP('Données projet'!$B$9,Paramètres!$A$1:$I$88,3,0)*0.475*44/12</f>
        <v>0</v>
      </c>
      <c r="AX97" s="23">
        <f t="shared" si="60"/>
        <v>95.885403303678629</v>
      </c>
      <c r="AY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4.4000000000000004</v>
      </c>
      <c r="BD97" s="13">
        <f>IF('Données projet'!$A$88&gt;35,BD96+BC97-BL96,IF(A97&lt;'Données projet'!$A$88,$BA$205^A97,IF(A97='Données projet'!$A$88,'Données projet'!$B$88,BD96+BC97-BL96)))</f>
        <v>149.40000000000023</v>
      </c>
      <c r="BE97" s="14">
        <f>BD97*VLOOKUP('Données projet'!$B$11,Paramètres!$A$1:$I$88,3,0)*VLOOKUP('Données projet'!$B$11,Paramètres!$A$1:$I$88,5,0)</f>
        <v>151.49160000000026</v>
      </c>
      <c r="BF97" s="14">
        <f t="shared" si="91"/>
        <v>38.91736161880214</v>
      </c>
      <c r="BG97" s="22">
        <f t="shared" si="61"/>
        <v>331.62894148608086</v>
      </c>
      <c r="BH97" s="61">
        <f t="shared" si="62"/>
        <v>607.26945656331941</v>
      </c>
      <c r="BI97" s="61">
        <f ca="1">AVERAGE(OFFSET($BH$3,0,0,'Données projet'!$E$11+1,1))-AVERAGE(OFFSET($H$3,0,0,'Données projet'!$E$11+1,1))</f>
        <v>433.57989081194</v>
      </c>
      <c r="BJ97" s="61">
        <f t="shared" si="92"/>
        <v>182.52060621271355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4.6267014211887378</v>
      </c>
      <c r="BR97" s="23">
        <f>EXP(-LN(2)/2)*BR96+(1-EXP(-LN(2)/2))/(LN(2)/2)*BL97*BO97*VLOOKUP('Données projet'!$B$9,Paramètres!$A$1:$I$88,3,0)*0.475*44/12</f>
        <v>0</v>
      </c>
      <c r="BS97" s="24">
        <f t="shared" si="63"/>
        <v>4.6267014211887378</v>
      </c>
      <c r="BT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1" t="e">
        <f t="shared" si="65"/>
        <v>#N/A</v>
      </c>
      <c r="CD97" s="61" t="e">
        <f ca="1">AVERAGE(OFFSET($CC$3,0,0,'Données projet'!$E$12+1,1))-AVERAGE(OFFSET($H$3,0,0,'Données projet'!$E$12+1,1))</f>
        <v>#N/A</v>
      </c>
      <c r="CE97" s="61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66"/>
        <v>0</v>
      </c>
      <c r="CO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1" t="e">
        <f t="shared" si="68"/>
        <v>#N/A</v>
      </c>
      <c r="CY97" s="61" t="e">
        <f ca="1">AVERAGE(OFFSET($CX$3,0,0,'Données projet'!$E$13+1,1))-AVERAGE(OFFSET($H$3,0,0,'Données projet'!$E$13+1,1))</f>
        <v>#N/A</v>
      </c>
      <c r="CZ97" s="61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69"/>
        <v>0</v>
      </c>
      <c r="DJ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1" t="e">
        <f t="shared" si="71"/>
        <v>#N/A</v>
      </c>
      <c r="DT97" s="61" t="e">
        <f ca="1">AVERAGE(OFFSET($DS$3,0,0,'Données projet'!$E$14+1,1))-AVERAGE(OFFSET($H$3,0,0,'Données projet'!$E$14+1,1))</f>
        <v>#N/A</v>
      </c>
      <c r="DU97" s="61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2"/>
        <v>0</v>
      </c>
      <c r="EE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1" t="e">
        <f t="shared" si="74"/>
        <v>#N/A</v>
      </c>
      <c r="EO97" s="61" t="e">
        <f ca="1">AVERAGE(OFFSET($EN$3,0,0,'Données projet'!$E$15+1,1))-AVERAGE(OFFSET($H$3,0,0,'Données projet'!$E$15+1,1))</f>
        <v>#N/A</v>
      </c>
      <c r="EP97" s="61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75"/>
        <v>0</v>
      </c>
      <c r="EZ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1" t="e">
        <f t="shared" si="77"/>
        <v>#N/A</v>
      </c>
      <c r="FJ97" s="61" t="e">
        <f ca="1">AVERAGE(OFFSET($FI$3,0,0,'Données projet'!$E$16+1,1))-AVERAGE(OFFSET($H$3,0,0,'Données projet'!$E$16+1,1))</f>
        <v>#N/A</v>
      </c>
      <c r="FK97" s="61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78"/>
        <v>0</v>
      </c>
      <c r="FU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1" t="e">
        <f t="shared" si="80"/>
        <v>#N/A</v>
      </c>
      <c r="GE97" s="61" t="e">
        <f ca="1">AVERAGE(OFFSET($GD$3,0,0,'Données projet'!$E$17+1,1))-AVERAGE(OFFSET($H$3,0,0,'Données projet'!$E$17+1,1))</f>
        <v>#N/A</v>
      </c>
      <c r="GF97" s="61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81"/>
        <v>0</v>
      </c>
      <c r="GP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1" t="e">
        <f t="shared" si="83"/>
        <v>#N/A</v>
      </c>
      <c r="GZ97" s="61" t="e">
        <f ca="1">AVERAGE(OFFSET($GY$3,0,0,'Données projet'!$E$18+1,1))-AVERAGE(OFFSET($H$3,0,0,'Données projet'!$E$18+1,1))</f>
        <v>#N/A</v>
      </c>
      <c r="HA97" s="61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84"/>
        <v>0</v>
      </c>
    </row>
    <row r="98" spans="1:218" s="5" customFormat="1" x14ac:dyDescent="0.45">
      <c r="A98" s="11">
        <f t="shared" si="85"/>
        <v>95</v>
      </c>
      <c r="B98" s="76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9">
        <f t="shared" si="56"/>
        <v>183.33333333333334</v>
      </c>
      <c r="I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-3.4106051316484809E-13</v>
      </c>
      <c r="O98" s="14">
        <f>N98*VLOOKUP('Données projet'!$B$9,Paramètres!$A$1:$I$88,3,0)*VLOOKUP('Données projet'!$B$9,Paramètres!$A$1:$I$88,5,0)</f>
        <v>-2.0395418687257919E-13</v>
      </c>
      <c r="P98" s="14" t="e">
        <f t="shared" si="87"/>
        <v>#NUM!</v>
      </c>
      <c r="Q98" s="22" t="e">
        <f t="shared" si="54"/>
        <v>#NUM!</v>
      </c>
      <c r="R98" s="61" t="e">
        <f t="shared" si="55"/>
        <v>#NUM!</v>
      </c>
      <c r="S98" s="61">
        <f ca="1">AVERAGE(OFFSET($R$3,0,0,'Données projet'!$E$9+1,1))-AVERAGE(OFFSET($H$3,0,0,'Données projet'!$E$9+1,1))</f>
        <v>445.53168057836308</v>
      </c>
      <c r="T98" s="61">
        <f t="shared" si="88"/>
        <v>326.78684646135241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245.23941151125325</v>
      </c>
      <c r="AA98" s="23">
        <f>EXP(-LN(2)/25)*AA97+(1-EXP(-LN(2)/25))/(LN(2)/25)*Calculateur!V98*Calculateur!X98*VLOOKUP('Données projet'!$B$9,Paramètres!$A$1:$I$88,3,0)*0.475*44/12</f>
        <v>19.484277553695453</v>
      </c>
      <c r="AB98" s="23">
        <f>EXP(-LN(2)/2)*AB97+(1-EXP(-LN(2)/2))/(LN(2)/2)*V98*Y98*VLOOKUP('Données projet'!$B$9,Paramètres!$A$1:$I$88,3,0)*0.475*44/12</f>
        <v>1.159628890697876E-4</v>
      </c>
      <c r="AC98" s="24">
        <f t="shared" si="57"/>
        <v>264.72380502783778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17.5</v>
      </c>
      <c r="AI98" s="14">
        <f>IF('Données projet'!$A$62&gt;35,AI97+AH98-AQ97,IF(A98&lt;'Données projet'!$A$62,$AF$205^A98,IF(A98='Données projet'!$A$62,'Données projet'!$B$62,AI97+AH98-AQ97)))</f>
        <v>630.49999999999932</v>
      </c>
      <c r="AJ98" s="14">
        <f>AI98*VLOOKUP('Données projet'!$B$10,Paramètres!$A$1:$I$88,3,0)*VLOOKUP('Données projet'!$B$10,Paramètres!$A$1:$I$88,5,0)</f>
        <v>295.07399999999967</v>
      </c>
      <c r="AK98" s="14">
        <f t="shared" si="89"/>
        <v>70.142791709481116</v>
      </c>
      <c r="AL98" s="22">
        <f t="shared" si="58"/>
        <v>636.0859122273456</v>
      </c>
      <c r="AM98" s="61">
        <f t="shared" si="59"/>
        <v>912.0333581461116</v>
      </c>
      <c r="AN98" s="61">
        <f ca="1">AVERAGE(OFFSET($AM$3,0,0,'Données projet'!$E$10+1,1))-AVERAGE(OFFSET($H$3,0,0,'Données projet'!$E$10+1,1))</f>
        <v>375.77859820466693</v>
      </c>
      <c r="AO98" s="61">
        <f t="shared" si="90"/>
        <v>242.84781402593856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46.755169474229511</v>
      </c>
      <c r="AV98" s="23">
        <f>EXP(-LN(2)/25)*AV97+(1-EXP(-LN(2)/25))/(LN(2)/25)*Calculateur!AQ98*Calculateur!AS98*VLOOKUP('Données projet'!$B$9,Paramètres!$A$1:$I$88,3,0)*0.475*44/12</f>
        <v>46.877158872532341</v>
      </c>
      <c r="AW98" s="23">
        <f>EXP(-LN(2)/2)*AW97+(1-EXP(-LN(2)/2))/(LN(2)/2)*AQ98*AT98*VLOOKUP('Données projet'!$B$9,Paramètres!$A$1:$I$88,3,0)*0.475*44/12</f>
        <v>0</v>
      </c>
      <c r="AX98" s="23">
        <f t="shared" si="60"/>
        <v>93.632328346761852</v>
      </c>
      <c r="AY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4.4000000000000004</v>
      </c>
      <c r="BD98" s="13">
        <f>IF('Données projet'!$A$88&gt;35,BD97+BC98-BL97,IF(A98&lt;'Données projet'!$A$88,$BA$205^A98,IF(A98='Données projet'!$A$88,'Données projet'!$B$88,BD97+BC98-BL97)))</f>
        <v>153.80000000000024</v>
      </c>
      <c r="BE98" s="14">
        <f>BD98*VLOOKUP('Données projet'!$B$11,Paramètres!$A$1:$I$88,3,0)*VLOOKUP('Données projet'!$B$11,Paramètres!$A$1:$I$88,5,0)</f>
        <v>155.95320000000024</v>
      </c>
      <c r="BF98" s="14">
        <f t="shared" si="91"/>
        <v>39.928391937903946</v>
      </c>
      <c r="BG98" s="22">
        <f t="shared" si="61"/>
        <v>341.16043929184974</v>
      </c>
      <c r="BH98" s="61">
        <f t="shared" si="62"/>
        <v>617.10788521061568</v>
      </c>
      <c r="BI98" s="61">
        <f ca="1">AVERAGE(OFFSET($BH$3,0,0,'Données projet'!$E$11+1,1))-AVERAGE(OFFSET($H$3,0,0,'Données projet'!$E$11+1,1))</f>
        <v>433.57989081194</v>
      </c>
      <c r="BJ98" s="61">
        <f t="shared" si="92"/>
        <v>182.52060621271355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4.5001840275186789</v>
      </c>
      <c r="BR98" s="23">
        <f>EXP(-LN(2)/2)*BR97+(1-EXP(-LN(2)/2))/(LN(2)/2)*BL98*BO98*VLOOKUP('Données projet'!$B$9,Paramètres!$A$1:$I$88,3,0)*0.475*44/12</f>
        <v>0</v>
      </c>
      <c r="BS98" s="24">
        <f t="shared" si="63"/>
        <v>4.5001840275186789</v>
      </c>
      <c r="BT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1" t="e">
        <f t="shared" si="65"/>
        <v>#N/A</v>
      </c>
      <c r="CD98" s="61" t="e">
        <f ca="1">AVERAGE(OFFSET($CC$3,0,0,'Données projet'!$E$12+1,1))-AVERAGE(OFFSET($H$3,0,0,'Données projet'!$E$12+1,1))</f>
        <v>#N/A</v>
      </c>
      <c r="CE98" s="61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66"/>
        <v>0</v>
      </c>
      <c r="CO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1" t="e">
        <f t="shared" si="68"/>
        <v>#N/A</v>
      </c>
      <c r="CY98" s="61" t="e">
        <f ca="1">AVERAGE(OFFSET($CX$3,0,0,'Données projet'!$E$13+1,1))-AVERAGE(OFFSET($H$3,0,0,'Données projet'!$E$13+1,1))</f>
        <v>#N/A</v>
      </c>
      <c r="CZ98" s="61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69"/>
        <v>0</v>
      </c>
      <c r="DJ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1" t="e">
        <f t="shared" si="71"/>
        <v>#N/A</v>
      </c>
      <c r="DT98" s="61" t="e">
        <f ca="1">AVERAGE(OFFSET($DS$3,0,0,'Données projet'!$E$14+1,1))-AVERAGE(OFFSET($H$3,0,0,'Données projet'!$E$14+1,1))</f>
        <v>#N/A</v>
      </c>
      <c r="DU98" s="61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2"/>
        <v>0</v>
      </c>
      <c r="EE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1" t="e">
        <f t="shared" si="74"/>
        <v>#N/A</v>
      </c>
      <c r="EO98" s="61" t="e">
        <f ca="1">AVERAGE(OFFSET($EN$3,0,0,'Données projet'!$E$15+1,1))-AVERAGE(OFFSET($H$3,0,0,'Données projet'!$E$15+1,1))</f>
        <v>#N/A</v>
      </c>
      <c r="EP98" s="61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75"/>
        <v>0</v>
      </c>
      <c r="EZ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1" t="e">
        <f t="shared" si="77"/>
        <v>#N/A</v>
      </c>
      <c r="FJ98" s="61" t="e">
        <f ca="1">AVERAGE(OFFSET($FI$3,0,0,'Données projet'!$E$16+1,1))-AVERAGE(OFFSET($H$3,0,0,'Données projet'!$E$16+1,1))</f>
        <v>#N/A</v>
      </c>
      <c r="FK98" s="61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78"/>
        <v>0</v>
      </c>
      <c r="FU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1" t="e">
        <f t="shared" si="80"/>
        <v>#N/A</v>
      </c>
      <c r="GE98" s="61" t="e">
        <f ca="1">AVERAGE(OFFSET($GD$3,0,0,'Données projet'!$E$17+1,1))-AVERAGE(OFFSET($H$3,0,0,'Données projet'!$E$17+1,1))</f>
        <v>#N/A</v>
      </c>
      <c r="GF98" s="61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81"/>
        <v>0</v>
      </c>
      <c r="GP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1" t="e">
        <f t="shared" si="83"/>
        <v>#N/A</v>
      </c>
      <c r="GZ98" s="61" t="e">
        <f ca="1">AVERAGE(OFFSET($GY$3,0,0,'Données projet'!$E$18+1,1))-AVERAGE(OFFSET($H$3,0,0,'Données projet'!$E$18+1,1))</f>
        <v>#N/A</v>
      </c>
      <c r="HA98" s="61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84"/>
        <v>0</v>
      </c>
    </row>
    <row r="99" spans="1:218" s="5" customFormat="1" x14ac:dyDescent="0.45">
      <c r="A99" s="11">
        <f t="shared" si="85"/>
        <v>96</v>
      </c>
      <c r="B99" s="76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9">
        <f t="shared" si="56"/>
        <v>183.33333333333334</v>
      </c>
      <c r="I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-3.4106051316484809E-13</v>
      </c>
      <c r="O99" s="14">
        <f>N99*VLOOKUP('Données projet'!$B$9,Paramètres!$A$1:$I$88,3,0)*VLOOKUP('Données projet'!$B$9,Paramètres!$A$1:$I$88,5,0)</f>
        <v>-2.0395418687257919E-13</v>
      </c>
      <c r="P99" s="14" t="e">
        <f t="shared" si="87"/>
        <v>#NUM!</v>
      </c>
      <c r="Q99" s="22" t="e">
        <f t="shared" ref="Q99:Q130" si="107">(O99+P99)*0.475*44/12</f>
        <v>#NUM!</v>
      </c>
      <c r="R99" s="61" t="e">
        <f t="shared" si="55"/>
        <v>#NUM!</v>
      </c>
      <c r="S99" s="61">
        <f ca="1">AVERAGE(OFFSET($R$3,0,0,'Données projet'!$E$9+1,1))-AVERAGE(OFFSET($H$3,0,0,'Données projet'!$E$9+1,1))</f>
        <v>445.53168057836308</v>
      </c>
      <c r="T99" s="61">
        <f t="shared" si="88"/>
        <v>326.78684646135241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240.43041623278867</v>
      </c>
      <c r="AA99" s="23">
        <f>EXP(-LN(2)/25)*AA98+(1-EXP(-LN(2)/25))/(LN(2)/25)*Calculateur!V99*Calculateur!X99*VLOOKUP('Données projet'!$B$9,Paramètres!$A$1:$I$88,3,0)*0.475*44/12</f>
        <v>18.951478959356027</v>
      </c>
      <c r="AB99" s="23">
        <f>EXP(-LN(2)/2)*AB98+(1-EXP(-LN(2)/2))/(LN(2)/2)*V99*Y99*VLOOKUP('Données projet'!$B$9,Paramètres!$A$1:$I$88,3,0)*0.475*44/12</f>
        <v>8.1998145227230181E-5</v>
      </c>
      <c r="AC99" s="24">
        <f t="shared" si="57"/>
        <v>259.38197719028994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17.5</v>
      </c>
      <c r="AI99" s="14">
        <f>IF('Données projet'!$A$62&gt;35,AI98+AH99-AQ98,IF(A99&lt;'Données projet'!$A$62,$AF$205^A99,IF(A99='Données projet'!$A$62,'Données projet'!$B$62,AI98+AH99-AQ98)))</f>
        <v>647.99999999999932</v>
      </c>
      <c r="AJ99" s="14">
        <f>AI99*VLOOKUP('Données projet'!$B$10,Paramètres!$A$1:$I$88,3,0)*VLOOKUP('Données projet'!$B$10,Paramètres!$A$1:$I$88,5,0)</f>
        <v>303.26399999999967</v>
      </c>
      <c r="AK99" s="14">
        <f t="shared" si="89"/>
        <v>71.860291707330802</v>
      </c>
      <c r="AL99" s="22">
        <f t="shared" si="58"/>
        <v>653.34147472360053</v>
      </c>
      <c r="AM99" s="61">
        <f t="shared" si="59"/>
        <v>929.59052691998795</v>
      </c>
      <c r="AN99" s="61">
        <f ca="1">AVERAGE(OFFSET($AM$3,0,0,'Données projet'!$E$10+1,1))-AVERAGE(OFFSET($H$3,0,0,'Données projet'!$E$10+1,1))</f>
        <v>375.77859820466693</v>
      </c>
      <c r="AO99" s="61">
        <f t="shared" si="90"/>
        <v>242.84781402593856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45.83832911867735</v>
      </c>
      <c r="AV99" s="23">
        <f>EXP(-LN(2)/25)*AV98+(1-EXP(-LN(2)/25))/(LN(2)/25)*Calculateur!AQ99*Calculateur!AS99*VLOOKUP('Données projet'!$B$9,Paramètres!$A$1:$I$88,3,0)*0.475*44/12</f>
        <v>45.595300498000299</v>
      </c>
      <c r="AW99" s="23">
        <f>EXP(-LN(2)/2)*AW98+(1-EXP(-LN(2)/2))/(LN(2)/2)*AQ99*AT99*VLOOKUP('Données projet'!$B$9,Paramètres!$A$1:$I$88,3,0)*0.475*44/12</f>
        <v>0</v>
      </c>
      <c r="AX99" s="23">
        <f t="shared" si="60"/>
        <v>91.433629616677649</v>
      </c>
      <c r="AY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4.4000000000000004</v>
      </c>
      <c r="BD99" s="13">
        <f>IF('Données projet'!$A$88&gt;35,BD98+BC99-BL98,IF(A99&lt;'Données projet'!$A$88,$BA$205^A99,IF(A99='Données projet'!$A$88,'Données projet'!$B$88,BD98+BC99-BL98)))</f>
        <v>158.20000000000024</v>
      </c>
      <c r="BE99" s="14">
        <f>BD99*VLOOKUP('Données projet'!$B$11,Paramètres!$A$1:$I$88,3,0)*VLOOKUP('Données projet'!$B$11,Paramètres!$A$1:$I$88,5,0)</f>
        <v>160.41480000000027</v>
      </c>
      <c r="BF99" s="14">
        <f t="shared" si="91"/>
        <v>40.936060601587059</v>
      </c>
      <c r="BG99" s="22">
        <f t="shared" si="61"/>
        <v>350.68608221443128</v>
      </c>
      <c r="BH99" s="61">
        <f t="shared" si="62"/>
        <v>626.9351344108187</v>
      </c>
      <c r="BI99" s="61">
        <f ca="1">AVERAGE(OFFSET($BH$3,0,0,'Données projet'!$E$11+1,1))-AVERAGE(OFFSET($H$3,0,0,'Données projet'!$E$11+1,1))</f>
        <v>433.57989081194</v>
      </c>
      <c r="BJ99" s="61">
        <f t="shared" si="92"/>
        <v>182.52060621271355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4.3771262586317876</v>
      </c>
      <c r="BR99" s="23">
        <f>EXP(-LN(2)/2)*BR98+(1-EXP(-LN(2)/2))/(LN(2)/2)*BL99*BO99*VLOOKUP('Données projet'!$B$9,Paramètres!$A$1:$I$88,3,0)*0.475*44/12</f>
        <v>0</v>
      </c>
      <c r="BS99" s="24">
        <f t="shared" si="63"/>
        <v>4.3771262586317876</v>
      </c>
      <c r="BT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1" t="e">
        <f t="shared" si="65"/>
        <v>#N/A</v>
      </c>
      <c r="CD99" s="61" t="e">
        <f ca="1">AVERAGE(OFFSET($CC$3,0,0,'Données projet'!$E$12+1,1))-AVERAGE(OFFSET($H$3,0,0,'Données projet'!$E$12+1,1))</f>
        <v>#N/A</v>
      </c>
      <c r="CE99" s="61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66"/>
        <v>0</v>
      </c>
      <c r="CO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1" t="e">
        <f t="shared" si="68"/>
        <v>#N/A</v>
      </c>
      <c r="CY99" s="61" t="e">
        <f ca="1">AVERAGE(OFFSET($CX$3,0,0,'Données projet'!$E$13+1,1))-AVERAGE(OFFSET($H$3,0,0,'Données projet'!$E$13+1,1))</f>
        <v>#N/A</v>
      </c>
      <c r="CZ99" s="61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69"/>
        <v>0</v>
      </c>
      <c r="DJ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1" t="e">
        <f t="shared" si="71"/>
        <v>#N/A</v>
      </c>
      <c r="DT99" s="61" t="e">
        <f ca="1">AVERAGE(OFFSET($DS$3,0,0,'Données projet'!$E$14+1,1))-AVERAGE(OFFSET($H$3,0,0,'Données projet'!$E$14+1,1))</f>
        <v>#N/A</v>
      </c>
      <c r="DU99" s="61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2"/>
        <v>0</v>
      </c>
      <c r="EE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1" t="e">
        <f t="shared" si="74"/>
        <v>#N/A</v>
      </c>
      <c r="EO99" s="61" t="e">
        <f ca="1">AVERAGE(OFFSET($EN$3,0,0,'Données projet'!$E$15+1,1))-AVERAGE(OFFSET($H$3,0,0,'Données projet'!$E$15+1,1))</f>
        <v>#N/A</v>
      </c>
      <c r="EP99" s="61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75"/>
        <v>0</v>
      </c>
      <c r="EZ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1" t="e">
        <f t="shared" si="77"/>
        <v>#N/A</v>
      </c>
      <c r="FJ99" s="61" t="e">
        <f ca="1">AVERAGE(OFFSET($FI$3,0,0,'Données projet'!$E$16+1,1))-AVERAGE(OFFSET($H$3,0,0,'Données projet'!$E$16+1,1))</f>
        <v>#N/A</v>
      </c>
      <c r="FK99" s="61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78"/>
        <v>0</v>
      </c>
      <c r="FU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1" t="e">
        <f t="shared" si="80"/>
        <v>#N/A</v>
      </c>
      <c r="GE99" s="61" t="e">
        <f ca="1">AVERAGE(OFFSET($GD$3,0,0,'Données projet'!$E$17+1,1))-AVERAGE(OFFSET($H$3,0,0,'Données projet'!$E$17+1,1))</f>
        <v>#N/A</v>
      </c>
      <c r="GF99" s="61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81"/>
        <v>0</v>
      </c>
      <c r="GP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1" t="e">
        <f t="shared" si="83"/>
        <v>#N/A</v>
      </c>
      <c r="GZ99" s="61" t="e">
        <f ca="1">AVERAGE(OFFSET($GY$3,0,0,'Données projet'!$E$18+1,1))-AVERAGE(OFFSET($H$3,0,0,'Données projet'!$E$18+1,1))</f>
        <v>#N/A</v>
      </c>
      <c r="HA99" s="61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84"/>
        <v>0</v>
      </c>
    </row>
    <row r="100" spans="1:218" s="5" customFormat="1" x14ac:dyDescent="0.45">
      <c r="A100" s="11">
        <f t="shared" si="85"/>
        <v>97</v>
      </c>
      <c r="B100" s="76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9">
        <f t="shared" si="56"/>
        <v>183.33333333333334</v>
      </c>
      <c r="I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-3.4106051316484809E-13</v>
      </c>
      <c r="O100" s="14">
        <f>N100*VLOOKUP('Données projet'!$B$9,Paramètres!$A$1:$I$88,3,0)*VLOOKUP('Données projet'!$B$9,Paramètres!$A$1:$I$88,5,0)</f>
        <v>-2.0395418687257919E-13</v>
      </c>
      <c r="P100" s="14" t="e">
        <f t="shared" si="87"/>
        <v>#NUM!</v>
      </c>
      <c r="Q100" s="22" t="e">
        <f t="shared" si="107"/>
        <v>#NUM!</v>
      </c>
      <c r="R100" s="61" t="e">
        <f t="shared" si="55"/>
        <v>#NUM!</v>
      </c>
      <c r="S100" s="61">
        <f ca="1">AVERAGE(OFFSET($R$3,0,0,'Données projet'!$E$9+1,1))-AVERAGE(OFFSET($H$3,0,0,'Données projet'!$E$9+1,1))</f>
        <v>445.53168057836308</v>
      </c>
      <c r="T100" s="61">
        <f t="shared" si="88"/>
        <v>326.78684646135241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235.7157224185373</v>
      </c>
      <c r="AA100" s="23">
        <f>EXP(-LN(2)/25)*AA99+(1-EXP(-LN(2)/25))/(LN(2)/25)*Calculateur!V100*Calculateur!X100*VLOOKUP('Données projet'!$B$9,Paramètres!$A$1:$I$88,3,0)*0.475*44/12</f>
        <v>18.433249770597474</v>
      </c>
      <c r="AB100" s="23">
        <f>EXP(-LN(2)/2)*AB99+(1-EXP(-LN(2)/2))/(LN(2)/2)*V100*Y100*VLOOKUP('Données projet'!$B$9,Paramètres!$A$1:$I$88,3,0)*0.475*44/12</f>
        <v>5.7981444534893799E-5</v>
      </c>
      <c r="AC100" s="24">
        <f t="shared" si="57"/>
        <v>254.14903017057932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17.5</v>
      </c>
      <c r="AI100" s="14">
        <f>IF('Données projet'!$A$62&gt;35,AI99+AH100-AQ99,IF(A100&lt;'Données projet'!$A$62,$AF$205^A100,IF(A100='Données projet'!$A$62,'Données projet'!$B$62,AI99+AH100-AQ99)))</f>
        <v>665.49999999999932</v>
      </c>
      <c r="AJ100" s="14">
        <f>AI100*VLOOKUP('Données projet'!$B$10,Paramètres!$A$1:$I$88,3,0)*VLOOKUP('Données projet'!$B$10,Paramètres!$A$1:$I$88,5,0)</f>
        <v>311.45399999999967</v>
      </c>
      <c r="AK100" s="14">
        <f t="shared" si="89"/>
        <v>73.572400496659426</v>
      </c>
      <c r="AL100" s="22">
        <f t="shared" si="58"/>
        <v>670.58764753168123</v>
      </c>
      <c r="AM100" s="61">
        <f t="shared" si="59"/>
        <v>947.13307381106404</v>
      </c>
      <c r="AN100" s="61">
        <f ca="1">AVERAGE(OFFSET($AM$3,0,0,'Données projet'!$E$10+1,1))-AVERAGE(OFFSET($H$3,0,0,'Données projet'!$E$10+1,1))</f>
        <v>375.77859820466693</v>
      </c>
      <c r="AO100" s="61">
        <f t="shared" si="90"/>
        <v>242.84781402593856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44.939467443280165</v>
      </c>
      <c r="AV100" s="23">
        <f>EXP(-LN(2)/25)*AV99+(1-EXP(-LN(2)/25))/(LN(2)/25)*Calculateur!AQ100*Calculateur!AS100*VLOOKUP('Données projet'!$B$9,Paramètres!$A$1:$I$88,3,0)*0.475*44/12</f>
        <v>44.34849460812984</v>
      </c>
      <c r="AW100" s="23">
        <f>EXP(-LN(2)/2)*AW99+(1-EXP(-LN(2)/2))/(LN(2)/2)*AQ100*AT100*VLOOKUP('Données projet'!$B$9,Paramètres!$A$1:$I$88,3,0)*0.475*44/12</f>
        <v>0</v>
      </c>
      <c r="AX100" s="23">
        <f t="shared" si="60"/>
        <v>89.287962051410005</v>
      </c>
      <c r="AY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4.4000000000000004</v>
      </c>
      <c r="BD100" s="13">
        <f>IF('Données projet'!$A$88&gt;35,BD99+BC100-BL99,IF(A100&lt;'Données projet'!$A$88,$BA$205^A100,IF(A100='Données projet'!$A$88,'Données projet'!$B$88,BD99+BC100-BL99)))</f>
        <v>162.60000000000025</v>
      </c>
      <c r="BE100" s="14">
        <f>BD100*VLOOKUP('Données projet'!$B$11,Paramètres!$A$1:$I$88,3,0)*VLOOKUP('Données projet'!$B$11,Paramètres!$A$1:$I$88,5,0)</f>
        <v>164.87640000000027</v>
      </c>
      <c r="BF100" s="14">
        <f t="shared" si="91"/>
        <v>41.940471848759444</v>
      </c>
      <c r="BG100" s="22">
        <f t="shared" si="61"/>
        <v>360.20605180325646</v>
      </c>
      <c r="BH100" s="61">
        <f t="shared" si="62"/>
        <v>636.75147808263932</v>
      </c>
      <c r="BI100" s="61">
        <f ca="1">AVERAGE(OFFSET($BH$3,0,0,'Données projet'!$E$11+1,1))-AVERAGE(OFFSET($H$3,0,0,'Données projet'!$E$11+1,1))</f>
        <v>433.57989081194</v>
      </c>
      <c r="BJ100" s="61">
        <f t="shared" si="92"/>
        <v>182.52060621271355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4.2574335109064352</v>
      </c>
      <c r="BR100" s="23">
        <f>EXP(-LN(2)/2)*BR99+(1-EXP(-LN(2)/2))/(LN(2)/2)*BL100*BO100*VLOOKUP('Données projet'!$B$9,Paramètres!$A$1:$I$88,3,0)*0.475*44/12</f>
        <v>0</v>
      </c>
      <c r="BS100" s="24">
        <f t="shared" si="63"/>
        <v>4.2574335109064352</v>
      </c>
      <c r="BT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1" t="e">
        <f t="shared" si="65"/>
        <v>#N/A</v>
      </c>
      <c r="CD100" s="61" t="e">
        <f ca="1">AVERAGE(OFFSET($CC$3,0,0,'Données projet'!$E$12+1,1))-AVERAGE(OFFSET($H$3,0,0,'Données projet'!$E$12+1,1))</f>
        <v>#N/A</v>
      </c>
      <c r="CE100" s="61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66"/>
        <v>0</v>
      </c>
      <c r="CO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1" t="e">
        <f t="shared" si="68"/>
        <v>#N/A</v>
      </c>
      <c r="CY100" s="61" t="e">
        <f ca="1">AVERAGE(OFFSET($CX$3,0,0,'Données projet'!$E$13+1,1))-AVERAGE(OFFSET($H$3,0,0,'Données projet'!$E$13+1,1))</f>
        <v>#N/A</v>
      </c>
      <c r="CZ100" s="61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69"/>
        <v>0</v>
      </c>
      <c r="DJ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1" t="e">
        <f t="shared" si="71"/>
        <v>#N/A</v>
      </c>
      <c r="DT100" s="61" t="e">
        <f ca="1">AVERAGE(OFFSET($DS$3,0,0,'Données projet'!$E$14+1,1))-AVERAGE(OFFSET($H$3,0,0,'Données projet'!$E$14+1,1))</f>
        <v>#N/A</v>
      </c>
      <c r="DU100" s="61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2"/>
        <v>0</v>
      </c>
      <c r="EE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1" t="e">
        <f t="shared" si="74"/>
        <v>#N/A</v>
      </c>
      <c r="EO100" s="61" t="e">
        <f ca="1">AVERAGE(OFFSET($EN$3,0,0,'Données projet'!$E$15+1,1))-AVERAGE(OFFSET($H$3,0,0,'Données projet'!$E$15+1,1))</f>
        <v>#N/A</v>
      </c>
      <c r="EP100" s="61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75"/>
        <v>0</v>
      </c>
      <c r="EZ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1" t="e">
        <f t="shared" si="77"/>
        <v>#N/A</v>
      </c>
      <c r="FJ100" s="61" t="e">
        <f ca="1">AVERAGE(OFFSET($FI$3,0,0,'Données projet'!$E$16+1,1))-AVERAGE(OFFSET($H$3,0,0,'Données projet'!$E$16+1,1))</f>
        <v>#N/A</v>
      </c>
      <c r="FK100" s="61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78"/>
        <v>0</v>
      </c>
      <c r="FU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1" t="e">
        <f t="shared" si="80"/>
        <v>#N/A</v>
      </c>
      <c r="GE100" s="61" t="e">
        <f ca="1">AVERAGE(OFFSET($GD$3,0,0,'Données projet'!$E$17+1,1))-AVERAGE(OFFSET($H$3,0,0,'Données projet'!$E$17+1,1))</f>
        <v>#N/A</v>
      </c>
      <c r="GF100" s="61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81"/>
        <v>0</v>
      </c>
      <c r="GP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1" t="e">
        <f t="shared" si="83"/>
        <v>#N/A</v>
      </c>
      <c r="GZ100" s="61" t="e">
        <f ca="1">AVERAGE(OFFSET($GY$3,0,0,'Données projet'!$E$18+1,1))-AVERAGE(OFFSET($H$3,0,0,'Données projet'!$E$18+1,1))</f>
        <v>#N/A</v>
      </c>
      <c r="HA100" s="61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84"/>
        <v>0</v>
      </c>
    </row>
    <row r="101" spans="1:218" s="5" customFormat="1" x14ac:dyDescent="0.45">
      <c r="A101" s="11">
        <f t="shared" si="85"/>
        <v>98</v>
      </c>
      <c r="B101" s="76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9">
        <f t="shared" si="56"/>
        <v>183.33333333333334</v>
      </c>
      <c r="I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-3.4106051316484809E-13</v>
      </c>
      <c r="O101" s="14">
        <f>N101*VLOOKUP('Données projet'!$B$9,Paramètres!$A$1:$I$88,3,0)*VLOOKUP('Données projet'!$B$9,Paramètres!$A$1:$I$88,5,0)</f>
        <v>-2.0395418687257919E-13</v>
      </c>
      <c r="P101" s="14" t="e">
        <f t="shared" si="87"/>
        <v>#NUM!</v>
      </c>
      <c r="Q101" s="22" t="e">
        <f t="shared" si="107"/>
        <v>#NUM!</v>
      </c>
      <c r="R101" s="61" t="e">
        <f t="shared" si="55"/>
        <v>#NUM!</v>
      </c>
      <c r="S101" s="61">
        <f ca="1">AVERAGE(OFFSET($R$3,0,0,'Données projet'!$E$9+1,1))-AVERAGE(OFFSET($H$3,0,0,'Données projet'!$E$9+1,1))</f>
        <v>445.53168057836308</v>
      </c>
      <c r="T101" s="61">
        <f t="shared" si="88"/>
        <v>326.78684646135241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231.09348087430411</v>
      </c>
      <c r="AA101" s="23">
        <f>EXP(-LN(2)/25)*AA100+(1-EXP(-LN(2)/25))/(LN(2)/25)*Calculateur!V101*Calculateur!X101*VLOOKUP('Données projet'!$B$9,Paramètres!$A$1:$I$88,3,0)*0.475*44/12</f>
        <v>17.92919158625801</v>
      </c>
      <c r="AB101" s="23">
        <f>EXP(-LN(2)/2)*AB100+(1-EXP(-LN(2)/2))/(LN(2)/2)*V101*Y101*VLOOKUP('Données projet'!$B$9,Paramètres!$A$1:$I$88,3,0)*0.475*44/12</f>
        <v>4.0999072613615091E-5</v>
      </c>
      <c r="AC101" s="24">
        <f t="shared" si="57"/>
        <v>249.02271345963473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17.5</v>
      </c>
      <c r="AI101" s="14">
        <f>IF('Données projet'!$A$62&gt;35,AI100+AH101-AQ100,IF(A101&lt;'Données projet'!$A$62,$AF$205^A101,IF(A101='Données projet'!$A$62,'Données projet'!$B$62,AI100+AH101-AQ100)))</f>
        <v>682.99999999999932</v>
      </c>
      <c r="AJ101" s="14">
        <f>AI101*VLOOKUP('Données projet'!$B$10,Paramètres!$A$1:$I$88,3,0)*VLOOKUP('Données projet'!$B$10,Paramètres!$A$1:$I$88,5,0)</f>
        <v>319.64399999999966</v>
      </c>
      <c r="AK101" s="14">
        <f t="shared" si="89"/>
        <v>75.279276141401326</v>
      </c>
      <c r="AL101" s="22">
        <f t="shared" si="58"/>
        <v>687.82470594627341</v>
      </c>
      <c r="AM101" s="61">
        <f t="shared" si="59"/>
        <v>964.66136488090478</v>
      </c>
      <c r="AN101" s="61">
        <f ca="1">AVERAGE(OFFSET($AM$3,0,0,'Données projet'!$E$10+1,1))-AVERAGE(OFFSET($H$3,0,0,'Données projet'!$E$10+1,1))</f>
        <v>375.77859820466693</v>
      </c>
      <c r="AO101" s="61">
        <f t="shared" si="90"/>
        <v>242.84781402593856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44.058231897086031</v>
      </c>
      <c r="AV101" s="23">
        <f>EXP(-LN(2)/25)*AV100+(1-EXP(-LN(2)/25))/(LN(2)/25)*Calculateur!AQ101*Calculateur!AS101*VLOOKUP('Données projet'!$B$9,Paramètres!$A$1:$I$88,3,0)*0.475*44/12</f>
        <v>43.135782690884561</v>
      </c>
      <c r="AW101" s="23">
        <f>EXP(-LN(2)/2)*AW100+(1-EXP(-LN(2)/2))/(LN(2)/2)*AQ101*AT101*VLOOKUP('Données projet'!$B$9,Paramètres!$A$1:$I$88,3,0)*0.475*44/12</f>
        <v>0</v>
      </c>
      <c r="AX101" s="23">
        <f t="shared" si="60"/>
        <v>87.194014587970599</v>
      </c>
      <c r="AY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4.4000000000000004</v>
      </c>
      <c r="BD101" s="13">
        <f>IF('Données projet'!$A$88&gt;35,BD100+BC101-BL100,IF(A101&lt;'Données projet'!$A$88,$BA$205^A101,IF(A101='Données projet'!$A$88,'Données projet'!$B$88,BD100+BC101-BL100)))</f>
        <v>167.00000000000026</v>
      </c>
      <c r="BE101" s="14">
        <f>BD101*VLOOKUP('Données projet'!$B$11,Paramètres!$A$1:$I$88,3,0)*VLOOKUP('Données projet'!$B$11,Paramètres!$A$1:$I$88,5,0)</f>
        <v>169.33800000000028</v>
      </c>
      <c r="BF101" s="14">
        <f t="shared" si="91"/>
        <v>42.941723955722992</v>
      </c>
      <c r="BG101" s="22">
        <f t="shared" si="61"/>
        <v>369.72051922288466</v>
      </c>
      <c r="BH101" s="61">
        <f t="shared" si="62"/>
        <v>646.55717815751609</v>
      </c>
      <c r="BI101" s="61">
        <f ca="1">AVERAGE(OFFSET($BH$3,0,0,'Données projet'!$E$11+1,1))-AVERAGE(OFFSET($H$3,0,0,'Données projet'!$E$11+1,1))</f>
        <v>433.57989081194</v>
      </c>
      <c r="BJ101" s="61">
        <f t="shared" si="92"/>
        <v>182.52060621271355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4.1410137676620007</v>
      </c>
      <c r="BR101" s="23">
        <f>EXP(-LN(2)/2)*BR100+(1-EXP(-LN(2)/2))/(LN(2)/2)*BL101*BO101*VLOOKUP('Données projet'!$B$9,Paramètres!$A$1:$I$88,3,0)*0.475*44/12</f>
        <v>0</v>
      </c>
      <c r="BS101" s="24">
        <f t="shared" si="63"/>
        <v>4.1410137676620007</v>
      </c>
      <c r="BT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1" t="e">
        <f t="shared" si="65"/>
        <v>#N/A</v>
      </c>
      <c r="CD101" s="61" t="e">
        <f ca="1">AVERAGE(OFFSET($CC$3,0,0,'Données projet'!$E$12+1,1))-AVERAGE(OFFSET($H$3,0,0,'Données projet'!$E$12+1,1))</f>
        <v>#N/A</v>
      </c>
      <c r="CE101" s="61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66"/>
        <v>0</v>
      </c>
      <c r="CO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1" t="e">
        <f t="shared" si="68"/>
        <v>#N/A</v>
      </c>
      <c r="CY101" s="61" t="e">
        <f ca="1">AVERAGE(OFFSET($CX$3,0,0,'Données projet'!$E$13+1,1))-AVERAGE(OFFSET($H$3,0,0,'Données projet'!$E$13+1,1))</f>
        <v>#N/A</v>
      </c>
      <c r="CZ101" s="61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69"/>
        <v>0</v>
      </c>
      <c r="DJ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1" t="e">
        <f t="shared" si="71"/>
        <v>#N/A</v>
      </c>
      <c r="DT101" s="61" t="e">
        <f ca="1">AVERAGE(OFFSET($DS$3,0,0,'Données projet'!$E$14+1,1))-AVERAGE(OFFSET($H$3,0,0,'Données projet'!$E$14+1,1))</f>
        <v>#N/A</v>
      </c>
      <c r="DU101" s="61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2"/>
        <v>0</v>
      </c>
      <c r="EE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1" t="e">
        <f t="shared" si="74"/>
        <v>#N/A</v>
      </c>
      <c r="EO101" s="61" t="e">
        <f ca="1">AVERAGE(OFFSET($EN$3,0,0,'Données projet'!$E$15+1,1))-AVERAGE(OFFSET($H$3,0,0,'Données projet'!$E$15+1,1))</f>
        <v>#N/A</v>
      </c>
      <c r="EP101" s="61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75"/>
        <v>0</v>
      </c>
      <c r="EZ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1" t="e">
        <f t="shared" si="77"/>
        <v>#N/A</v>
      </c>
      <c r="FJ101" s="61" t="e">
        <f ca="1">AVERAGE(OFFSET($FI$3,0,0,'Données projet'!$E$16+1,1))-AVERAGE(OFFSET($H$3,0,0,'Données projet'!$E$16+1,1))</f>
        <v>#N/A</v>
      </c>
      <c r="FK101" s="61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78"/>
        <v>0</v>
      </c>
      <c r="FU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1" t="e">
        <f t="shared" si="80"/>
        <v>#N/A</v>
      </c>
      <c r="GE101" s="61" t="e">
        <f ca="1">AVERAGE(OFFSET($GD$3,0,0,'Données projet'!$E$17+1,1))-AVERAGE(OFFSET($H$3,0,0,'Données projet'!$E$17+1,1))</f>
        <v>#N/A</v>
      </c>
      <c r="GF101" s="61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81"/>
        <v>0</v>
      </c>
      <c r="GP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1" t="e">
        <f t="shared" si="83"/>
        <v>#N/A</v>
      </c>
      <c r="GZ101" s="61" t="e">
        <f ca="1">AVERAGE(OFFSET($GY$3,0,0,'Données projet'!$E$18+1,1))-AVERAGE(OFFSET($H$3,0,0,'Données projet'!$E$18+1,1))</f>
        <v>#N/A</v>
      </c>
      <c r="HA101" s="61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84"/>
        <v>0</v>
      </c>
    </row>
    <row r="102" spans="1:218" s="5" customFormat="1" x14ac:dyDescent="0.45">
      <c r="A102" s="11">
        <f t="shared" si="85"/>
        <v>99</v>
      </c>
      <c r="B102" s="76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9">
        <f t="shared" si="56"/>
        <v>183.33333333333334</v>
      </c>
      <c r="I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-3.4106051316484809E-13</v>
      </c>
      <c r="O102" s="14">
        <f>N102*VLOOKUP('Données projet'!$B$9,Paramètres!$A$1:$I$88,3,0)*VLOOKUP('Données projet'!$B$9,Paramètres!$A$1:$I$88,5,0)</f>
        <v>-2.0395418687257919E-13</v>
      </c>
      <c r="P102" s="14" t="e">
        <f t="shared" si="87"/>
        <v>#NUM!</v>
      </c>
      <c r="Q102" s="22" t="e">
        <f t="shared" si="107"/>
        <v>#NUM!</v>
      </c>
      <c r="R102" s="61" t="e">
        <f t="shared" si="55"/>
        <v>#NUM!</v>
      </c>
      <c r="S102" s="61">
        <f ca="1">AVERAGE(OFFSET($R$3,0,0,'Données projet'!$E$9+1,1))-AVERAGE(OFFSET($H$3,0,0,'Données projet'!$E$9+1,1))</f>
        <v>445.53168057836308</v>
      </c>
      <c r="T102" s="61">
        <f t="shared" si="88"/>
        <v>326.78684646135241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226.56187866746438</v>
      </c>
      <c r="AA102" s="23">
        <f>EXP(-LN(2)/25)*AA101+(1-EXP(-LN(2)/25))/(LN(2)/25)*Calculateur!V102*Calculateur!X102*VLOOKUP('Données projet'!$B$9,Paramètres!$A$1:$I$88,3,0)*0.475*44/12</f>
        <v>17.438916899476578</v>
      </c>
      <c r="AB102" s="23">
        <f>EXP(-LN(2)/2)*AB101+(1-EXP(-LN(2)/2))/(LN(2)/2)*V102*Y102*VLOOKUP('Données projet'!$B$9,Paramètres!$A$1:$I$88,3,0)*0.475*44/12</f>
        <v>2.8990722267446899E-5</v>
      </c>
      <c r="AC102" s="24">
        <f t="shared" si="57"/>
        <v>244.00082455766321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17.5</v>
      </c>
      <c r="AI102" s="14">
        <f>IF('Données projet'!$A$62&gt;35,AI101+AH102-AQ101,IF(A102&lt;'Données projet'!$A$62,$AF$205^A102,IF(A102='Données projet'!$A$62,'Données projet'!$B$62,AI101+AH102-AQ101)))</f>
        <v>700.49999999999932</v>
      </c>
      <c r="AJ102" s="14">
        <f>AI102*VLOOKUP('Données projet'!$B$10,Paramètres!$A$1:$I$88,3,0)*VLOOKUP('Données projet'!$B$10,Paramètres!$A$1:$I$88,5,0)</f>
        <v>327.83399999999966</v>
      </c>
      <c r="AK102" s="14">
        <f t="shared" si="89"/>
        <v>76.981068144110864</v>
      </c>
      <c r="AL102" s="22">
        <f t="shared" si="58"/>
        <v>705.05291035099242</v>
      </c>
      <c r="AM102" s="61">
        <f t="shared" si="59"/>
        <v>982.1757497054025</v>
      </c>
      <c r="AN102" s="61">
        <f ca="1">AVERAGE(OFFSET($AM$3,0,0,'Données projet'!$E$10+1,1))-AVERAGE(OFFSET($H$3,0,0,'Données projet'!$E$10+1,1))</f>
        <v>375.77859820466693</v>
      </c>
      <c r="AO102" s="61">
        <f t="shared" si="90"/>
        <v>242.84781402593856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43.194276842452155</v>
      </c>
      <c r="AV102" s="23">
        <f>EXP(-LN(2)/25)*AV101+(1-EXP(-LN(2)/25))/(LN(2)/25)*Calculateur!AQ102*Calculateur!AS102*VLOOKUP('Données projet'!$B$9,Paramètres!$A$1:$I$88,3,0)*0.475*44/12</f>
        <v>41.956232444790096</v>
      </c>
      <c r="AW102" s="23">
        <f>EXP(-LN(2)/2)*AW101+(1-EXP(-LN(2)/2))/(LN(2)/2)*AQ102*AT102*VLOOKUP('Données projet'!$B$9,Paramètres!$A$1:$I$88,3,0)*0.475*44/12</f>
        <v>0</v>
      </c>
      <c r="AX102" s="23">
        <f t="shared" si="60"/>
        <v>85.150509287242244</v>
      </c>
      <c r="AY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4.4000000000000004</v>
      </c>
      <c r="BD102" s="13">
        <f>IF('Données projet'!$A$88&gt;35,BD101+BC102-BL101,IF(A102&lt;'Données projet'!$A$88,$BA$205^A102,IF(A102='Données projet'!$A$88,'Données projet'!$B$88,BD101+BC102-BL101)))</f>
        <v>171.40000000000026</v>
      </c>
      <c r="BE102" s="14">
        <f>BD102*VLOOKUP('Données projet'!$B$11,Paramètres!$A$1:$I$88,3,0)*VLOOKUP('Données projet'!$B$11,Paramètres!$A$1:$I$88,5,0)</f>
        <v>173.79960000000025</v>
      </c>
      <c r="BF102" s="14">
        <f t="shared" si="91"/>
        <v>43.939909725234678</v>
      </c>
      <c r="BG102" s="22">
        <f t="shared" si="61"/>
        <v>379.22964610478419</v>
      </c>
      <c r="BH102" s="61">
        <f t="shared" si="62"/>
        <v>656.35248545919433</v>
      </c>
      <c r="BI102" s="61">
        <f ca="1">AVERAGE(OFFSET($BH$3,0,0,'Données projet'!$E$11+1,1))-AVERAGE(OFFSET($H$3,0,0,'Données projet'!$E$11+1,1))</f>
        <v>433.57989081194</v>
      </c>
      <c r="BJ102" s="61">
        <f t="shared" si="92"/>
        <v>182.52060621271355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4.0277775284188335</v>
      </c>
      <c r="BR102" s="23">
        <f>EXP(-LN(2)/2)*BR101+(1-EXP(-LN(2)/2))/(LN(2)/2)*BL102*BO102*VLOOKUP('Données projet'!$B$9,Paramètres!$A$1:$I$88,3,0)*0.475*44/12</f>
        <v>0</v>
      </c>
      <c r="BS102" s="24">
        <f t="shared" si="63"/>
        <v>4.0277775284188335</v>
      </c>
      <c r="BT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1" t="e">
        <f t="shared" si="65"/>
        <v>#N/A</v>
      </c>
      <c r="CD102" s="61" t="e">
        <f ca="1">AVERAGE(OFFSET($CC$3,0,0,'Données projet'!$E$12+1,1))-AVERAGE(OFFSET($H$3,0,0,'Données projet'!$E$12+1,1))</f>
        <v>#N/A</v>
      </c>
      <c r="CE102" s="61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66"/>
        <v>0</v>
      </c>
      <c r="CO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1" t="e">
        <f t="shared" si="68"/>
        <v>#N/A</v>
      </c>
      <c r="CY102" s="61" t="e">
        <f ca="1">AVERAGE(OFFSET($CX$3,0,0,'Données projet'!$E$13+1,1))-AVERAGE(OFFSET($H$3,0,0,'Données projet'!$E$13+1,1))</f>
        <v>#N/A</v>
      </c>
      <c r="CZ102" s="61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69"/>
        <v>0</v>
      </c>
      <c r="DJ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1" t="e">
        <f t="shared" si="71"/>
        <v>#N/A</v>
      </c>
      <c r="DT102" s="61" t="e">
        <f ca="1">AVERAGE(OFFSET($DS$3,0,0,'Données projet'!$E$14+1,1))-AVERAGE(OFFSET($H$3,0,0,'Données projet'!$E$14+1,1))</f>
        <v>#N/A</v>
      </c>
      <c r="DU102" s="61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2"/>
        <v>0</v>
      </c>
      <c r="EE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1" t="e">
        <f t="shared" si="74"/>
        <v>#N/A</v>
      </c>
      <c r="EO102" s="61" t="e">
        <f ca="1">AVERAGE(OFFSET($EN$3,0,0,'Données projet'!$E$15+1,1))-AVERAGE(OFFSET($H$3,0,0,'Données projet'!$E$15+1,1))</f>
        <v>#N/A</v>
      </c>
      <c r="EP102" s="61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75"/>
        <v>0</v>
      </c>
      <c r="EZ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1" t="e">
        <f t="shared" si="77"/>
        <v>#N/A</v>
      </c>
      <c r="FJ102" s="61" t="e">
        <f ca="1">AVERAGE(OFFSET($FI$3,0,0,'Données projet'!$E$16+1,1))-AVERAGE(OFFSET($H$3,0,0,'Données projet'!$E$16+1,1))</f>
        <v>#N/A</v>
      </c>
      <c r="FK102" s="61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78"/>
        <v>0</v>
      </c>
      <c r="FU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1" t="e">
        <f t="shared" si="80"/>
        <v>#N/A</v>
      </c>
      <c r="GE102" s="61" t="e">
        <f ca="1">AVERAGE(OFFSET($GD$3,0,0,'Données projet'!$E$17+1,1))-AVERAGE(OFFSET($H$3,0,0,'Données projet'!$E$17+1,1))</f>
        <v>#N/A</v>
      </c>
      <c r="GF102" s="61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81"/>
        <v>0</v>
      </c>
      <c r="GP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1" t="e">
        <f t="shared" si="83"/>
        <v>#N/A</v>
      </c>
      <c r="GZ102" s="61" t="e">
        <f ca="1">AVERAGE(OFFSET($GY$3,0,0,'Données projet'!$E$18+1,1))-AVERAGE(OFFSET($H$3,0,0,'Données projet'!$E$18+1,1))</f>
        <v>#N/A</v>
      </c>
      <c r="HA102" s="61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84"/>
        <v>0</v>
      </c>
    </row>
    <row r="103" spans="1:218" s="5" customFormat="1" x14ac:dyDescent="0.45">
      <c r="A103" s="11">
        <f t="shared" si="85"/>
        <v>100</v>
      </c>
      <c r="B103" s="76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9">
        <f t="shared" si="56"/>
        <v>183.33333333333334</v>
      </c>
      <c r="I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-3.4106051316484809E-13</v>
      </c>
      <c r="O103" s="14">
        <f>N103*VLOOKUP('Données projet'!$B$9,Paramètres!$A$1:$I$88,3,0)*VLOOKUP('Données projet'!$B$9,Paramètres!$A$1:$I$88,5,0)</f>
        <v>-2.0395418687257919E-13</v>
      </c>
      <c r="P103" s="14" t="e">
        <f t="shared" si="87"/>
        <v>#NUM!</v>
      </c>
      <c r="Q103" s="22" t="e">
        <f t="shared" si="107"/>
        <v>#NUM!</v>
      </c>
      <c r="R103" s="61" t="e">
        <f t="shared" si="55"/>
        <v>#NUM!</v>
      </c>
      <c r="S103" s="61">
        <f ca="1">AVERAGE(OFFSET($R$3,0,0,'Données projet'!$E$9+1,1))-AVERAGE(OFFSET($H$3,0,0,'Données projet'!$E$9+1,1))</f>
        <v>445.53168057836308</v>
      </c>
      <c r="T103" s="61">
        <f t="shared" si="88"/>
        <v>326.78684646135241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222.11913841589634</v>
      </c>
      <c r="AA103" s="23">
        <f>EXP(-LN(2)/25)*AA102+(1-EXP(-LN(2)/25))/(LN(2)/25)*Calculateur!V103*Calculateur!X103*VLOOKUP('Données projet'!$B$9,Paramètres!$A$1:$I$88,3,0)*0.475*44/12</f>
        <v>16.96204879978761</v>
      </c>
      <c r="AB103" s="23">
        <f>EXP(-LN(2)/2)*AB102+(1-EXP(-LN(2)/2))/(LN(2)/2)*V103*Y103*VLOOKUP('Données projet'!$B$9,Paramètres!$A$1:$I$88,3,0)*0.475*44/12</f>
        <v>2.0499536306807545E-5</v>
      </c>
      <c r="AC103" s="24">
        <f t="shared" si="57"/>
        <v>239.08120771522024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718</v>
      </c>
      <c r="AG103" s="13">
        <f>VLOOKUP(A103,'Données projet'!$A$61:$I$81,9,0)</f>
        <v>17.5</v>
      </c>
      <c r="AH103" s="13">
        <f t="array" ref="AH103">INDEX(AG:AG,MIN(IF(ISNUMBER(AG103:AG299),ROW(AG103:AG299),"")))</f>
        <v>17.5</v>
      </c>
      <c r="AI103" s="14">
        <f>IF('Données projet'!$A$62&gt;35,AI102+AH103-AQ102,IF(A103&lt;'Données projet'!$A$62,$AF$205^A103,IF(A103='Données projet'!$A$62,'Données projet'!$B$62,AI102+AH103-AQ102)))</f>
        <v>717.99999999999932</v>
      </c>
      <c r="AJ103" s="14">
        <f>AI103*VLOOKUP('Données projet'!$B$10,Paramètres!$A$1:$I$88,3,0)*VLOOKUP('Données projet'!$B$10,Paramètres!$A$1:$I$88,5,0)</f>
        <v>336.02399999999966</v>
      </c>
      <c r="AK103" s="14">
        <f t="shared" si="89"/>
        <v>78.67791811181371</v>
      </c>
      <c r="AL103" s="22">
        <f t="shared" si="58"/>
        <v>722.27250737807492</v>
      </c>
      <c r="AM103" s="61">
        <f t="shared" si="59"/>
        <v>999.67656256178407</v>
      </c>
      <c r="AN103" s="61">
        <f ca="1">AVERAGE(OFFSET($AM$3,0,0,'Données projet'!$E$10+1,1))-AVERAGE(OFFSET($H$3,0,0,'Données projet'!$E$10+1,1))</f>
        <v>375.77859820466693</v>
      </c>
      <c r="AO103" s="61">
        <f t="shared" si="90"/>
        <v>242.84781402593856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718</v>
      </c>
      <c r="AR103" s="17">
        <f>IF(ISNA(VLOOKUP(A103,'Données projet'!$A$61:$I$81,5,0)),0%,VLOOKUP(A103,'Données projet'!$A$61:$I$81,5,0)*VLOOKUP('Données projet'!$B$10,Paramètres!$A$1:$I$88,7,0))</f>
        <v>0.55000000000000004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355.6157248844176</v>
      </c>
      <c r="AV103" s="23">
        <f>EXP(-LN(2)/25)*AV102+(1-EXP(-LN(2)/25))/(LN(2)/25)*Calculateur!AQ103*Calculateur!AS103*VLOOKUP('Données projet'!$B$9,Paramètres!$A$1:$I$88,3,0)*0.475*44/12</f>
        <v>40.80893706220494</v>
      </c>
      <c r="AW103" s="23">
        <f>EXP(-LN(2)/2)*AW102+(1-EXP(-LN(2)/2))/(LN(2)/2)*AQ103*AT103*VLOOKUP('Données projet'!$B$9,Paramètres!$A$1:$I$88,3,0)*0.475*44/12</f>
        <v>0</v>
      </c>
      <c r="AX103" s="23">
        <f t="shared" si="60"/>
        <v>396.42466194662256</v>
      </c>
      <c r="AY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4.4000000000000004</v>
      </c>
      <c r="BD103" s="13">
        <f>IF('Données projet'!$A$88&gt;35,BD102+BC103-BL102,IF(A103&lt;'Données projet'!$A$88,$BA$205^A103,IF(A103='Données projet'!$A$88,'Données projet'!$B$88,BD102+BC103-BL102)))</f>
        <v>175.80000000000027</v>
      </c>
      <c r="BE103" s="14">
        <f>BD103*VLOOKUP('Données projet'!$B$11,Paramètres!$A$1:$I$88,3,0)*VLOOKUP('Données projet'!$B$11,Paramètres!$A$1:$I$88,5,0)</f>
        <v>178.26120000000029</v>
      </c>
      <c r="BF103" s="14">
        <f t="shared" si="91"/>
        <v>44.935116923935539</v>
      </c>
      <c r="BG103" s="22">
        <f t="shared" si="61"/>
        <v>388.73358530918819</v>
      </c>
      <c r="BH103" s="61">
        <f t="shared" si="62"/>
        <v>666.13764049289739</v>
      </c>
      <c r="BI103" s="61">
        <f ca="1">AVERAGE(OFFSET($BH$3,0,0,'Données projet'!$E$11+1,1))-AVERAGE(OFFSET($H$3,0,0,'Données projet'!$E$11+1,1))</f>
        <v>433.57989081194</v>
      </c>
      <c r="BJ103" s="61">
        <f t="shared" si="92"/>
        <v>182.52060621271355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3.9176377400926059</v>
      </c>
      <c r="BR103" s="23">
        <f>EXP(-LN(2)/2)*BR102+(1-EXP(-LN(2)/2))/(LN(2)/2)*BL103*BO103*VLOOKUP('Données projet'!$B$9,Paramètres!$A$1:$I$88,3,0)*0.475*44/12</f>
        <v>0</v>
      </c>
      <c r="BS103" s="24">
        <f t="shared" si="63"/>
        <v>3.9176377400926059</v>
      </c>
      <c r="BT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1" t="e">
        <f t="shared" si="65"/>
        <v>#N/A</v>
      </c>
      <c r="CD103" s="61" t="e">
        <f ca="1">AVERAGE(OFFSET($CC$3,0,0,'Données projet'!$E$12+1,1))-AVERAGE(OFFSET($H$3,0,0,'Données projet'!$E$12+1,1))</f>
        <v>#N/A</v>
      </c>
      <c r="CE103" s="61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66"/>
        <v>0</v>
      </c>
      <c r="CO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1" t="e">
        <f t="shared" si="68"/>
        <v>#N/A</v>
      </c>
      <c r="CY103" s="61" t="e">
        <f ca="1">AVERAGE(OFFSET($CX$3,0,0,'Données projet'!$E$13+1,1))-AVERAGE(OFFSET($H$3,0,0,'Données projet'!$E$13+1,1))</f>
        <v>#N/A</v>
      </c>
      <c r="CZ103" s="61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69"/>
        <v>0</v>
      </c>
      <c r="DJ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1" t="e">
        <f t="shared" si="71"/>
        <v>#N/A</v>
      </c>
      <c r="DT103" s="61" t="e">
        <f ca="1">AVERAGE(OFFSET($DS$3,0,0,'Données projet'!$E$14+1,1))-AVERAGE(OFFSET($H$3,0,0,'Données projet'!$E$14+1,1))</f>
        <v>#N/A</v>
      </c>
      <c r="DU103" s="61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2"/>
        <v>0</v>
      </c>
      <c r="EE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1" t="e">
        <f t="shared" si="74"/>
        <v>#N/A</v>
      </c>
      <c r="EO103" s="61" t="e">
        <f ca="1">AVERAGE(OFFSET($EN$3,0,0,'Données projet'!$E$15+1,1))-AVERAGE(OFFSET($H$3,0,0,'Données projet'!$E$15+1,1))</f>
        <v>#N/A</v>
      </c>
      <c r="EP103" s="61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75"/>
        <v>0</v>
      </c>
      <c r="EZ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1" t="e">
        <f t="shared" si="77"/>
        <v>#N/A</v>
      </c>
      <c r="FJ103" s="61" t="e">
        <f ca="1">AVERAGE(OFFSET($FI$3,0,0,'Données projet'!$E$16+1,1))-AVERAGE(OFFSET($H$3,0,0,'Données projet'!$E$16+1,1))</f>
        <v>#N/A</v>
      </c>
      <c r="FK103" s="61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78"/>
        <v>0</v>
      </c>
      <c r="FU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1" t="e">
        <f t="shared" si="80"/>
        <v>#N/A</v>
      </c>
      <c r="GE103" s="61" t="e">
        <f ca="1">AVERAGE(OFFSET($GD$3,0,0,'Données projet'!$E$17+1,1))-AVERAGE(OFFSET($H$3,0,0,'Données projet'!$E$17+1,1))</f>
        <v>#N/A</v>
      </c>
      <c r="GF103" s="61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81"/>
        <v>0</v>
      </c>
      <c r="GP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1" t="e">
        <f t="shared" si="83"/>
        <v>#N/A</v>
      </c>
      <c r="GZ103" s="61" t="e">
        <f ca="1">AVERAGE(OFFSET($GY$3,0,0,'Données projet'!$E$18+1,1))-AVERAGE(OFFSET($H$3,0,0,'Données projet'!$E$18+1,1))</f>
        <v>#N/A</v>
      </c>
      <c r="HA103" s="61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84"/>
        <v>0</v>
      </c>
    </row>
    <row r="104" spans="1:218" s="5" customFormat="1" x14ac:dyDescent="0.45">
      <c r="A104" s="11">
        <f t="shared" si="85"/>
        <v>101</v>
      </c>
      <c r="B104" s="76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9">
        <f t="shared" si="56"/>
        <v>183.33333333333334</v>
      </c>
      <c r="I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-3.4106051316484809E-13</v>
      </c>
      <c r="O104" s="14">
        <f>N104*VLOOKUP('Données projet'!$B$9,Paramètres!$A$1:$I$88,3,0)*VLOOKUP('Données projet'!$B$9,Paramètres!$A$1:$I$88,5,0)</f>
        <v>-2.0395418687257919E-13</v>
      </c>
      <c r="P104" s="14" t="e">
        <f t="shared" si="87"/>
        <v>#NUM!</v>
      </c>
      <c r="Q104" s="22" t="e">
        <f t="shared" si="107"/>
        <v>#NUM!</v>
      </c>
      <c r="R104" s="61" t="e">
        <f t="shared" si="55"/>
        <v>#NUM!</v>
      </c>
      <c r="S104" s="61">
        <f ca="1">AVERAGE(OFFSET($R$3,0,0,'Données projet'!$E$9+1,1))-AVERAGE(OFFSET($H$3,0,0,'Données projet'!$E$9+1,1))</f>
        <v>445.53168057836308</v>
      </c>
      <c r="T104" s="61">
        <f t="shared" si="88"/>
        <v>326.78684646135241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217.76351759085759</v>
      </c>
      <c r="AA104" s="23">
        <f>EXP(-LN(2)/25)*AA103+(1-EXP(-LN(2)/25))/(LN(2)/25)*Calculateur!V104*Calculateur!X104*VLOOKUP('Données projet'!$B$9,Paramètres!$A$1:$I$88,3,0)*0.475*44/12</f>
        <v>16.498220683362039</v>
      </c>
      <c r="AB104" s="23">
        <f>EXP(-LN(2)/2)*AB103+(1-EXP(-LN(2)/2))/(LN(2)/2)*V104*Y104*VLOOKUP('Données projet'!$B$9,Paramètres!$A$1:$I$88,3,0)*0.475*44/12</f>
        <v>1.449536113372345E-5</v>
      </c>
      <c r="AC104" s="24">
        <f t="shared" si="57"/>
        <v>234.26175276958077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-6.8212102632969618E-13</v>
      </c>
      <c r="AJ104" s="14">
        <f>AI104*VLOOKUP('Données projet'!$B$10,Paramètres!$A$1:$I$88,3,0)*VLOOKUP('Données projet'!$B$10,Paramètres!$A$1:$I$88,5,0)</f>
        <v>-3.1923264032229784E-13</v>
      </c>
      <c r="AK104" s="14" t="e">
        <f t="shared" si="89"/>
        <v>#NUM!</v>
      </c>
      <c r="AL104" s="22" t="e">
        <f t="shared" si="58"/>
        <v>#NUM!</v>
      </c>
      <c r="AM104" s="61" t="e">
        <f t="shared" si="59"/>
        <v>#NUM!</v>
      </c>
      <c r="AN104" s="61">
        <f ca="1">AVERAGE(OFFSET($AM$3,0,0,'Données projet'!$E$10+1,1))-AVERAGE(OFFSET($H$3,0,0,'Données projet'!$E$10+1,1))</f>
        <v>375.77859820466693</v>
      </c>
      <c r="AO104" s="61">
        <f t="shared" si="90"/>
        <v>242.84781402593856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348.64231742360886</v>
      </c>
      <c r="AV104" s="23">
        <f>EXP(-LN(2)/25)*AV103+(1-EXP(-LN(2)/25))/(LN(2)/25)*Calculateur!AQ104*Calculateur!AS104*VLOOKUP('Données projet'!$B$9,Paramètres!$A$1:$I$88,3,0)*0.475*44/12</f>
        <v>39.693014532190219</v>
      </c>
      <c r="AW104" s="23">
        <f>EXP(-LN(2)/2)*AW103+(1-EXP(-LN(2)/2))/(LN(2)/2)*AQ104*AT104*VLOOKUP('Données projet'!$B$9,Paramètres!$A$1:$I$88,3,0)*0.475*44/12</f>
        <v>0</v>
      </c>
      <c r="AX104" s="23">
        <f t="shared" si="60"/>
        <v>388.33533195579906</v>
      </c>
      <c r="AY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180.20000000000027</v>
      </c>
      <c r="BE104" s="14">
        <f>BD104*VLOOKUP('Données projet'!$B$11,Paramètres!$A$1:$I$88,3,0)*VLOOKUP('Données projet'!$B$11,Paramètres!$A$1:$I$88,5,0)</f>
        <v>182.72280000000029</v>
      </c>
      <c r="BF104" s="14">
        <f t="shared" si="91"/>
        <v>45.927428674754559</v>
      </c>
      <c r="BG104" s="22">
        <f t="shared" si="61"/>
        <v>398.23248160853137</v>
      </c>
      <c r="BH104" s="61">
        <f t="shared" si="62"/>
        <v>675.91287415560578</v>
      </c>
      <c r="BI104" s="61">
        <f ca="1">AVERAGE(OFFSET($BH$3,0,0,'Données projet'!$E$11+1,1))-AVERAGE(OFFSET($H$3,0,0,'Données projet'!$E$11+1,1))</f>
        <v>433.57989081194</v>
      </c>
      <c r="BJ104" s="61">
        <f t="shared" si="92"/>
        <v>182.52060621271355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3.8105097300701587</v>
      </c>
      <c r="BR104" s="23">
        <f>EXP(-LN(2)/2)*BR103+(1-EXP(-LN(2)/2))/(LN(2)/2)*BL104*BO104*VLOOKUP('Données projet'!$B$9,Paramètres!$A$1:$I$88,3,0)*0.475*44/12</f>
        <v>0</v>
      </c>
      <c r="BS104" s="24">
        <f t="shared" si="63"/>
        <v>3.8105097300701587</v>
      </c>
      <c r="BT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1" t="e">
        <f t="shared" si="65"/>
        <v>#N/A</v>
      </c>
      <c r="CD104" s="61" t="e">
        <f ca="1">AVERAGE(OFFSET($CC$3,0,0,'Données projet'!$E$12+1,1))-AVERAGE(OFFSET($H$3,0,0,'Données projet'!$E$12+1,1))</f>
        <v>#N/A</v>
      </c>
      <c r="CE104" s="61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66"/>
        <v>0</v>
      </c>
      <c r="CO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1" t="e">
        <f t="shared" si="68"/>
        <v>#N/A</v>
      </c>
      <c r="CY104" s="61" t="e">
        <f ca="1">AVERAGE(OFFSET($CX$3,0,0,'Données projet'!$E$13+1,1))-AVERAGE(OFFSET($H$3,0,0,'Données projet'!$E$13+1,1))</f>
        <v>#N/A</v>
      </c>
      <c r="CZ104" s="61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69"/>
        <v>0</v>
      </c>
      <c r="DJ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1" t="e">
        <f t="shared" si="71"/>
        <v>#N/A</v>
      </c>
      <c r="DT104" s="61" t="e">
        <f ca="1">AVERAGE(OFFSET($DS$3,0,0,'Données projet'!$E$14+1,1))-AVERAGE(OFFSET($H$3,0,0,'Données projet'!$E$14+1,1))</f>
        <v>#N/A</v>
      </c>
      <c r="DU104" s="61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2"/>
        <v>0</v>
      </c>
      <c r="EE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1" t="e">
        <f t="shared" si="74"/>
        <v>#N/A</v>
      </c>
      <c r="EO104" s="61" t="e">
        <f ca="1">AVERAGE(OFFSET($EN$3,0,0,'Données projet'!$E$15+1,1))-AVERAGE(OFFSET($H$3,0,0,'Données projet'!$E$15+1,1))</f>
        <v>#N/A</v>
      </c>
      <c r="EP104" s="61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75"/>
        <v>0</v>
      </c>
      <c r="EZ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1" t="e">
        <f t="shared" si="77"/>
        <v>#N/A</v>
      </c>
      <c r="FJ104" s="61" t="e">
        <f ca="1">AVERAGE(OFFSET($FI$3,0,0,'Données projet'!$E$16+1,1))-AVERAGE(OFFSET($H$3,0,0,'Données projet'!$E$16+1,1))</f>
        <v>#N/A</v>
      </c>
      <c r="FK104" s="61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78"/>
        <v>0</v>
      </c>
      <c r="FU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1" t="e">
        <f t="shared" si="80"/>
        <v>#N/A</v>
      </c>
      <c r="GE104" s="61" t="e">
        <f ca="1">AVERAGE(OFFSET($GD$3,0,0,'Données projet'!$E$17+1,1))-AVERAGE(OFFSET($H$3,0,0,'Données projet'!$E$17+1,1))</f>
        <v>#N/A</v>
      </c>
      <c r="GF104" s="61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81"/>
        <v>0</v>
      </c>
      <c r="GP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1" t="e">
        <f t="shared" si="83"/>
        <v>#N/A</v>
      </c>
      <c r="GZ104" s="61" t="e">
        <f ca="1">AVERAGE(OFFSET($GY$3,0,0,'Données projet'!$E$18+1,1))-AVERAGE(OFFSET($H$3,0,0,'Données projet'!$E$18+1,1))</f>
        <v>#N/A</v>
      </c>
      <c r="HA104" s="61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84"/>
        <v>0</v>
      </c>
    </row>
    <row r="105" spans="1:218" s="5" customFormat="1" x14ac:dyDescent="0.45">
      <c r="A105" s="11">
        <f t="shared" si="85"/>
        <v>102</v>
      </c>
      <c r="B105" s="76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9">
        <f t="shared" si="56"/>
        <v>183.33333333333334</v>
      </c>
      <c r="I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-3.4106051316484809E-13</v>
      </c>
      <c r="O105" s="14">
        <f>N105*VLOOKUP('Données projet'!$B$9,Paramètres!$A$1:$I$88,3,0)*VLOOKUP('Données projet'!$B$9,Paramètres!$A$1:$I$88,5,0)</f>
        <v>-2.0395418687257919E-13</v>
      </c>
      <c r="P105" s="14" t="e">
        <f t="shared" si="87"/>
        <v>#NUM!</v>
      </c>
      <c r="Q105" s="22" t="e">
        <f t="shared" si="107"/>
        <v>#NUM!</v>
      </c>
      <c r="R105" s="61" t="e">
        <f t="shared" si="55"/>
        <v>#NUM!</v>
      </c>
      <c r="S105" s="61">
        <f ca="1">AVERAGE(OFFSET($R$3,0,0,'Données projet'!$E$9+1,1))-AVERAGE(OFFSET($H$3,0,0,'Données projet'!$E$9+1,1))</f>
        <v>445.53168057836308</v>
      </c>
      <c r="T105" s="61">
        <f t="shared" si="88"/>
        <v>326.78684646135241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213.49330783353145</v>
      </c>
      <c r="AA105" s="23">
        <f>EXP(-LN(2)/25)*AA104+(1-EXP(-LN(2)/25))/(LN(2)/25)*Calculateur!V105*Calculateur!X105*VLOOKUP('Données projet'!$B$9,Paramètres!$A$1:$I$88,3,0)*0.475*44/12</f>
        <v>16.047075971171786</v>
      </c>
      <c r="AB105" s="23">
        <f>EXP(-LN(2)/2)*AB104+(1-EXP(-LN(2)/2))/(LN(2)/2)*V105*Y105*VLOOKUP('Données projet'!$B$9,Paramètres!$A$1:$I$88,3,0)*0.475*44/12</f>
        <v>1.0249768153403773E-5</v>
      </c>
      <c r="AC105" s="24">
        <f t="shared" si="57"/>
        <v>229.54039405447139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-6.8212102632969618E-13</v>
      </c>
      <c r="AJ105" s="14">
        <f>AI105*VLOOKUP('Données projet'!$B$10,Paramètres!$A$1:$I$88,3,0)*VLOOKUP('Données projet'!$B$10,Paramètres!$A$1:$I$88,5,0)</f>
        <v>-3.1923264032229784E-13</v>
      </c>
      <c r="AK105" s="14" t="e">
        <f t="shared" si="89"/>
        <v>#NUM!</v>
      </c>
      <c r="AL105" s="22" t="e">
        <f t="shared" si="58"/>
        <v>#NUM!</v>
      </c>
      <c r="AM105" s="61" t="e">
        <f t="shared" si="59"/>
        <v>#NUM!</v>
      </c>
      <c r="AN105" s="61">
        <f ca="1">AVERAGE(OFFSET($AM$3,0,0,'Données projet'!$E$10+1,1))-AVERAGE(OFFSET($H$3,0,0,'Données projet'!$E$10+1,1))</f>
        <v>375.77859820466693</v>
      </c>
      <c r="AO105" s="61">
        <f t="shared" si="90"/>
        <v>242.84781402593856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341.80565422974797</v>
      </c>
      <c r="AV105" s="23">
        <f>EXP(-LN(2)/25)*AV104+(1-EXP(-LN(2)/25))/(LN(2)/25)*Calculateur!AQ105*Calculateur!AS105*VLOOKUP('Données projet'!$B$9,Paramètres!$A$1:$I$88,3,0)*0.475*44/12</f>
        <v>38.60760696244256</v>
      </c>
      <c r="AW105" s="23">
        <f>EXP(-LN(2)/2)*AW104+(1-EXP(-LN(2)/2))/(LN(2)/2)*AQ105*AT105*VLOOKUP('Données projet'!$B$9,Paramètres!$A$1:$I$88,3,0)*0.475*44/12</f>
        <v>0</v>
      </c>
      <c r="AX105" s="23">
        <f t="shared" si="60"/>
        <v>380.41326119219053</v>
      </c>
      <c r="AY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184.60000000000028</v>
      </c>
      <c r="BE105" s="14">
        <f>BD105*VLOOKUP('Données projet'!$B$11,Paramètres!$A$1:$I$88,3,0)*VLOOKUP('Données projet'!$B$11,Paramètres!$A$1:$I$88,5,0)</f>
        <v>187.18440000000029</v>
      </c>
      <c r="BF105" s="14">
        <f t="shared" si="91"/>
        <v>46.916923809907381</v>
      </c>
      <c r="BG105" s="22">
        <f t="shared" si="61"/>
        <v>407.72647230225584</v>
      </c>
      <c r="BH105" s="61">
        <f t="shared" si="62"/>
        <v>685.67840837723884</v>
      </c>
      <c r="BI105" s="61">
        <f ca="1">AVERAGE(OFFSET($BH$3,0,0,'Données projet'!$E$11+1,1))-AVERAGE(OFFSET($H$3,0,0,'Données projet'!$E$11+1,1))</f>
        <v>433.57989081194</v>
      </c>
      <c r="BJ105" s="61">
        <f t="shared" si="92"/>
        <v>182.52060621271355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3.7063111411153926</v>
      </c>
      <c r="BR105" s="23">
        <f>EXP(-LN(2)/2)*BR104+(1-EXP(-LN(2)/2))/(LN(2)/2)*BL105*BO105*VLOOKUP('Données projet'!$B$9,Paramètres!$A$1:$I$88,3,0)*0.475*44/12</f>
        <v>0</v>
      </c>
      <c r="BS105" s="24">
        <f t="shared" si="63"/>
        <v>3.7063111411153926</v>
      </c>
      <c r="BT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1" t="e">
        <f t="shared" si="65"/>
        <v>#N/A</v>
      </c>
      <c r="CD105" s="61" t="e">
        <f ca="1">AVERAGE(OFFSET($CC$3,0,0,'Données projet'!$E$12+1,1))-AVERAGE(OFFSET($H$3,0,0,'Données projet'!$E$12+1,1))</f>
        <v>#N/A</v>
      </c>
      <c r="CE105" s="61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66"/>
        <v>0</v>
      </c>
      <c r="CO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1" t="e">
        <f t="shared" si="68"/>
        <v>#N/A</v>
      </c>
      <c r="CY105" s="61" t="e">
        <f ca="1">AVERAGE(OFFSET($CX$3,0,0,'Données projet'!$E$13+1,1))-AVERAGE(OFFSET($H$3,0,0,'Données projet'!$E$13+1,1))</f>
        <v>#N/A</v>
      </c>
      <c r="CZ105" s="61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69"/>
        <v>0</v>
      </c>
      <c r="DJ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1" t="e">
        <f t="shared" si="71"/>
        <v>#N/A</v>
      </c>
      <c r="DT105" s="61" t="e">
        <f ca="1">AVERAGE(OFFSET($DS$3,0,0,'Données projet'!$E$14+1,1))-AVERAGE(OFFSET($H$3,0,0,'Données projet'!$E$14+1,1))</f>
        <v>#N/A</v>
      </c>
      <c r="DU105" s="61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2"/>
        <v>0</v>
      </c>
      <c r="EE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1" t="e">
        <f t="shared" si="74"/>
        <v>#N/A</v>
      </c>
      <c r="EO105" s="61" t="e">
        <f ca="1">AVERAGE(OFFSET($EN$3,0,0,'Données projet'!$E$15+1,1))-AVERAGE(OFFSET($H$3,0,0,'Données projet'!$E$15+1,1))</f>
        <v>#N/A</v>
      </c>
      <c r="EP105" s="61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75"/>
        <v>0</v>
      </c>
      <c r="EZ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1" t="e">
        <f t="shared" si="77"/>
        <v>#N/A</v>
      </c>
      <c r="FJ105" s="61" t="e">
        <f ca="1">AVERAGE(OFFSET($FI$3,0,0,'Données projet'!$E$16+1,1))-AVERAGE(OFFSET($H$3,0,0,'Données projet'!$E$16+1,1))</f>
        <v>#N/A</v>
      </c>
      <c r="FK105" s="61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78"/>
        <v>0</v>
      </c>
      <c r="FU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1" t="e">
        <f t="shared" si="80"/>
        <v>#N/A</v>
      </c>
      <c r="GE105" s="61" t="e">
        <f ca="1">AVERAGE(OFFSET($GD$3,0,0,'Données projet'!$E$17+1,1))-AVERAGE(OFFSET($H$3,0,0,'Données projet'!$E$17+1,1))</f>
        <v>#N/A</v>
      </c>
      <c r="GF105" s="61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81"/>
        <v>0</v>
      </c>
      <c r="GP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1" t="e">
        <f t="shared" si="83"/>
        <v>#N/A</v>
      </c>
      <c r="GZ105" s="61" t="e">
        <f ca="1">AVERAGE(OFFSET($GY$3,0,0,'Données projet'!$E$18+1,1))-AVERAGE(OFFSET($H$3,0,0,'Données projet'!$E$18+1,1))</f>
        <v>#N/A</v>
      </c>
      <c r="HA105" s="61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84"/>
        <v>0</v>
      </c>
    </row>
    <row r="106" spans="1:218" s="5" customFormat="1" x14ac:dyDescent="0.45">
      <c r="A106" s="11">
        <f t="shared" si="85"/>
        <v>103</v>
      </c>
      <c r="B106" s="76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9">
        <f t="shared" si="56"/>
        <v>183.33333333333334</v>
      </c>
      <c r="I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-3.4106051316484809E-13</v>
      </c>
      <c r="O106" s="14">
        <f>N106*VLOOKUP('Données projet'!$B$9,Paramètres!$A$1:$I$88,3,0)*VLOOKUP('Données projet'!$B$9,Paramètres!$A$1:$I$88,5,0)</f>
        <v>-2.0395418687257919E-13</v>
      </c>
      <c r="P106" s="14" t="e">
        <f t="shared" si="87"/>
        <v>#NUM!</v>
      </c>
      <c r="Q106" s="22" t="e">
        <f t="shared" si="107"/>
        <v>#NUM!</v>
      </c>
      <c r="R106" s="61" t="e">
        <f t="shared" si="55"/>
        <v>#NUM!</v>
      </c>
      <c r="S106" s="61">
        <f ca="1">AVERAGE(OFFSET($R$3,0,0,'Données projet'!$E$9+1,1))-AVERAGE(OFFSET($H$3,0,0,'Données projet'!$E$9+1,1))</f>
        <v>445.53168057836308</v>
      </c>
      <c r="T106" s="61">
        <f t="shared" si="88"/>
        <v>326.78684646135241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209.30683428497571</v>
      </c>
      <c r="AA106" s="23">
        <f>EXP(-LN(2)/25)*AA105+(1-EXP(-LN(2)/25))/(LN(2)/25)*Calculateur!V106*Calculateur!X106*VLOOKUP('Données projet'!$B$9,Paramètres!$A$1:$I$88,3,0)*0.475*44/12</f>
        <v>15.608267834861044</v>
      </c>
      <c r="AB106" s="23">
        <f>EXP(-LN(2)/2)*AB105+(1-EXP(-LN(2)/2))/(LN(2)/2)*V106*Y106*VLOOKUP('Données projet'!$B$9,Paramètres!$A$1:$I$88,3,0)*0.475*44/12</f>
        <v>7.2476805668617248E-6</v>
      </c>
      <c r="AC106" s="24">
        <f t="shared" si="57"/>
        <v>224.91510936751732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-6.8212102632969618E-13</v>
      </c>
      <c r="AJ106" s="14">
        <f>AI106*VLOOKUP('Données projet'!$B$10,Paramètres!$A$1:$I$88,3,0)*VLOOKUP('Données projet'!$B$10,Paramètres!$A$1:$I$88,5,0)</f>
        <v>-3.1923264032229784E-13</v>
      </c>
      <c r="AK106" s="14" t="e">
        <f t="shared" si="89"/>
        <v>#NUM!</v>
      </c>
      <c r="AL106" s="22" t="e">
        <f t="shared" si="58"/>
        <v>#NUM!</v>
      </c>
      <c r="AM106" s="61" t="e">
        <f t="shared" si="59"/>
        <v>#NUM!</v>
      </c>
      <c r="AN106" s="61">
        <f ca="1">AVERAGE(OFFSET($AM$3,0,0,'Données projet'!$E$10+1,1))-AVERAGE(OFFSET($H$3,0,0,'Données projet'!$E$10+1,1))</f>
        <v>375.77859820466693</v>
      </c>
      <c r="AO106" s="61">
        <f t="shared" si="90"/>
        <v>242.84781402593856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335.10305383116594</v>
      </c>
      <c r="AV106" s="23">
        <f>EXP(-LN(2)/25)*AV105+(1-EXP(-LN(2)/25))/(LN(2)/25)*Calculateur!AQ106*Calculateur!AS106*VLOOKUP('Données projet'!$B$9,Paramètres!$A$1:$I$88,3,0)*0.475*44/12</f>
        <v>37.551879919768758</v>
      </c>
      <c r="AW106" s="23">
        <f>EXP(-LN(2)/2)*AW105+(1-EXP(-LN(2)/2))/(LN(2)/2)*AQ106*AT106*VLOOKUP('Données projet'!$B$9,Paramètres!$A$1:$I$88,3,0)*0.475*44/12</f>
        <v>0</v>
      </c>
      <c r="AX106" s="23">
        <f t="shared" si="60"/>
        <v>372.65493375093467</v>
      </c>
      <c r="AY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>
        <f>VLOOKUP(A106,'Données projet'!$A$87:$I$107,2,0)</f>
        <v>189</v>
      </c>
      <c r="BB106" s="13">
        <f>VLOOKUP(A106,'Données projet'!$A$87:$I$107,9,0)</f>
        <v>4.4000000000000004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189.00000000000028</v>
      </c>
      <c r="BE106" s="14">
        <f>BD106*VLOOKUP('Données projet'!$B$11,Paramètres!$A$1:$I$88,3,0)*VLOOKUP('Données projet'!$B$11,Paramètres!$A$1:$I$88,5,0)</f>
        <v>191.6460000000003</v>
      </c>
      <c r="BF106" s="14">
        <f t="shared" si="91"/>
        <v>47.90367718929172</v>
      </c>
      <c r="BG106" s="22">
        <f t="shared" si="61"/>
        <v>417.2156877713503</v>
      </c>
      <c r="BH106" s="61">
        <f t="shared" si="62"/>
        <v>695.43445670111305</v>
      </c>
      <c r="BI106" s="61">
        <f ca="1">AVERAGE(OFFSET($BH$3,0,0,'Données projet'!$E$11+1,1))-AVERAGE(OFFSET($H$3,0,0,'Données projet'!$E$11+1,1))</f>
        <v>433.57989081194</v>
      </c>
      <c r="BJ106" s="61">
        <f t="shared" si="92"/>
        <v>182.52060621271355</v>
      </c>
      <c r="BK106" s="16">
        <f>IF(ISNA(VLOOKUP(A106,'Données projet'!$A$87:$I$107,3,0)),0,VLOOKUP(A106,'Données projet'!$A$87:$I$107,3,0))</f>
        <v>5</v>
      </c>
      <c r="BL106" s="16">
        <f>IF(ISNA(VLOOKUP(A106,'Données projet'!$A$87:$I$107,4,0)),0,VLOOKUP(A106,'Données projet'!$A$87:$I$107,4,0))</f>
        <v>32</v>
      </c>
      <c r="BM106" s="17">
        <f>IF(ISNA(VLOOKUP(A106,'Données projet'!$A$87:$I$107,5,0)),0%,VLOOKUP(A106,'Données projet'!$A$87:$I$107,5,0)*VLOOKUP('Données projet'!$B$11,Paramètres!$A$1:$I$88,7,0))</f>
        <v>0.38700000000000001</v>
      </c>
      <c r="BN106" s="17">
        <f>IF(ISNA(VLOOKUP(A106,'Données projet'!$A$87:$I$107,6,0)),0%,VLOOKUP(A106,'Données projet'!$A$87:$I$107,6,0)*VLOOKUP('Données projet'!$B$11,Paramètres!$A$1:$I$88,7,0))</f>
        <v>4.3000000000000003E-2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9.8240481812656348</v>
      </c>
      <c r="BQ106" s="23">
        <f>EXP(-LN(2)/25)*BQ105+(1-EXP(-LN(2)/25))/(LN(2)/25)*Calculateur!BL106*Calculateur!BN106*VLOOKUP('Données projet'!$B$9,Paramètres!$A$1:$I$88,3,0)*0.475*44/12</f>
        <v>4.6922248858685123</v>
      </c>
      <c r="BR106" s="23">
        <f>EXP(-LN(2)/2)*BR105+(1-EXP(-LN(2)/2))/(LN(2)/2)*BL106*BO106*VLOOKUP('Données projet'!$B$9,Paramètres!$A$1:$I$88,3,0)*0.475*44/12</f>
        <v>0</v>
      </c>
      <c r="BS106" s="24">
        <f t="shared" si="63"/>
        <v>14.516273067134147</v>
      </c>
      <c r="BT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1" t="e">
        <f t="shared" si="65"/>
        <v>#N/A</v>
      </c>
      <c r="CD106" s="61" t="e">
        <f ca="1">AVERAGE(OFFSET($CC$3,0,0,'Données projet'!$E$12+1,1))-AVERAGE(OFFSET($H$3,0,0,'Données projet'!$E$12+1,1))</f>
        <v>#N/A</v>
      </c>
      <c r="CE106" s="61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66"/>
        <v>0</v>
      </c>
      <c r="CO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1" t="e">
        <f t="shared" si="68"/>
        <v>#N/A</v>
      </c>
      <c r="CY106" s="61" t="e">
        <f ca="1">AVERAGE(OFFSET($CX$3,0,0,'Données projet'!$E$13+1,1))-AVERAGE(OFFSET($H$3,0,0,'Données projet'!$E$13+1,1))</f>
        <v>#N/A</v>
      </c>
      <c r="CZ106" s="61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69"/>
        <v>0</v>
      </c>
      <c r="DJ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1" t="e">
        <f t="shared" si="71"/>
        <v>#N/A</v>
      </c>
      <c r="DT106" s="61" t="e">
        <f ca="1">AVERAGE(OFFSET($DS$3,0,0,'Données projet'!$E$14+1,1))-AVERAGE(OFFSET($H$3,0,0,'Données projet'!$E$14+1,1))</f>
        <v>#N/A</v>
      </c>
      <c r="DU106" s="61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2"/>
        <v>0</v>
      </c>
      <c r="EE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1" t="e">
        <f t="shared" si="74"/>
        <v>#N/A</v>
      </c>
      <c r="EO106" s="61" t="e">
        <f ca="1">AVERAGE(OFFSET($EN$3,0,0,'Données projet'!$E$15+1,1))-AVERAGE(OFFSET($H$3,0,0,'Données projet'!$E$15+1,1))</f>
        <v>#N/A</v>
      </c>
      <c r="EP106" s="61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75"/>
        <v>0</v>
      </c>
      <c r="EZ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1" t="e">
        <f t="shared" si="77"/>
        <v>#N/A</v>
      </c>
      <c r="FJ106" s="61" t="e">
        <f ca="1">AVERAGE(OFFSET($FI$3,0,0,'Données projet'!$E$16+1,1))-AVERAGE(OFFSET($H$3,0,0,'Données projet'!$E$16+1,1))</f>
        <v>#N/A</v>
      </c>
      <c r="FK106" s="61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78"/>
        <v>0</v>
      </c>
      <c r="FU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1" t="e">
        <f t="shared" si="80"/>
        <v>#N/A</v>
      </c>
      <c r="GE106" s="61" t="e">
        <f ca="1">AVERAGE(OFFSET($GD$3,0,0,'Données projet'!$E$17+1,1))-AVERAGE(OFFSET($H$3,0,0,'Données projet'!$E$17+1,1))</f>
        <v>#N/A</v>
      </c>
      <c r="GF106" s="61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81"/>
        <v>0</v>
      </c>
      <c r="GP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1" t="e">
        <f t="shared" si="83"/>
        <v>#N/A</v>
      </c>
      <c r="GZ106" s="61" t="e">
        <f ca="1">AVERAGE(OFFSET($GY$3,0,0,'Données projet'!$E$18+1,1))-AVERAGE(OFFSET($H$3,0,0,'Données projet'!$E$18+1,1))</f>
        <v>#N/A</v>
      </c>
      <c r="HA106" s="61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84"/>
        <v>0</v>
      </c>
    </row>
    <row r="107" spans="1:218" s="5" customFormat="1" x14ac:dyDescent="0.45">
      <c r="A107" s="11">
        <f t="shared" si="85"/>
        <v>104</v>
      </c>
      <c r="B107" s="76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9">
        <f t="shared" si="56"/>
        <v>183.33333333333334</v>
      </c>
      <c r="I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-3.4106051316484809E-13</v>
      </c>
      <c r="O107" s="14">
        <f>N107*VLOOKUP('Données projet'!$B$9,Paramètres!$A$1:$I$88,3,0)*VLOOKUP('Données projet'!$B$9,Paramètres!$A$1:$I$88,5,0)</f>
        <v>-2.0395418687257919E-13</v>
      </c>
      <c r="P107" s="14" t="e">
        <f t="shared" si="87"/>
        <v>#NUM!</v>
      </c>
      <c r="Q107" s="22" t="e">
        <f t="shared" si="107"/>
        <v>#NUM!</v>
      </c>
      <c r="R107" s="61" t="e">
        <f t="shared" si="55"/>
        <v>#NUM!</v>
      </c>
      <c r="S107" s="61">
        <f ca="1">AVERAGE(OFFSET($R$3,0,0,'Données projet'!$E$9+1,1))-AVERAGE(OFFSET($H$3,0,0,'Données projet'!$E$9+1,1))</f>
        <v>445.53168057836308</v>
      </c>
      <c r="T107" s="61">
        <f t="shared" si="88"/>
        <v>326.78684646135241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205.20245492921043</v>
      </c>
      <c r="AA107" s="23">
        <f>EXP(-LN(2)/25)*AA106+(1-EXP(-LN(2)/25))/(LN(2)/25)*Calculateur!V107*Calculateur!X107*VLOOKUP('Données projet'!$B$9,Paramètres!$A$1:$I$88,3,0)*0.475*44/12</f>
        <v>15.181458930113637</v>
      </c>
      <c r="AB107" s="23">
        <f>EXP(-LN(2)/2)*AB106+(1-EXP(-LN(2)/2))/(LN(2)/2)*V107*Y107*VLOOKUP('Données projet'!$B$9,Paramètres!$A$1:$I$88,3,0)*0.475*44/12</f>
        <v>5.1248840767018863E-6</v>
      </c>
      <c r="AC107" s="24">
        <f t="shared" si="57"/>
        <v>220.38391898420815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-6.8212102632969618E-13</v>
      </c>
      <c r="AJ107" s="14">
        <f>AI107*VLOOKUP('Données projet'!$B$10,Paramètres!$A$1:$I$88,3,0)*VLOOKUP('Données projet'!$B$10,Paramètres!$A$1:$I$88,5,0)</f>
        <v>-3.1923264032229784E-13</v>
      </c>
      <c r="AK107" s="14" t="e">
        <f t="shared" si="89"/>
        <v>#NUM!</v>
      </c>
      <c r="AL107" s="22" t="e">
        <f t="shared" si="58"/>
        <v>#NUM!</v>
      </c>
      <c r="AM107" s="61" t="e">
        <f t="shared" si="59"/>
        <v>#NUM!</v>
      </c>
      <c r="AN107" s="61">
        <f ca="1">AVERAGE(OFFSET($AM$3,0,0,'Données projet'!$E$10+1,1))-AVERAGE(OFFSET($H$3,0,0,'Données projet'!$E$10+1,1))</f>
        <v>375.77859820466693</v>
      </c>
      <c r="AO107" s="61">
        <f t="shared" si="90"/>
        <v>242.84781402593856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328.53188733821753</v>
      </c>
      <c r="AV107" s="23">
        <f>EXP(-LN(2)/25)*AV106+(1-EXP(-LN(2)/25))/(LN(2)/25)*Calculateur!AQ107*Calculateur!AS107*VLOOKUP('Données projet'!$B$9,Paramètres!$A$1:$I$88,3,0)*0.475*44/12</f>
        <v>36.52502178859514</v>
      </c>
      <c r="AW107" s="23">
        <f>EXP(-LN(2)/2)*AW106+(1-EXP(-LN(2)/2))/(LN(2)/2)*AQ107*AT107*VLOOKUP('Données projet'!$B$9,Paramètres!$A$1:$I$88,3,0)*0.475*44/12</f>
        <v>0</v>
      </c>
      <c r="AX107" s="23">
        <f t="shared" si="60"/>
        <v>365.05690912681268</v>
      </c>
      <c r="AY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4.5</v>
      </c>
      <c r="BD107" s="13">
        <f>IF('Données projet'!$A$88&gt;35,BD106+BC107-BL106,IF(A107&lt;'Données projet'!$A$88,$BA$205^A107,IF(A107='Données projet'!$A$88,'Données projet'!$B$88,BD106+BC107-BL106)))</f>
        <v>161.50000000000028</v>
      </c>
      <c r="BE107" s="14">
        <f>BD107*VLOOKUP('Données projet'!$B$11,Paramètres!$A$1:$I$88,3,0)*VLOOKUP('Données projet'!$B$11,Paramètres!$A$1:$I$88,5,0)</f>
        <v>163.76100000000031</v>
      </c>
      <c r="BF107" s="14">
        <f t="shared" si="91"/>
        <v>41.689668948169619</v>
      </c>
      <c r="BG107" s="22">
        <f t="shared" si="61"/>
        <v>357.82658175139591</v>
      </c>
      <c r="BH107" s="61">
        <f t="shared" si="62"/>
        <v>636.30755458245676</v>
      </c>
      <c r="BI107" s="61">
        <f ca="1">AVERAGE(OFFSET($BH$3,0,0,'Données projet'!$E$11+1,1))-AVERAGE(OFFSET($H$3,0,0,'Données projet'!$E$11+1,1))</f>
        <v>433.57989081194</v>
      </c>
      <c r="BJ107" s="61">
        <f t="shared" si="92"/>
        <v>182.52060621271355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9.6314045885087385</v>
      </c>
      <c r="BQ107" s="23">
        <f>EXP(-LN(2)/25)*BQ106+(1-EXP(-LN(2)/25))/(LN(2)/25)*Calculateur!BL107*Calculateur!BN107*VLOOKUP('Données projet'!$B$9,Paramètres!$A$1:$I$88,3,0)*0.475*44/12</f>
        <v>4.5639157496110556</v>
      </c>
      <c r="BR107" s="23">
        <f>EXP(-LN(2)/2)*BR106+(1-EXP(-LN(2)/2))/(LN(2)/2)*BL107*BO107*VLOOKUP('Données projet'!$B$9,Paramètres!$A$1:$I$88,3,0)*0.475*44/12</f>
        <v>0</v>
      </c>
      <c r="BS107" s="24">
        <f t="shared" si="63"/>
        <v>14.195320338119794</v>
      </c>
      <c r="BT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1" t="e">
        <f t="shared" si="65"/>
        <v>#N/A</v>
      </c>
      <c r="CD107" s="61" t="e">
        <f ca="1">AVERAGE(OFFSET($CC$3,0,0,'Données projet'!$E$12+1,1))-AVERAGE(OFFSET($H$3,0,0,'Données projet'!$E$12+1,1))</f>
        <v>#N/A</v>
      </c>
      <c r="CE107" s="61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66"/>
        <v>0</v>
      </c>
      <c r="CO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1" t="e">
        <f t="shared" si="68"/>
        <v>#N/A</v>
      </c>
      <c r="CY107" s="61" t="e">
        <f ca="1">AVERAGE(OFFSET($CX$3,0,0,'Données projet'!$E$13+1,1))-AVERAGE(OFFSET($H$3,0,0,'Données projet'!$E$13+1,1))</f>
        <v>#N/A</v>
      </c>
      <c r="CZ107" s="61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69"/>
        <v>0</v>
      </c>
      <c r="DJ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1" t="e">
        <f t="shared" si="71"/>
        <v>#N/A</v>
      </c>
      <c r="DT107" s="61" t="e">
        <f ca="1">AVERAGE(OFFSET($DS$3,0,0,'Données projet'!$E$14+1,1))-AVERAGE(OFFSET($H$3,0,0,'Données projet'!$E$14+1,1))</f>
        <v>#N/A</v>
      </c>
      <c r="DU107" s="61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2"/>
        <v>0</v>
      </c>
      <c r="EE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1" t="e">
        <f t="shared" si="74"/>
        <v>#N/A</v>
      </c>
      <c r="EO107" s="61" t="e">
        <f ca="1">AVERAGE(OFFSET($EN$3,0,0,'Données projet'!$E$15+1,1))-AVERAGE(OFFSET($H$3,0,0,'Données projet'!$E$15+1,1))</f>
        <v>#N/A</v>
      </c>
      <c r="EP107" s="61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75"/>
        <v>0</v>
      </c>
      <c r="EZ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1" t="e">
        <f t="shared" si="77"/>
        <v>#N/A</v>
      </c>
      <c r="FJ107" s="61" t="e">
        <f ca="1">AVERAGE(OFFSET($FI$3,0,0,'Données projet'!$E$16+1,1))-AVERAGE(OFFSET($H$3,0,0,'Données projet'!$E$16+1,1))</f>
        <v>#N/A</v>
      </c>
      <c r="FK107" s="61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78"/>
        <v>0</v>
      </c>
      <c r="FU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1" t="e">
        <f t="shared" si="80"/>
        <v>#N/A</v>
      </c>
      <c r="GE107" s="61" t="e">
        <f ca="1">AVERAGE(OFFSET($GD$3,0,0,'Données projet'!$E$17+1,1))-AVERAGE(OFFSET($H$3,0,0,'Données projet'!$E$17+1,1))</f>
        <v>#N/A</v>
      </c>
      <c r="GF107" s="61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81"/>
        <v>0</v>
      </c>
      <c r="GP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1" t="e">
        <f t="shared" si="83"/>
        <v>#N/A</v>
      </c>
      <c r="GZ107" s="61" t="e">
        <f ca="1">AVERAGE(OFFSET($GY$3,0,0,'Données projet'!$E$18+1,1))-AVERAGE(OFFSET($H$3,0,0,'Données projet'!$E$18+1,1))</f>
        <v>#N/A</v>
      </c>
      <c r="HA107" s="61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84"/>
        <v>0</v>
      </c>
    </row>
    <row r="108" spans="1:218" s="5" customFormat="1" x14ac:dyDescent="0.45">
      <c r="A108" s="11">
        <f t="shared" si="85"/>
        <v>105</v>
      </c>
      <c r="B108" s="76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9">
        <f t="shared" si="56"/>
        <v>183.33333333333334</v>
      </c>
      <c r="I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-3.4106051316484809E-13</v>
      </c>
      <c r="O108" s="14">
        <f>N108*VLOOKUP('Données projet'!$B$9,Paramètres!$A$1:$I$88,3,0)*VLOOKUP('Données projet'!$B$9,Paramètres!$A$1:$I$88,5,0)</f>
        <v>-2.0395418687257919E-13</v>
      </c>
      <c r="P108" s="14" t="e">
        <f t="shared" si="87"/>
        <v>#NUM!</v>
      </c>
      <c r="Q108" s="22" t="e">
        <f t="shared" si="107"/>
        <v>#NUM!</v>
      </c>
      <c r="R108" s="61" t="e">
        <f t="shared" si="55"/>
        <v>#NUM!</v>
      </c>
      <c r="S108" s="61">
        <f ca="1">AVERAGE(OFFSET($R$3,0,0,'Données projet'!$E$9+1,1))-AVERAGE(OFFSET($H$3,0,0,'Données projet'!$E$9+1,1))</f>
        <v>445.53168057836308</v>
      </c>
      <c r="T108" s="61">
        <f t="shared" si="88"/>
        <v>326.78684646135241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201.17855994918747</v>
      </c>
      <c r="AA108" s="23">
        <f>EXP(-LN(2)/25)*AA107+(1-EXP(-LN(2)/25))/(LN(2)/25)*Calculateur!V108*Calculateur!X108*VLOOKUP('Données projet'!$B$9,Paramètres!$A$1:$I$88,3,0)*0.475*44/12</f>
        <v>14.766321137311452</v>
      </c>
      <c r="AB108" s="23">
        <f>EXP(-LN(2)/2)*AB107+(1-EXP(-LN(2)/2))/(LN(2)/2)*V108*Y108*VLOOKUP('Données projet'!$B$9,Paramètres!$A$1:$I$88,3,0)*0.475*44/12</f>
        <v>3.6238402834308624E-6</v>
      </c>
      <c r="AC108" s="24">
        <f t="shared" si="57"/>
        <v>215.94488471033921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-6.8212102632969618E-13</v>
      </c>
      <c r="AJ108" s="14">
        <f>AI108*VLOOKUP('Données projet'!$B$10,Paramètres!$A$1:$I$88,3,0)*VLOOKUP('Données projet'!$B$10,Paramètres!$A$1:$I$88,5,0)</f>
        <v>-3.1923264032229784E-13</v>
      </c>
      <c r="AK108" s="14" t="e">
        <f t="shared" si="89"/>
        <v>#NUM!</v>
      </c>
      <c r="AL108" s="22" t="e">
        <f t="shared" si="58"/>
        <v>#NUM!</v>
      </c>
      <c r="AM108" s="61" t="e">
        <f t="shared" si="59"/>
        <v>#NUM!</v>
      </c>
      <c r="AN108" s="61">
        <f ca="1">AVERAGE(OFFSET($AM$3,0,0,'Données projet'!$E$10+1,1))-AVERAGE(OFFSET($H$3,0,0,'Données projet'!$E$10+1,1))</f>
        <v>375.77859820466693</v>
      </c>
      <c r="AO108" s="61">
        <f t="shared" si="90"/>
        <v>242.84781402593856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322.08957741218001</v>
      </c>
      <c r="AV108" s="23">
        <f>EXP(-LN(2)/25)*AV107+(1-EXP(-LN(2)/25))/(LN(2)/25)*Calculateur!AQ108*Calculateur!AS108*VLOOKUP('Données projet'!$B$9,Paramètres!$A$1:$I$88,3,0)*0.475*44/12</f>
        <v>35.52624314701859</v>
      </c>
      <c r="AW108" s="23">
        <f>EXP(-LN(2)/2)*AW107+(1-EXP(-LN(2)/2))/(LN(2)/2)*AQ108*AT108*VLOOKUP('Données projet'!$B$9,Paramètres!$A$1:$I$88,3,0)*0.475*44/12</f>
        <v>0</v>
      </c>
      <c r="AX108" s="23">
        <f t="shared" si="60"/>
        <v>357.6158205591986</v>
      </c>
      <c r="AY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4.5</v>
      </c>
      <c r="BD108" s="13">
        <f>IF('Données projet'!$A$88&gt;35,BD107+BC108-BL107,IF(A108&lt;'Données projet'!$A$88,$BA$205^A108,IF(A108='Données projet'!$A$88,'Données projet'!$B$88,BD107+BC108-BL107)))</f>
        <v>166.00000000000028</v>
      </c>
      <c r="BE108" s="14">
        <f>BD108*VLOOKUP('Données projet'!$B$11,Paramètres!$A$1:$I$88,3,0)*VLOOKUP('Données projet'!$B$11,Paramètres!$A$1:$I$88,5,0)</f>
        <v>168.3240000000003</v>
      </c>
      <c r="BF108" s="14">
        <f t="shared" si="91"/>
        <v>42.714439164086123</v>
      </c>
      <c r="BG108" s="22">
        <f t="shared" si="61"/>
        <v>367.55861487745051</v>
      </c>
      <c r="BH108" s="61">
        <f t="shared" si="62"/>
        <v>646.29724295832227</v>
      </c>
      <c r="BI108" s="61">
        <f ca="1">AVERAGE(OFFSET($BH$3,0,0,'Données projet'!$E$11+1,1))-AVERAGE(OFFSET($H$3,0,0,'Données projet'!$E$11+1,1))</f>
        <v>433.57989081194</v>
      </c>
      <c r="BJ108" s="61">
        <f t="shared" si="92"/>
        <v>182.52060621271355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9.4425386191048144</v>
      </c>
      <c r="BQ108" s="23">
        <f>EXP(-LN(2)/25)*BQ107+(1-EXP(-LN(2)/25))/(LN(2)/25)*Calculateur!BL108*Calculateur!BN108*VLOOKUP('Données projet'!$B$9,Paramètres!$A$1:$I$88,3,0)*0.475*44/12</f>
        <v>4.4391152334320427</v>
      </c>
      <c r="BR108" s="23">
        <f>EXP(-LN(2)/2)*BR107+(1-EXP(-LN(2)/2))/(LN(2)/2)*BL108*BO108*VLOOKUP('Données projet'!$B$9,Paramètres!$A$1:$I$88,3,0)*0.475*44/12</f>
        <v>0</v>
      </c>
      <c r="BS108" s="24">
        <f t="shared" si="63"/>
        <v>13.881653852536857</v>
      </c>
      <c r="BT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1" t="e">
        <f t="shared" si="65"/>
        <v>#N/A</v>
      </c>
      <c r="CD108" s="61" t="e">
        <f ca="1">AVERAGE(OFFSET($CC$3,0,0,'Données projet'!$E$12+1,1))-AVERAGE(OFFSET($H$3,0,0,'Données projet'!$E$12+1,1))</f>
        <v>#N/A</v>
      </c>
      <c r="CE108" s="61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66"/>
        <v>0</v>
      </c>
      <c r="CO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1" t="e">
        <f t="shared" si="68"/>
        <v>#N/A</v>
      </c>
      <c r="CY108" s="61" t="e">
        <f ca="1">AVERAGE(OFFSET($CX$3,0,0,'Données projet'!$E$13+1,1))-AVERAGE(OFFSET($H$3,0,0,'Données projet'!$E$13+1,1))</f>
        <v>#N/A</v>
      </c>
      <c r="CZ108" s="61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69"/>
        <v>0</v>
      </c>
      <c r="DJ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1" t="e">
        <f t="shared" si="71"/>
        <v>#N/A</v>
      </c>
      <c r="DT108" s="61" t="e">
        <f ca="1">AVERAGE(OFFSET($DS$3,0,0,'Données projet'!$E$14+1,1))-AVERAGE(OFFSET($H$3,0,0,'Données projet'!$E$14+1,1))</f>
        <v>#N/A</v>
      </c>
      <c r="DU108" s="61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2"/>
        <v>0</v>
      </c>
      <c r="EE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1" t="e">
        <f t="shared" si="74"/>
        <v>#N/A</v>
      </c>
      <c r="EO108" s="61" t="e">
        <f ca="1">AVERAGE(OFFSET($EN$3,0,0,'Données projet'!$E$15+1,1))-AVERAGE(OFFSET($H$3,0,0,'Données projet'!$E$15+1,1))</f>
        <v>#N/A</v>
      </c>
      <c r="EP108" s="61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75"/>
        <v>0</v>
      </c>
      <c r="EZ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1" t="e">
        <f t="shared" si="77"/>
        <v>#N/A</v>
      </c>
      <c r="FJ108" s="61" t="e">
        <f ca="1">AVERAGE(OFFSET($FI$3,0,0,'Données projet'!$E$16+1,1))-AVERAGE(OFFSET($H$3,0,0,'Données projet'!$E$16+1,1))</f>
        <v>#N/A</v>
      </c>
      <c r="FK108" s="61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78"/>
        <v>0</v>
      </c>
      <c r="FU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1" t="e">
        <f t="shared" si="80"/>
        <v>#N/A</v>
      </c>
      <c r="GE108" s="61" t="e">
        <f ca="1">AVERAGE(OFFSET($GD$3,0,0,'Données projet'!$E$17+1,1))-AVERAGE(OFFSET($H$3,0,0,'Données projet'!$E$17+1,1))</f>
        <v>#N/A</v>
      </c>
      <c r="GF108" s="61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81"/>
        <v>0</v>
      </c>
      <c r="GP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1" t="e">
        <f t="shared" si="83"/>
        <v>#N/A</v>
      </c>
      <c r="GZ108" s="61" t="e">
        <f ca="1">AVERAGE(OFFSET($GY$3,0,0,'Données projet'!$E$18+1,1))-AVERAGE(OFFSET($H$3,0,0,'Données projet'!$E$18+1,1))</f>
        <v>#N/A</v>
      </c>
      <c r="HA108" s="61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84"/>
        <v>0</v>
      </c>
    </row>
    <row r="109" spans="1:218" s="5" customFormat="1" x14ac:dyDescent="0.45">
      <c r="A109" s="11">
        <f t="shared" si="85"/>
        <v>106</v>
      </c>
      <c r="B109" s="76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9">
        <f t="shared" si="56"/>
        <v>183.33333333333334</v>
      </c>
      <c r="I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-3.4106051316484809E-13</v>
      </c>
      <c r="O109" s="14">
        <f>N109*VLOOKUP('Données projet'!$B$9,Paramètres!$A$1:$I$88,3,0)*VLOOKUP('Données projet'!$B$9,Paramètres!$A$1:$I$88,5,0)</f>
        <v>-2.0395418687257919E-13</v>
      </c>
      <c r="P109" s="14" t="e">
        <f t="shared" si="87"/>
        <v>#NUM!</v>
      </c>
      <c r="Q109" s="22" t="e">
        <f t="shared" si="107"/>
        <v>#NUM!</v>
      </c>
      <c r="R109" s="61" t="e">
        <f t="shared" si="55"/>
        <v>#NUM!</v>
      </c>
      <c r="S109" s="61">
        <f ca="1">AVERAGE(OFFSET($R$3,0,0,'Données projet'!$E$9+1,1))-AVERAGE(OFFSET($H$3,0,0,'Données projet'!$E$9+1,1))</f>
        <v>445.53168057836308</v>
      </c>
      <c r="T109" s="61">
        <f t="shared" si="88"/>
        <v>326.78684646135241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197.23357109538918</v>
      </c>
      <c r="AA109" s="23">
        <f>EXP(-LN(2)/25)*AA108+(1-EXP(-LN(2)/25))/(LN(2)/25)*Calculateur!V109*Calculateur!X109*VLOOKUP('Données projet'!$B$9,Paramètres!$A$1:$I$88,3,0)*0.475*44/12</f>
        <v>14.36253530928459</v>
      </c>
      <c r="AB109" s="23">
        <f>EXP(-LN(2)/2)*AB108+(1-EXP(-LN(2)/2))/(LN(2)/2)*V109*Y109*VLOOKUP('Données projet'!$B$9,Paramètres!$A$1:$I$88,3,0)*0.475*44/12</f>
        <v>2.5624420383509432E-6</v>
      </c>
      <c r="AC109" s="24">
        <f t="shared" si="57"/>
        <v>211.59610896711581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-6.8212102632969618E-13</v>
      </c>
      <c r="AJ109" s="14">
        <f>AI109*VLOOKUP('Données projet'!$B$10,Paramètres!$A$1:$I$88,3,0)*VLOOKUP('Données projet'!$B$10,Paramètres!$A$1:$I$88,5,0)</f>
        <v>-3.1923264032229784E-13</v>
      </c>
      <c r="AK109" s="14" t="e">
        <f t="shared" si="89"/>
        <v>#NUM!</v>
      </c>
      <c r="AL109" s="22" t="e">
        <f t="shared" si="58"/>
        <v>#NUM!</v>
      </c>
      <c r="AM109" s="61" t="e">
        <f t="shared" si="59"/>
        <v>#NUM!</v>
      </c>
      <c r="AN109" s="61">
        <f ca="1">AVERAGE(OFFSET($AM$3,0,0,'Données projet'!$E$10+1,1))-AVERAGE(OFFSET($H$3,0,0,'Données projet'!$E$10+1,1))</f>
        <v>375.77859820466693</v>
      </c>
      <c r="AO109" s="61">
        <f t="shared" si="90"/>
        <v>242.84781402593856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315.77359725437105</v>
      </c>
      <c r="AV109" s="23">
        <f>EXP(-LN(2)/25)*AV108+(1-EXP(-LN(2)/25))/(LN(2)/25)*Calculateur!AQ109*Calculateur!AS109*VLOOKUP('Données projet'!$B$9,Paramètres!$A$1:$I$88,3,0)*0.475*44/12</f>
        <v>34.554776159919435</v>
      </c>
      <c r="AW109" s="23">
        <f>EXP(-LN(2)/2)*AW108+(1-EXP(-LN(2)/2))/(LN(2)/2)*AQ109*AT109*VLOOKUP('Données projet'!$B$9,Paramètres!$A$1:$I$88,3,0)*0.475*44/12</f>
        <v>0</v>
      </c>
      <c r="AX109" s="23">
        <f t="shared" si="60"/>
        <v>350.32837341429047</v>
      </c>
      <c r="AY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4.5</v>
      </c>
      <c r="BD109" s="13">
        <f>IF('Données projet'!$A$88&gt;35,BD108+BC109-BL108,IF(A109&lt;'Données projet'!$A$88,$BA$205^A109,IF(A109='Données projet'!$A$88,'Données projet'!$B$88,BD108+BC109-BL108)))</f>
        <v>170.50000000000028</v>
      </c>
      <c r="BE109" s="14">
        <f>BD109*VLOOKUP('Données projet'!$B$11,Paramètres!$A$1:$I$88,3,0)*VLOOKUP('Données projet'!$B$11,Paramètres!$A$1:$I$88,5,0)</f>
        <v>172.88700000000028</v>
      </c>
      <c r="BF109" s="14">
        <f t="shared" si="91"/>
        <v>43.735980476235248</v>
      </c>
      <c r="BG109" s="22">
        <f t="shared" si="61"/>
        <v>377.28502432944356</v>
      </c>
      <c r="BH109" s="61">
        <f t="shared" si="62"/>
        <v>656.27683791757272</v>
      </c>
      <c r="BI109" s="61">
        <f ca="1">AVERAGE(OFFSET($BH$3,0,0,'Données projet'!$E$11+1,1))-AVERAGE(OFFSET($H$3,0,0,'Données projet'!$E$11+1,1))</f>
        <v>433.57989081194</v>
      </c>
      <c r="BJ109" s="61">
        <f t="shared" si="92"/>
        <v>182.52060621271355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9.2573761961640351</v>
      </c>
      <c r="BQ109" s="23">
        <f>EXP(-LN(2)/25)*BQ108+(1-EXP(-LN(2)/25))/(LN(2)/25)*Calculateur!BL109*Calculateur!BN109*VLOOKUP('Données projet'!$B$9,Paramètres!$A$1:$I$88,3,0)*0.475*44/12</f>
        <v>4.3177273939309195</v>
      </c>
      <c r="BR109" s="23">
        <f>EXP(-LN(2)/2)*BR108+(1-EXP(-LN(2)/2))/(LN(2)/2)*BL109*BO109*VLOOKUP('Données projet'!$B$9,Paramètres!$A$1:$I$88,3,0)*0.475*44/12</f>
        <v>0</v>
      </c>
      <c r="BS109" s="24">
        <f t="shared" si="63"/>
        <v>13.575103590094955</v>
      </c>
      <c r="BT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1" t="e">
        <f t="shared" si="65"/>
        <v>#N/A</v>
      </c>
      <c r="CD109" s="61" t="e">
        <f ca="1">AVERAGE(OFFSET($CC$3,0,0,'Données projet'!$E$12+1,1))-AVERAGE(OFFSET($H$3,0,0,'Données projet'!$E$12+1,1))</f>
        <v>#N/A</v>
      </c>
      <c r="CE109" s="61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66"/>
        <v>0</v>
      </c>
      <c r="CO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1" t="e">
        <f t="shared" si="68"/>
        <v>#N/A</v>
      </c>
      <c r="CY109" s="61" t="e">
        <f ca="1">AVERAGE(OFFSET($CX$3,0,0,'Données projet'!$E$13+1,1))-AVERAGE(OFFSET($H$3,0,0,'Données projet'!$E$13+1,1))</f>
        <v>#N/A</v>
      </c>
      <c r="CZ109" s="61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69"/>
        <v>0</v>
      </c>
      <c r="DJ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1" t="e">
        <f t="shared" si="71"/>
        <v>#N/A</v>
      </c>
      <c r="DT109" s="61" t="e">
        <f ca="1">AVERAGE(OFFSET($DS$3,0,0,'Données projet'!$E$14+1,1))-AVERAGE(OFFSET($H$3,0,0,'Données projet'!$E$14+1,1))</f>
        <v>#N/A</v>
      </c>
      <c r="DU109" s="61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2"/>
        <v>0</v>
      </c>
      <c r="EE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1" t="e">
        <f t="shared" si="74"/>
        <v>#N/A</v>
      </c>
      <c r="EO109" s="61" t="e">
        <f ca="1">AVERAGE(OFFSET($EN$3,0,0,'Données projet'!$E$15+1,1))-AVERAGE(OFFSET($H$3,0,0,'Données projet'!$E$15+1,1))</f>
        <v>#N/A</v>
      </c>
      <c r="EP109" s="61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75"/>
        <v>0</v>
      </c>
      <c r="EZ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1" t="e">
        <f t="shared" si="77"/>
        <v>#N/A</v>
      </c>
      <c r="FJ109" s="61" t="e">
        <f ca="1">AVERAGE(OFFSET($FI$3,0,0,'Données projet'!$E$16+1,1))-AVERAGE(OFFSET($H$3,0,0,'Données projet'!$E$16+1,1))</f>
        <v>#N/A</v>
      </c>
      <c r="FK109" s="61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78"/>
        <v>0</v>
      </c>
      <c r="FU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1" t="e">
        <f t="shared" si="80"/>
        <v>#N/A</v>
      </c>
      <c r="GE109" s="61" t="e">
        <f ca="1">AVERAGE(OFFSET($GD$3,0,0,'Données projet'!$E$17+1,1))-AVERAGE(OFFSET($H$3,0,0,'Données projet'!$E$17+1,1))</f>
        <v>#N/A</v>
      </c>
      <c r="GF109" s="61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81"/>
        <v>0</v>
      </c>
      <c r="GP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1" t="e">
        <f t="shared" si="83"/>
        <v>#N/A</v>
      </c>
      <c r="GZ109" s="61" t="e">
        <f ca="1">AVERAGE(OFFSET($GY$3,0,0,'Données projet'!$E$18+1,1))-AVERAGE(OFFSET($H$3,0,0,'Données projet'!$E$18+1,1))</f>
        <v>#N/A</v>
      </c>
      <c r="HA109" s="61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84"/>
        <v>0</v>
      </c>
    </row>
    <row r="110" spans="1:218" s="5" customFormat="1" x14ac:dyDescent="0.45">
      <c r="A110" s="11">
        <f t="shared" si="85"/>
        <v>107</v>
      </c>
      <c r="B110" s="76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9">
        <f t="shared" si="56"/>
        <v>183.33333333333334</v>
      </c>
      <c r="I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-3.4106051316484809E-13</v>
      </c>
      <c r="O110" s="14">
        <f>N110*VLOOKUP('Données projet'!$B$9,Paramètres!$A$1:$I$88,3,0)*VLOOKUP('Données projet'!$B$9,Paramètres!$A$1:$I$88,5,0)</f>
        <v>-2.0395418687257919E-13</v>
      </c>
      <c r="P110" s="14" t="e">
        <f t="shared" si="87"/>
        <v>#NUM!</v>
      </c>
      <c r="Q110" s="22" t="e">
        <f t="shared" si="107"/>
        <v>#NUM!</v>
      </c>
      <c r="R110" s="61" t="e">
        <f t="shared" si="55"/>
        <v>#NUM!</v>
      </c>
      <c r="S110" s="61">
        <f ca="1">AVERAGE(OFFSET($R$3,0,0,'Données projet'!$E$9+1,1))-AVERAGE(OFFSET($H$3,0,0,'Données projet'!$E$9+1,1))</f>
        <v>445.53168057836308</v>
      </c>
      <c r="T110" s="61">
        <f t="shared" si="88"/>
        <v>326.78684646135241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193.36594106680826</v>
      </c>
      <c r="AA110" s="23">
        <f>EXP(-LN(2)/25)*AA109+(1-EXP(-LN(2)/25))/(LN(2)/25)*Calculateur!V110*Calculateur!X110*VLOOKUP('Données projet'!$B$9,Paramètres!$A$1:$I$88,3,0)*0.475*44/12</f>
        <v>13.969791025959298</v>
      </c>
      <c r="AB110" s="23">
        <f>EXP(-LN(2)/2)*AB109+(1-EXP(-LN(2)/2))/(LN(2)/2)*V110*Y110*VLOOKUP('Données projet'!$B$9,Paramètres!$A$1:$I$88,3,0)*0.475*44/12</f>
        <v>1.8119201417154312E-6</v>
      </c>
      <c r="AC110" s="24">
        <f t="shared" si="57"/>
        <v>207.33573390468769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-6.8212102632969618E-13</v>
      </c>
      <c r="AJ110" s="14">
        <f>AI110*VLOOKUP('Données projet'!$B$10,Paramètres!$A$1:$I$88,3,0)*VLOOKUP('Données projet'!$B$10,Paramètres!$A$1:$I$88,5,0)</f>
        <v>-3.1923264032229784E-13</v>
      </c>
      <c r="AK110" s="14" t="e">
        <f t="shared" si="89"/>
        <v>#NUM!</v>
      </c>
      <c r="AL110" s="22" t="e">
        <f t="shared" si="58"/>
        <v>#NUM!</v>
      </c>
      <c r="AM110" s="61" t="e">
        <f t="shared" si="59"/>
        <v>#NUM!</v>
      </c>
      <c r="AN110" s="61">
        <f ca="1">AVERAGE(OFFSET($AM$3,0,0,'Données projet'!$E$10+1,1))-AVERAGE(OFFSET($H$3,0,0,'Données projet'!$E$10+1,1))</f>
        <v>375.77859820466693</v>
      </c>
      <c r="AO110" s="61">
        <f t="shared" si="90"/>
        <v>242.84781402593856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309.58146961508919</v>
      </c>
      <c r="AV110" s="23">
        <f>EXP(-LN(2)/25)*AV109+(1-EXP(-LN(2)/25))/(LN(2)/25)*Calculateur!AQ110*Calculateur!AS110*VLOOKUP('Données projet'!$B$9,Paramètres!$A$1:$I$88,3,0)*0.475*44/12</f>
        <v>33.609873988669733</v>
      </c>
      <c r="AW110" s="23">
        <f>EXP(-LN(2)/2)*AW109+(1-EXP(-LN(2)/2))/(LN(2)/2)*AQ110*AT110*VLOOKUP('Données projet'!$B$9,Paramètres!$A$1:$I$88,3,0)*0.475*44/12</f>
        <v>0</v>
      </c>
      <c r="AX110" s="23">
        <f t="shared" si="60"/>
        <v>343.19134360375892</v>
      </c>
      <c r="AY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4.5</v>
      </c>
      <c r="BD110" s="13">
        <f>IF('Données projet'!$A$88&gt;35,BD109+BC110-BL109,IF(A110&lt;'Données projet'!$A$88,$BA$205^A110,IF(A110='Données projet'!$A$88,'Données projet'!$B$88,BD109+BC110-BL109)))</f>
        <v>175.00000000000028</v>
      </c>
      <c r="BE110" s="14">
        <f>BD110*VLOOKUP('Données projet'!$B$11,Paramètres!$A$1:$I$88,3,0)*VLOOKUP('Données projet'!$B$11,Paramètres!$A$1:$I$88,5,0)</f>
        <v>177.4500000000003</v>
      </c>
      <c r="BF110" s="14">
        <f t="shared" si="91"/>
        <v>44.754387900936877</v>
      </c>
      <c r="BG110" s="22">
        <f t="shared" si="61"/>
        <v>387.00597559413222</v>
      </c>
      <c r="BH110" s="61">
        <f t="shared" si="62"/>
        <v>666.24658248700587</v>
      </c>
      <c r="BI110" s="61">
        <f ca="1">AVERAGE(OFFSET($BH$3,0,0,'Données projet'!$E$11+1,1))-AVERAGE(OFFSET($H$3,0,0,'Données projet'!$E$11+1,1))</f>
        <v>433.57989081194</v>
      </c>
      <c r="BJ110" s="61">
        <f t="shared" si="92"/>
        <v>182.52060621271355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9.0758446953991978</v>
      </c>
      <c r="BQ110" s="23">
        <f>EXP(-LN(2)/25)*BQ109+(1-EXP(-LN(2)/25))/(LN(2)/25)*Calculateur!BL110*Calculateur!BN110*VLOOKUP('Données projet'!$B$9,Paramètres!$A$1:$I$88,3,0)*0.475*44/12</f>
        <v>4.1996589112844633</v>
      </c>
      <c r="BR110" s="23">
        <f>EXP(-LN(2)/2)*BR109+(1-EXP(-LN(2)/2))/(LN(2)/2)*BL110*BO110*VLOOKUP('Données projet'!$B$9,Paramètres!$A$1:$I$88,3,0)*0.475*44/12</f>
        <v>0</v>
      </c>
      <c r="BS110" s="24">
        <f t="shared" si="63"/>
        <v>13.27550360668366</v>
      </c>
      <c r="BT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1" t="e">
        <f t="shared" si="65"/>
        <v>#N/A</v>
      </c>
      <c r="CD110" s="61" t="e">
        <f ca="1">AVERAGE(OFFSET($CC$3,0,0,'Données projet'!$E$12+1,1))-AVERAGE(OFFSET($H$3,0,0,'Données projet'!$E$12+1,1))</f>
        <v>#N/A</v>
      </c>
      <c r="CE110" s="61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66"/>
        <v>0</v>
      </c>
      <c r="CO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1" t="e">
        <f t="shared" si="68"/>
        <v>#N/A</v>
      </c>
      <c r="CY110" s="61" t="e">
        <f ca="1">AVERAGE(OFFSET($CX$3,0,0,'Données projet'!$E$13+1,1))-AVERAGE(OFFSET($H$3,0,0,'Données projet'!$E$13+1,1))</f>
        <v>#N/A</v>
      </c>
      <c r="CZ110" s="61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69"/>
        <v>0</v>
      </c>
      <c r="DJ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1" t="e">
        <f t="shared" si="71"/>
        <v>#N/A</v>
      </c>
      <c r="DT110" s="61" t="e">
        <f ca="1">AVERAGE(OFFSET($DS$3,0,0,'Données projet'!$E$14+1,1))-AVERAGE(OFFSET($H$3,0,0,'Données projet'!$E$14+1,1))</f>
        <v>#N/A</v>
      </c>
      <c r="DU110" s="61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2"/>
        <v>0</v>
      </c>
      <c r="EE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1" t="e">
        <f t="shared" si="74"/>
        <v>#N/A</v>
      </c>
      <c r="EO110" s="61" t="e">
        <f ca="1">AVERAGE(OFFSET($EN$3,0,0,'Données projet'!$E$15+1,1))-AVERAGE(OFFSET($H$3,0,0,'Données projet'!$E$15+1,1))</f>
        <v>#N/A</v>
      </c>
      <c r="EP110" s="61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75"/>
        <v>0</v>
      </c>
      <c r="EZ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1" t="e">
        <f t="shared" si="77"/>
        <v>#N/A</v>
      </c>
      <c r="FJ110" s="61" t="e">
        <f ca="1">AVERAGE(OFFSET($FI$3,0,0,'Données projet'!$E$16+1,1))-AVERAGE(OFFSET($H$3,0,0,'Données projet'!$E$16+1,1))</f>
        <v>#N/A</v>
      </c>
      <c r="FK110" s="61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78"/>
        <v>0</v>
      </c>
      <c r="FU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1" t="e">
        <f t="shared" si="80"/>
        <v>#N/A</v>
      </c>
      <c r="GE110" s="61" t="e">
        <f ca="1">AVERAGE(OFFSET($GD$3,0,0,'Données projet'!$E$17+1,1))-AVERAGE(OFFSET($H$3,0,0,'Données projet'!$E$17+1,1))</f>
        <v>#N/A</v>
      </c>
      <c r="GF110" s="61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81"/>
        <v>0</v>
      </c>
      <c r="GP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1" t="e">
        <f t="shared" si="83"/>
        <v>#N/A</v>
      </c>
      <c r="GZ110" s="61" t="e">
        <f ca="1">AVERAGE(OFFSET($GY$3,0,0,'Données projet'!$E$18+1,1))-AVERAGE(OFFSET($H$3,0,0,'Données projet'!$E$18+1,1))</f>
        <v>#N/A</v>
      </c>
      <c r="HA110" s="61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84"/>
        <v>0</v>
      </c>
    </row>
    <row r="111" spans="1:218" s="5" customFormat="1" x14ac:dyDescent="0.45">
      <c r="A111" s="11">
        <f t="shared" si="85"/>
        <v>108</v>
      </c>
      <c r="B111" s="76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9">
        <f t="shared" si="56"/>
        <v>183.33333333333334</v>
      </c>
      <c r="I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-3.4106051316484809E-13</v>
      </c>
      <c r="O111" s="14">
        <f>N111*VLOOKUP('Données projet'!$B$9,Paramètres!$A$1:$I$88,3,0)*VLOOKUP('Données projet'!$B$9,Paramètres!$A$1:$I$88,5,0)</f>
        <v>-2.0395418687257919E-13</v>
      </c>
      <c r="P111" s="14" t="e">
        <f t="shared" si="87"/>
        <v>#NUM!</v>
      </c>
      <c r="Q111" s="22" t="e">
        <f t="shared" si="107"/>
        <v>#NUM!</v>
      </c>
      <c r="R111" s="61" t="e">
        <f t="shared" si="55"/>
        <v>#NUM!</v>
      </c>
      <c r="S111" s="61">
        <f ca="1">AVERAGE(OFFSET($R$3,0,0,'Données projet'!$E$9+1,1))-AVERAGE(OFFSET($H$3,0,0,'Données projet'!$E$9+1,1))</f>
        <v>445.53168057836308</v>
      </c>
      <c r="T111" s="61">
        <f t="shared" si="88"/>
        <v>326.78684646135241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189.57415290406644</v>
      </c>
      <c r="AA111" s="23">
        <f>EXP(-LN(2)/25)*AA110+(1-EXP(-LN(2)/25))/(LN(2)/25)*Calculateur!V111*Calculateur!X111*VLOOKUP('Données projet'!$B$9,Paramètres!$A$1:$I$88,3,0)*0.475*44/12</f>
        <v>13.587786355715059</v>
      </c>
      <c r="AB111" s="23">
        <f>EXP(-LN(2)/2)*AB110+(1-EXP(-LN(2)/2))/(LN(2)/2)*V111*Y111*VLOOKUP('Données projet'!$B$9,Paramètres!$A$1:$I$88,3,0)*0.475*44/12</f>
        <v>1.2812210191754716E-6</v>
      </c>
      <c r="AC111" s="24">
        <f t="shared" si="57"/>
        <v>203.16194054100251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-6.8212102632969618E-13</v>
      </c>
      <c r="AJ111" s="14">
        <f>AI111*VLOOKUP('Données projet'!$B$10,Paramètres!$A$1:$I$88,3,0)*VLOOKUP('Données projet'!$B$10,Paramètres!$A$1:$I$88,5,0)</f>
        <v>-3.1923264032229784E-13</v>
      </c>
      <c r="AK111" s="14" t="e">
        <f t="shared" si="89"/>
        <v>#NUM!</v>
      </c>
      <c r="AL111" s="22" t="e">
        <f t="shared" si="58"/>
        <v>#NUM!</v>
      </c>
      <c r="AM111" s="61" t="e">
        <f t="shared" si="59"/>
        <v>#NUM!</v>
      </c>
      <c r="AN111" s="61">
        <f ca="1">AVERAGE(OFFSET($AM$3,0,0,'Données projet'!$E$10+1,1))-AVERAGE(OFFSET($H$3,0,0,'Données projet'!$E$10+1,1))</f>
        <v>375.77859820466693</v>
      </c>
      <c r="AO111" s="61">
        <f t="shared" si="90"/>
        <v>242.84781402593856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303.51076582198874</v>
      </c>
      <c r="AV111" s="23">
        <f>EXP(-LN(2)/25)*AV110+(1-EXP(-LN(2)/25))/(LN(2)/25)*Calculateur!AQ111*Calculateur!AS111*VLOOKUP('Données projet'!$B$9,Paramètres!$A$1:$I$88,3,0)*0.475*44/12</f>
        <v>32.690810216983103</v>
      </c>
      <c r="AW111" s="23">
        <f>EXP(-LN(2)/2)*AW110+(1-EXP(-LN(2)/2))/(LN(2)/2)*AQ111*AT111*VLOOKUP('Données projet'!$B$9,Paramètres!$A$1:$I$88,3,0)*0.475*44/12</f>
        <v>0</v>
      </c>
      <c r="AX111" s="23">
        <f t="shared" si="60"/>
        <v>336.20157603897184</v>
      </c>
      <c r="AY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4.5</v>
      </c>
      <c r="BD111" s="13">
        <f>IF('Données projet'!$A$88&gt;35,BD110+BC111-BL110,IF(A111&lt;'Données projet'!$A$88,$BA$205^A111,IF(A111='Données projet'!$A$88,'Données projet'!$B$88,BD110+BC111-BL110)))</f>
        <v>179.50000000000028</v>
      </c>
      <c r="BE111" s="14">
        <f>BD111*VLOOKUP('Données projet'!$B$11,Paramètres!$A$1:$I$88,3,0)*VLOOKUP('Données projet'!$B$11,Paramètres!$A$1:$I$88,5,0)</f>
        <v>182.01300000000029</v>
      </c>
      <c r="BF111" s="14">
        <f t="shared" si="91"/>
        <v>45.76975128957362</v>
      </c>
      <c r="BG111" s="22">
        <f t="shared" si="61"/>
        <v>396.72162516267457</v>
      </c>
      <c r="BH111" s="61">
        <f t="shared" si="62"/>
        <v>676.2067093526739</v>
      </c>
      <c r="BI111" s="61">
        <f ca="1">AVERAGE(OFFSET($BH$3,0,0,'Données projet'!$E$11+1,1))-AVERAGE(OFFSET($H$3,0,0,'Données projet'!$E$11+1,1))</f>
        <v>433.57989081194</v>
      </c>
      <c r="BJ111" s="61">
        <f t="shared" si="92"/>
        <v>182.52060621271355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8.8978729166410773</v>
      </c>
      <c r="BQ111" s="23">
        <f>EXP(-LN(2)/25)*BQ110+(1-EXP(-LN(2)/25))/(LN(2)/25)*Calculateur!BL111*Calculateur!BN111*VLOOKUP('Données projet'!$B$9,Paramètres!$A$1:$I$88,3,0)*0.475*44/12</f>
        <v>4.0848190175049259</v>
      </c>
      <c r="BR111" s="23">
        <f>EXP(-LN(2)/2)*BR110+(1-EXP(-LN(2)/2))/(LN(2)/2)*BL111*BO111*VLOOKUP('Données projet'!$B$9,Paramètres!$A$1:$I$88,3,0)*0.475*44/12</f>
        <v>0</v>
      </c>
      <c r="BS111" s="24">
        <f t="shared" si="63"/>
        <v>12.982691934146004</v>
      </c>
      <c r="BT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1" t="e">
        <f t="shared" si="65"/>
        <v>#N/A</v>
      </c>
      <c r="CD111" s="61" t="e">
        <f ca="1">AVERAGE(OFFSET($CC$3,0,0,'Données projet'!$E$12+1,1))-AVERAGE(OFFSET($H$3,0,0,'Données projet'!$E$12+1,1))</f>
        <v>#N/A</v>
      </c>
      <c r="CE111" s="61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66"/>
        <v>0</v>
      </c>
      <c r="CO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1" t="e">
        <f t="shared" si="68"/>
        <v>#N/A</v>
      </c>
      <c r="CY111" s="61" t="e">
        <f ca="1">AVERAGE(OFFSET($CX$3,0,0,'Données projet'!$E$13+1,1))-AVERAGE(OFFSET($H$3,0,0,'Données projet'!$E$13+1,1))</f>
        <v>#N/A</v>
      </c>
      <c r="CZ111" s="61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69"/>
        <v>0</v>
      </c>
      <c r="DJ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1" t="e">
        <f t="shared" si="71"/>
        <v>#N/A</v>
      </c>
      <c r="DT111" s="61" t="e">
        <f ca="1">AVERAGE(OFFSET($DS$3,0,0,'Données projet'!$E$14+1,1))-AVERAGE(OFFSET($H$3,0,0,'Données projet'!$E$14+1,1))</f>
        <v>#N/A</v>
      </c>
      <c r="DU111" s="61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2"/>
        <v>0</v>
      </c>
      <c r="EE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1" t="e">
        <f t="shared" si="74"/>
        <v>#N/A</v>
      </c>
      <c r="EO111" s="61" t="e">
        <f ca="1">AVERAGE(OFFSET($EN$3,0,0,'Données projet'!$E$15+1,1))-AVERAGE(OFFSET($H$3,0,0,'Données projet'!$E$15+1,1))</f>
        <v>#N/A</v>
      </c>
      <c r="EP111" s="61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75"/>
        <v>0</v>
      </c>
      <c r="EZ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1" t="e">
        <f t="shared" si="77"/>
        <v>#N/A</v>
      </c>
      <c r="FJ111" s="61" t="e">
        <f ca="1">AVERAGE(OFFSET($FI$3,0,0,'Données projet'!$E$16+1,1))-AVERAGE(OFFSET($H$3,0,0,'Données projet'!$E$16+1,1))</f>
        <v>#N/A</v>
      </c>
      <c r="FK111" s="61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78"/>
        <v>0</v>
      </c>
      <c r="FU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1" t="e">
        <f t="shared" si="80"/>
        <v>#N/A</v>
      </c>
      <c r="GE111" s="61" t="e">
        <f ca="1">AVERAGE(OFFSET($GD$3,0,0,'Données projet'!$E$17+1,1))-AVERAGE(OFFSET($H$3,0,0,'Données projet'!$E$17+1,1))</f>
        <v>#N/A</v>
      </c>
      <c r="GF111" s="61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81"/>
        <v>0</v>
      </c>
      <c r="GP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1" t="e">
        <f t="shared" si="83"/>
        <v>#N/A</v>
      </c>
      <c r="GZ111" s="61" t="e">
        <f ca="1">AVERAGE(OFFSET($GY$3,0,0,'Données projet'!$E$18+1,1))-AVERAGE(OFFSET($H$3,0,0,'Données projet'!$E$18+1,1))</f>
        <v>#N/A</v>
      </c>
      <c r="HA111" s="61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84"/>
        <v>0</v>
      </c>
    </row>
    <row r="112" spans="1:218" s="5" customFormat="1" x14ac:dyDescent="0.45">
      <c r="A112" s="11">
        <f t="shared" si="85"/>
        <v>109</v>
      </c>
      <c r="B112" s="76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9">
        <f t="shared" si="56"/>
        <v>183.33333333333334</v>
      </c>
      <c r="I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-3.4106051316484809E-13</v>
      </c>
      <c r="O112" s="14">
        <f>N112*VLOOKUP('Données projet'!$B$9,Paramètres!$A$1:$I$88,3,0)*VLOOKUP('Données projet'!$B$9,Paramètres!$A$1:$I$88,5,0)</f>
        <v>-2.0395418687257919E-13</v>
      </c>
      <c r="P112" s="14" t="e">
        <f t="shared" si="87"/>
        <v>#NUM!</v>
      </c>
      <c r="Q112" s="22" t="e">
        <f t="shared" si="107"/>
        <v>#NUM!</v>
      </c>
      <c r="R112" s="61" t="e">
        <f t="shared" si="55"/>
        <v>#NUM!</v>
      </c>
      <c r="S112" s="61">
        <f ca="1">AVERAGE(OFFSET($R$3,0,0,'Données projet'!$E$9+1,1))-AVERAGE(OFFSET($H$3,0,0,'Données projet'!$E$9+1,1))</f>
        <v>445.53168057836308</v>
      </c>
      <c r="T112" s="61">
        <f t="shared" si="88"/>
        <v>326.78684646135241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185.85671939443358</v>
      </c>
      <c r="AA112" s="23">
        <f>EXP(-LN(2)/25)*AA111+(1-EXP(-LN(2)/25))/(LN(2)/25)*Calculateur!V112*Calculateur!X112*VLOOKUP('Données projet'!$B$9,Paramètres!$A$1:$I$88,3,0)*0.475*44/12</f>
        <v>13.216227623267402</v>
      </c>
      <c r="AB112" s="23">
        <f>EXP(-LN(2)/2)*AB111+(1-EXP(-LN(2)/2))/(LN(2)/2)*V112*Y112*VLOOKUP('Données projet'!$B$9,Paramètres!$A$1:$I$88,3,0)*0.475*44/12</f>
        <v>9.059600708577156E-7</v>
      </c>
      <c r="AC112" s="24">
        <f t="shared" si="57"/>
        <v>199.07294792366105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-6.8212102632969618E-13</v>
      </c>
      <c r="AJ112" s="14">
        <f>AI112*VLOOKUP('Données projet'!$B$10,Paramètres!$A$1:$I$88,3,0)*VLOOKUP('Données projet'!$B$10,Paramètres!$A$1:$I$88,5,0)</f>
        <v>-3.1923264032229784E-13</v>
      </c>
      <c r="AK112" s="14" t="e">
        <f t="shared" si="89"/>
        <v>#NUM!</v>
      </c>
      <c r="AL112" s="22" t="e">
        <f t="shared" si="58"/>
        <v>#NUM!</v>
      </c>
      <c r="AM112" s="61" t="e">
        <f t="shared" si="59"/>
        <v>#NUM!</v>
      </c>
      <c r="AN112" s="61">
        <f ca="1">AVERAGE(OFFSET($AM$3,0,0,'Données projet'!$E$10+1,1))-AVERAGE(OFFSET($H$3,0,0,'Données projet'!$E$10+1,1))</f>
        <v>375.77859820466693</v>
      </c>
      <c r="AO112" s="61">
        <f t="shared" si="90"/>
        <v>242.84781402593856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297.55910482750727</v>
      </c>
      <c r="AV112" s="23">
        <f>EXP(-LN(2)/25)*AV111+(1-EXP(-LN(2)/25))/(LN(2)/25)*Calculateur!AQ112*Calculateur!AS112*VLOOKUP('Données projet'!$B$9,Paramètres!$A$1:$I$88,3,0)*0.475*44/12</f>
        <v>31.796878292464704</v>
      </c>
      <c r="AW112" s="23">
        <f>EXP(-LN(2)/2)*AW111+(1-EXP(-LN(2)/2))/(LN(2)/2)*AQ112*AT112*VLOOKUP('Données projet'!$B$9,Paramètres!$A$1:$I$88,3,0)*0.475*44/12</f>
        <v>0</v>
      </c>
      <c r="AX112" s="23">
        <f t="shared" si="60"/>
        <v>329.355983119972</v>
      </c>
      <c r="AY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4.5</v>
      </c>
      <c r="BD112" s="13">
        <f>IF('Données projet'!$A$88&gt;35,BD111+BC112-BL111,IF(A112&lt;'Données projet'!$A$88,$BA$205^A112,IF(A112='Données projet'!$A$88,'Données projet'!$B$88,BD111+BC112-BL111)))</f>
        <v>184.00000000000028</v>
      </c>
      <c r="BE112" s="14">
        <f>BD112*VLOOKUP('Données projet'!$B$11,Paramètres!$A$1:$I$88,3,0)*VLOOKUP('Données projet'!$B$11,Paramètres!$A$1:$I$88,5,0)</f>
        <v>186.57600000000031</v>
      </c>
      <c r="BF112" s="14">
        <f t="shared" si="91"/>
        <v>46.782155731694317</v>
      </c>
      <c r="BG112" s="22">
        <f t="shared" si="61"/>
        <v>406.43212123270149</v>
      </c>
      <c r="BH112" s="61">
        <f t="shared" si="62"/>
        <v>686.15744158529083</v>
      </c>
      <c r="BI112" s="61">
        <f ca="1">AVERAGE(OFFSET($BH$3,0,0,'Données projet'!$E$11+1,1))-AVERAGE(OFFSET($H$3,0,0,'Données projet'!$E$11+1,1))</f>
        <v>433.57989081194</v>
      </c>
      <c r="BJ112" s="61">
        <f t="shared" si="92"/>
        <v>182.52060621271355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8.7233910559123373</v>
      </c>
      <c r="BQ112" s="23">
        <f>EXP(-LN(2)/25)*BQ111+(1-EXP(-LN(2)/25))/(LN(2)/25)*Calculateur!BL112*Calculateur!BN112*VLOOKUP('Données projet'!$B$9,Paramètres!$A$1:$I$88,3,0)*0.475*44/12</f>
        <v>3.9731194266599577</v>
      </c>
      <c r="BR112" s="23">
        <f>EXP(-LN(2)/2)*BR111+(1-EXP(-LN(2)/2))/(LN(2)/2)*BL112*BO112*VLOOKUP('Données projet'!$B$9,Paramètres!$A$1:$I$88,3,0)*0.475*44/12</f>
        <v>0</v>
      </c>
      <c r="BS112" s="24">
        <f t="shared" si="63"/>
        <v>12.696510482572295</v>
      </c>
      <c r="BT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1" t="e">
        <f t="shared" si="65"/>
        <v>#N/A</v>
      </c>
      <c r="CD112" s="61" t="e">
        <f ca="1">AVERAGE(OFFSET($CC$3,0,0,'Données projet'!$E$12+1,1))-AVERAGE(OFFSET($H$3,0,0,'Données projet'!$E$12+1,1))</f>
        <v>#N/A</v>
      </c>
      <c r="CE112" s="61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66"/>
        <v>0</v>
      </c>
      <c r="CO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1" t="e">
        <f t="shared" si="68"/>
        <v>#N/A</v>
      </c>
      <c r="CY112" s="61" t="e">
        <f ca="1">AVERAGE(OFFSET($CX$3,0,0,'Données projet'!$E$13+1,1))-AVERAGE(OFFSET($H$3,0,0,'Données projet'!$E$13+1,1))</f>
        <v>#N/A</v>
      </c>
      <c r="CZ112" s="61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69"/>
        <v>0</v>
      </c>
      <c r="DJ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1" t="e">
        <f t="shared" si="71"/>
        <v>#N/A</v>
      </c>
      <c r="DT112" s="61" t="e">
        <f ca="1">AVERAGE(OFFSET($DS$3,0,0,'Données projet'!$E$14+1,1))-AVERAGE(OFFSET($H$3,0,0,'Données projet'!$E$14+1,1))</f>
        <v>#N/A</v>
      </c>
      <c r="DU112" s="61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2"/>
        <v>0</v>
      </c>
      <c r="EE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1" t="e">
        <f t="shared" si="74"/>
        <v>#N/A</v>
      </c>
      <c r="EO112" s="61" t="e">
        <f ca="1">AVERAGE(OFFSET($EN$3,0,0,'Données projet'!$E$15+1,1))-AVERAGE(OFFSET($H$3,0,0,'Données projet'!$E$15+1,1))</f>
        <v>#N/A</v>
      </c>
      <c r="EP112" s="61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75"/>
        <v>0</v>
      </c>
      <c r="EZ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1" t="e">
        <f t="shared" si="77"/>
        <v>#N/A</v>
      </c>
      <c r="FJ112" s="61" t="e">
        <f ca="1">AVERAGE(OFFSET($FI$3,0,0,'Données projet'!$E$16+1,1))-AVERAGE(OFFSET($H$3,0,0,'Données projet'!$E$16+1,1))</f>
        <v>#N/A</v>
      </c>
      <c r="FK112" s="61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78"/>
        <v>0</v>
      </c>
      <c r="FU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1" t="e">
        <f t="shared" si="80"/>
        <v>#N/A</v>
      </c>
      <c r="GE112" s="61" t="e">
        <f ca="1">AVERAGE(OFFSET($GD$3,0,0,'Données projet'!$E$17+1,1))-AVERAGE(OFFSET($H$3,0,0,'Données projet'!$E$17+1,1))</f>
        <v>#N/A</v>
      </c>
      <c r="GF112" s="61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81"/>
        <v>0</v>
      </c>
      <c r="GP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1" t="e">
        <f t="shared" si="83"/>
        <v>#N/A</v>
      </c>
      <c r="GZ112" s="61" t="e">
        <f ca="1">AVERAGE(OFFSET($GY$3,0,0,'Données projet'!$E$18+1,1))-AVERAGE(OFFSET($H$3,0,0,'Données projet'!$E$18+1,1))</f>
        <v>#N/A</v>
      </c>
      <c r="HA112" s="61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84"/>
        <v>0</v>
      </c>
    </row>
    <row r="113" spans="1:218" s="5" customFormat="1" x14ac:dyDescent="0.45">
      <c r="A113" s="11">
        <f t="shared" si="85"/>
        <v>110</v>
      </c>
      <c r="B113" s="76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9">
        <f t="shared" si="56"/>
        <v>183.33333333333334</v>
      </c>
      <c r="I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-3.4106051316484809E-13</v>
      </c>
      <c r="O113" s="14">
        <f>N113*VLOOKUP('Données projet'!$B$9,Paramètres!$A$1:$I$88,3,0)*VLOOKUP('Données projet'!$B$9,Paramètres!$A$1:$I$88,5,0)</f>
        <v>-2.0395418687257919E-13</v>
      </c>
      <c r="P113" s="14" t="e">
        <f t="shared" si="87"/>
        <v>#NUM!</v>
      </c>
      <c r="Q113" s="22" t="e">
        <f t="shared" si="107"/>
        <v>#NUM!</v>
      </c>
      <c r="R113" s="61" t="e">
        <f t="shared" si="55"/>
        <v>#NUM!</v>
      </c>
      <c r="S113" s="61">
        <f ca="1">AVERAGE(OFFSET($R$3,0,0,'Données projet'!$E$9+1,1))-AVERAGE(OFFSET($H$3,0,0,'Données projet'!$E$9+1,1))</f>
        <v>445.53168057836308</v>
      </c>
      <c r="T113" s="61">
        <f t="shared" si="88"/>
        <v>326.78684646135241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182.21218248851406</v>
      </c>
      <c r="AA113" s="23">
        <f>EXP(-LN(2)/25)*AA112+(1-EXP(-LN(2)/25))/(LN(2)/25)*Calculateur!V113*Calculateur!X113*VLOOKUP('Données projet'!$B$9,Paramètres!$A$1:$I$88,3,0)*0.475*44/12</f>
        <v>12.85482918389795</v>
      </c>
      <c r="AB113" s="23">
        <f>EXP(-LN(2)/2)*AB112+(1-EXP(-LN(2)/2))/(LN(2)/2)*V113*Y113*VLOOKUP('Données projet'!$B$9,Paramètres!$A$1:$I$88,3,0)*0.475*44/12</f>
        <v>6.4061050958773579E-7</v>
      </c>
      <c r="AC113" s="24">
        <f t="shared" si="57"/>
        <v>195.06701231302253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-6.8212102632969618E-13</v>
      </c>
      <c r="AJ113" s="14">
        <f>AI113*VLOOKUP('Données projet'!$B$10,Paramètres!$A$1:$I$88,3,0)*VLOOKUP('Données projet'!$B$10,Paramètres!$A$1:$I$88,5,0)</f>
        <v>-3.1923264032229784E-13</v>
      </c>
      <c r="AK113" s="14" t="e">
        <f t="shared" si="89"/>
        <v>#NUM!</v>
      </c>
      <c r="AL113" s="22" t="e">
        <f t="shared" si="58"/>
        <v>#NUM!</v>
      </c>
      <c r="AM113" s="61" t="e">
        <f t="shared" si="59"/>
        <v>#NUM!</v>
      </c>
      <c r="AN113" s="61">
        <f ca="1">AVERAGE(OFFSET($AM$3,0,0,'Données projet'!$E$10+1,1))-AVERAGE(OFFSET($H$3,0,0,'Données projet'!$E$10+1,1))</f>
        <v>375.77859820466693</v>
      </c>
      <c r="AO113" s="61">
        <f t="shared" si="90"/>
        <v>242.84781402593856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291.72415227497282</v>
      </c>
      <c r="AV113" s="23">
        <f>EXP(-LN(2)/25)*AV112+(1-EXP(-LN(2)/25))/(LN(2)/25)*Calculateur!AQ113*Calculateur!AS113*VLOOKUP('Données projet'!$B$9,Paramètres!$A$1:$I$88,3,0)*0.475*44/12</f>
        <v>30.927390983432101</v>
      </c>
      <c r="AW113" s="23">
        <f>EXP(-LN(2)/2)*AW112+(1-EXP(-LN(2)/2))/(LN(2)/2)*AQ113*AT113*VLOOKUP('Données projet'!$B$9,Paramètres!$A$1:$I$88,3,0)*0.475*44/12</f>
        <v>0</v>
      </c>
      <c r="AX113" s="23">
        <f t="shared" si="60"/>
        <v>322.6515432584049</v>
      </c>
      <c r="AY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4.5</v>
      </c>
      <c r="BD113" s="13">
        <f>IF('Données projet'!$A$88&gt;35,BD112+BC113-BL112,IF(A113&lt;'Données projet'!$A$88,$BA$205^A113,IF(A113='Données projet'!$A$88,'Données projet'!$B$88,BD112+BC113-BL112)))</f>
        <v>188.50000000000028</v>
      </c>
      <c r="BE113" s="14">
        <f>BD113*VLOOKUP('Données projet'!$B$11,Paramètres!$A$1:$I$88,3,0)*VLOOKUP('Données projet'!$B$11,Paramètres!$A$1:$I$88,5,0)</f>
        <v>191.13900000000029</v>
      </c>
      <c r="BF113" s="14">
        <f t="shared" si="91"/>
        <v>47.791681917572589</v>
      </c>
      <c r="BG113" s="22">
        <f t="shared" si="61"/>
        <v>416.13760433977274</v>
      </c>
      <c r="BH113" s="61">
        <f t="shared" si="62"/>
        <v>696.09899329461859</v>
      </c>
      <c r="BI113" s="61">
        <f ca="1">AVERAGE(OFFSET($BH$3,0,0,'Données projet'!$E$11+1,1))-AVERAGE(OFFSET($H$3,0,0,'Données projet'!$E$11+1,1))</f>
        <v>433.57989081194</v>
      </c>
      <c r="BJ113" s="61">
        <f t="shared" si="92"/>
        <v>182.52060621271355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8.55233067804906</v>
      </c>
      <c r="BQ113" s="23">
        <f>EXP(-LN(2)/25)*BQ112+(1-EXP(-LN(2)/25))/(LN(2)/25)*Calculateur!BL113*Calculateur!BN113*VLOOKUP('Données projet'!$B$9,Paramètres!$A$1:$I$88,3,0)*0.475*44/12</f>
        <v>3.8644742670006713</v>
      </c>
      <c r="BR113" s="23">
        <f>EXP(-LN(2)/2)*BR112+(1-EXP(-LN(2)/2))/(LN(2)/2)*BL113*BO113*VLOOKUP('Données projet'!$B$9,Paramètres!$A$1:$I$88,3,0)*0.475*44/12</f>
        <v>0</v>
      </c>
      <c r="BS113" s="24">
        <f t="shared" si="63"/>
        <v>12.416804945049732</v>
      </c>
      <c r="BT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1" t="e">
        <f t="shared" si="65"/>
        <v>#N/A</v>
      </c>
      <c r="CD113" s="61" t="e">
        <f ca="1">AVERAGE(OFFSET($CC$3,0,0,'Données projet'!$E$12+1,1))-AVERAGE(OFFSET($H$3,0,0,'Données projet'!$E$12+1,1))</f>
        <v>#N/A</v>
      </c>
      <c r="CE113" s="61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66"/>
        <v>0</v>
      </c>
      <c r="CO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1" t="e">
        <f t="shared" si="68"/>
        <v>#N/A</v>
      </c>
      <c r="CY113" s="61" t="e">
        <f ca="1">AVERAGE(OFFSET($CX$3,0,0,'Données projet'!$E$13+1,1))-AVERAGE(OFFSET($H$3,0,0,'Données projet'!$E$13+1,1))</f>
        <v>#N/A</v>
      </c>
      <c r="CZ113" s="61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69"/>
        <v>0</v>
      </c>
      <c r="DJ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1" t="e">
        <f t="shared" si="71"/>
        <v>#N/A</v>
      </c>
      <c r="DT113" s="61" t="e">
        <f ca="1">AVERAGE(OFFSET($DS$3,0,0,'Données projet'!$E$14+1,1))-AVERAGE(OFFSET($H$3,0,0,'Données projet'!$E$14+1,1))</f>
        <v>#N/A</v>
      </c>
      <c r="DU113" s="61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2"/>
        <v>0</v>
      </c>
      <c r="EE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1" t="e">
        <f t="shared" si="74"/>
        <v>#N/A</v>
      </c>
      <c r="EO113" s="61" t="e">
        <f ca="1">AVERAGE(OFFSET($EN$3,0,0,'Données projet'!$E$15+1,1))-AVERAGE(OFFSET($H$3,0,0,'Données projet'!$E$15+1,1))</f>
        <v>#N/A</v>
      </c>
      <c r="EP113" s="61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75"/>
        <v>0</v>
      </c>
      <c r="EZ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1" t="e">
        <f t="shared" si="77"/>
        <v>#N/A</v>
      </c>
      <c r="FJ113" s="61" t="e">
        <f ca="1">AVERAGE(OFFSET($FI$3,0,0,'Données projet'!$E$16+1,1))-AVERAGE(OFFSET($H$3,0,0,'Données projet'!$E$16+1,1))</f>
        <v>#N/A</v>
      </c>
      <c r="FK113" s="61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78"/>
        <v>0</v>
      </c>
      <c r="FU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1" t="e">
        <f t="shared" si="80"/>
        <v>#N/A</v>
      </c>
      <c r="GE113" s="61" t="e">
        <f ca="1">AVERAGE(OFFSET($GD$3,0,0,'Données projet'!$E$17+1,1))-AVERAGE(OFFSET($H$3,0,0,'Données projet'!$E$17+1,1))</f>
        <v>#N/A</v>
      </c>
      <c r="GF113" s="61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81"/>
        <v>0</v>
      </c>
      <c r="GP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1" t="e">
        <f t="shared" si="83"/>
        <v>#N/A</v>
      </c>
      <c r="GZ113" s="61" t="e">
        <f ca="1">AVERAGE(OFFSET($GY$3,0,0,'Données projet'!$E$18+1,1))-AVERAGE(OFFSET($H$3,0,0,'Données projet'!$E$18+1,1))</f>
        <v>#N/A</v>
      </c>
      <c r="HA113" s="61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84"/>
        <v>0</v>
      </c>
    </row>
    <row r="114" spans="1:218" s="5" customFormat="1" x14ac:dyDescent="0.45">
      <c r="A114" s="11">
        <f t="shared" si="85"/>
        <v>111</v>
      </c>
      <c r="B114" s="76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9">
        <f t="shared" si="56"/>
        <v>183.33333333333334</v>
      </c>
      <c r="I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-3.4106051316484809E-13</v>
      </c>
      <c r="O114" s="14">
        <f>N114*VLOOKUP('Données projet'!$B$9,Paramètres!$A$1:$I$88,3,0)*VLOOKUP('Données projet'!$B$9,Paramètres!$A$1:$I$88,5,0)</f>
        <v>-2.0395418687257919E-13</v>
      </c>
      <c r="P114" s="14" t="e">
        <f t="shared" si="87"/>
        <v>#NUM!</v>
      </c>
      <c r="Q114" s="22" t="e">
        <f t="shared" si="107"/>
        <v>#NUM!</v>
      </c>
      <c r="R114" s="61" t="e">
        <f t="shared" si="55"/>
        <v>#NUM!</v>
      </c>
      <c r="S114" s="61">
        <f ca="1">AVERAGE(OFFSET($R$3,0,0,'Données projet'!$E$9+1,1))-AVERAGE(OFFSET($H$3,0,0,'Données projet'!$E$9+1,1))</f>
        <v>445.53168057836308</v>
      </c>
      <c r="T114" s="61">
        <f t="shared" si="88"/>
        <v>326.78684646135241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178.6391127283716</v>
      </c>
      <c r="AA114" s="23">
        <f>EXP(-LN(2)/25)*AA113+(1-EXP(-LN(2)/25))/(LN(2)/25)*Calculateur!V114*Calculateur!X114*VLOOKUP('Données projet'!$B$9,Paramètres!$A$1:$I$88,3,0)*0.475*44/12</f>
        <v>12.503313203858173</v>
      </c>
      <c r="AB114" s="23">
        <f>EXP(-LN(2)/2)*AB113+(1-EXP(-LN(2)/2))/(LN(2)/2)*V114*Y114*VLOOKUP('Données projet'!$B$9,Paramètres!$A$1:$I$88,3,0)*0.475*44/12</f>
        <v>4.529800354288578E-7</v>
      </c>
      <c r="AC114" s="24">
        <f t="shared" si="57"/>
        <v>191.1424263852098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-6.8212102632969618E-13</v>
      </c>
      <c r="AJ114" s="14">
        <f>AI114*VLOOKUP('Données projet'!$B$10,Paramètres!$A$1:$I$88,3,0)*VLOOKUP('Données projet'!$B$10,Paramètres!$A$1:$I$88,5,0)</f>
        <v>-3.1923264032229784E-13</v>
      </c>
      <c r="AK114" s="14" t="e">
        <f t="shared" si="89"/>
        <v>#NUM!</v>
      </c>
      <c r="AL114" s="22" t="e">
        <f t="shared" si="58"/>
        <v>#NUM!</v>
      </c>
      <c r="AM114" s="61" t="e">
        <f t="shared" si="59"/>
        <v>#NUM!</v>
      </c>
      <c r="AN114" s="61">
        <f ca="1">AVERAGE(OFFSET($AM$3,0,0,'Données projet'!$E$10+1,1))-AVERAGE(OFFSET($H$3,0,0,'Données projet'!$E$10+1,1))</f>
        <v>375.77859820466693</v>
      </c>
      <c r="AO114" s="61">
        <f t="shared" si="90"/>
        <v>242.84781402593856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286.00361958302398</v>
      </c>
      <c r="AV114" s="23">
        <f>EXP(-LN(2)/25)*AV113+(1-EXP(-LN(2)/25))/(LN(2)/25)*Calculateur!AQ114*Calculateur!AS114*VLOOKUP('Données projet'!$B$9,Paramètres!$A$1:$I$88,3,0)*0.475*44/12</f>
        <v>30.081679850589342</v>
      </c>
      <c r="AW114" s="23">
        <f>EXP(-LN(2)/2)*AW113+(1-EXP(-LN(2)/2))/(LN(2)/2)*AQ114*AT114*VLOOKUP('Données projet'!$B$9,Paramètres!$A$1:$I$88,3,0)*0.475*44/12</f>
        <v>0</v>
      </c>
      <c r="AX114" s="23">
        <f t="shared" si="60"/>
        <v>316.08529943361333</v>
      </c>
      <c r="AY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</v>
      </c>
      <c r="BD114" s="13">
        <f>IF('Données projet'!$A$88&gt;35,BD113+BC114-BL113,IF(A114&lt;'Données projet'!$A$88,$BA$205^A114,IF(A114='Données projet'!$A$88,'Données projet'!$B$88,BD113+BC114-BL113)))</f>
        <v>193.00000000000028</v>
      </c>
      <c r="BE114" s="14">
        <f>BD114*VLOOKUP('Données projet'!$B$11,Paramètres!$A$1:$I$88,3,0)*VLOOKUP('Données projet'!$B$11,Paramètres!$A$1:$I$88,5,0)</f>
        <v>195.70200000000031</v>
      </c>
      <c r="BF114" s="14">
        <f t="shared" si="91"/>
        <v>48.798406465169926</v>
      </c>
      <c r="BG114" s="22">
        <f t="shared" si="61"/>
        <v>425.83820792683815</v>
      </c>
      <c r="BH114" s="61">
        <f t="shared" si="62"/>
        <v>706.03157022146172</v>
      </c>
      <c r="BI114" s="61">
        <f ca="1">AVERAGE(OFFSET($BH$3,0,0,'Données projet'!$E$11+1,1))-AVERAGE(OFFSET($H$3,0,0,'Données projet'!$E$11+1,1))</f>
        <v>433.57989081194</v>
      </c>
      <c r="BJ114" s="61">
        <f t="shared" si="92"/>
        <v>182.52060621271355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8.3846246898591534</v>
      </c>
      <c r="BQ114" s="23">
        <f>EXP(-LN(2)/25)*BQ113+(1-EXP(-LN(2)/25))/(LN(2)/25)*Calculateur!BL114*Calculateur!BN114*VLOOKUP('Données projet'!$B$9,Paramètres!$A$1:$I$88,3,0)*0.475*44/12</f>
        <v>3.7588000149456686</v>
      </c>
      <c r="BR114" s="23">
        <f>EXP(-LN(2)/2)*BR113+(1-EXP(-LN(2)/2))/(LN(2)/2)*BL114*BO114*VLOOKUP('Données projet'!$B$9,Paramètres!$A$1:$I$88,3,0)*0.475*44/12</f>
        <v>0</v>
      </c>
      <c r="BS114" s="24">
        <f t="shared" si="63"/>
        <v>12.143424704804822</v>
      </c>
      <c r="BT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1" t="e">
        <f t="shared" si="65"/>
        <v>#N/A</v>
      </c>
      <c r="CD114" s="61" t="e">
        <f ca="1">AVERAGE(OFFSET($CC$3,0,0,'Données projet'!$E$12+1,1))-AVERAGE(OFFSET($H$3,0,0,'Données projet'!$E$12+1,1))</f>
        <v>#N/A</v>
      </c>
      <c r="CE114" s="61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66"/>
        <v>0</v>
      </c>
      <c r="CO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1" t="e">
        <f t="shared" si="68"/>
        <v>#N/A</v>
      </c>
      <c r="CY114" s="61" t="e">
        <f ca="1">AVERAGE(OFFSET($CX$3,0,0,'Données projet'!$E$13+1,1))-AVERAGE(OFFSET($H$3,0,0,'Données projet'!$E$13+1,1))</f>
        <v>#N/A</v>
      </c>
      <c r="CZ114" s="61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69"/>
        <v>0</v>
      </c>
      <c r="DJ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1" t="e">
        <f t="shared" si="71"/>
        <v>#N/A</v>
      </c>
      <c r="DT114" s="61" t="e">
        <f ca="1">AVERAGE(OFFSET($DS$3,0,0,'Données projet'!$E$14+1,1))-AVERAGE(OFFSET($H$3,0,0,'Données projet'!$E$14+1,1))</f>
        <v>#N/A</v>
      </c>
      <c r="DU114" s="61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2"/>
        <v>0</v>
      </c>
      <c r="EE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1" t="e">
        <f t="shared" si="74"/>
        <v>#N/A</v>
      </c>
      <c r="EO114" s="61" t="e">
        <f ca="1">AVERAGE(OFFSET($EN$3,0,0,'Données projet'!$E$15+1,1))-AVERAGE(OFFSET($H$3,0,0,'Données projet'!$E$15+1,1))</f>
        <v>#N/A</v>
      </c>
      <c r="EP114" s="61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75"/>
        <v>0</v>
      </c>
      <c r="EZ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1" t="e">
        <f t="shared" si="77"/>
        <v>#N/A</v>
      </c>
      <c r="FJ114" s="61" t="e">
        <f ca="1">AVERAGE(OFFSET($FI$3,0,0,'Données projet'!$E$16+1,1))-AVERAGE(OFFSET($H$3,0,0,'Données projet'!$E$16+1,1))</f>
        <v>#N/A</v>
      </c>
      <c r="FK114" s="61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78"/>
        <v>0</v>
      </c>
      <c r="FU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1" t="e">
        <f t="shared" si="80"/>
        <v>#N/A</v>
      </c>
      <c r="GE114" s="61" t="e">
        <f ca="1">AVERAGE(OFFSET($GD$3,0,0,'Données projet'!$E$17+1,1))-AVERAGE(OFFSET($H$3,0,0,'Données projet'!$E$17+1,1))</f>
        <v>#N/A</v>
      </c>
      <c r="GF114" s="61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81"/>
        <v>0</v>
      </c>
      <c r="GP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1" t="e">
        <f t="shared" si="83"/>
        <v>#N/A</v>
      </c>
      <c r="GZ114" s="61" t="e">
        <f ca="1">AVERAGE(OFFSET($GY$3,0,0,'Données projet'!$E$18+1,1))-AVERAGE(OFFSET($H$3,0,0,'Données projet'!$E$18+1,1))</f>
        <v>#N/A</v>
      </c>
      <c r="HA114" s="61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84"/>
        <v>0</v>
      </c>
    </row>
    <row r="115" spans="1:218" s="5" customFormat="1" x14ac:dyDescent="0.45">
      <c r="A115" s="11">
        <f t="shared" si="85"/>
        <v>112</v>
      </c>
      <c r="B115" s="76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9">
        <f t="shared" si="56"/>
        <v>183.33333333333334</v>
      </c>
      <c r="I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-3.4106051316484809E-13</v>
      </c>
      <c r="O115" s="14">
        <f>N115*VLOOKUP('Données projet'!$B$9,Paramètres!$A$1:$I$88,3,0)*VLOOKUP('Données projet'!$B$9,Paramètres!$A$1:$I$88,5,0)</f>
        <v>-2.0395418687257919E-13</v>
      </c>
      <c r="P115" s="14" t="e">
        <f t="shared" si="87"/>
        <v>#NUM!</v>
      </c>
      <c r="Q115" s="22" t="e">
        <f t="shared" si="107"/>
        <v>#NUM!</v>
      </c>
      <c r="R115" s="61" t="e">
        <f t="shared" si="55"/>
        <v>#NUM!</v>
      </c>
      <c r="S115" s="61">
        <f ca="1">AVERAGE(OFFSET($R$3,0,0,'Données projet'!$E$9+1,1))-AVERAGE(OFFSET($H$3,0,0,'Données projet'!$E$9+1,1))</f>
        <v>445.53168057836308</v>
      </c>
      <c r="T115" s="61">
        <f t="shared" si="88"/>
        <v>326.78684646135241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175.13610868686817</v>
      </c>
      <c r="AA115" s="23">
        <f>EXP(-LN(2)/25)*AA114+(1-EXP(-LN(2)/25))/(LN(2)/25)*Calculateur!V115*Calculateur!X115*VLOOKUP('Données projet'!$B$9,Paramètres!$A$1:$I$88,3,0)*0.475*44/12</f>
        <v>12.161409446778007</v>
      </c>
      <c r="AB115" s="23">
        <f>EXP(-LN(2)/2)*AB114+(1-EXP(-LN(2)/2))/(LN(2)/2)*V115*Y115*VLOOKUP('Données projet'!$B$9,Paramètres!$A$1:$I$88,3,0)*0.475*44/12</f>
        <v>3.203052547938679E-7</v>
      </c>
      <c r="AC115" s="24">
        <f t="shared" si="57"/>
        <v>187.29751845395143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-6.8212102632969618E-13</v>
      </c>
      <c r="AJ115" s="14">
        <f>AI115*VLOOKUP('Données projet'!$B$10,Paramètres!$A$1:$I$88,3,0)*VLOOKUP('Données projet'!$B$10,Paramètres!$A$1:$I$88,5,0)</f>
        <v>-3.1923264032229784E-13</v>
      </c>
      <c r="AK115" s="14" t="e">
        <f t="shared" si="89"/>
        <v>#NUM!</v>
      </c>
      <c r="AL115" s="22" t="e">
        <f t="shared" si="58"/>
        <v>#NUM!</v>
      </c>
      <c r="AM115" s="61" t="e">
        <f t="shared" si="59"/>
        <v>#NUM!</v>
      </c>
      <c r="AN115" s="61">
        <f ca="1">AVERAGE(OFFSET($AM$3,0,0,'Données projet'!$E$10+1,1))-AVERAGE(OFFSET($H$3,0,0,'Données projet'!$E$10+1,1))</f>
        <v>375.77859820466693</v>
      </c>
      <c r="AO115" s="61">
        <f t="shared" si="90"/>
        <v>242.84781402593856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280.3952630479838</v>
      </c>
      <c r="AV115" s="23">
        <f>EXP(-LN(2)/25)*AV114+(1-EXP(-LN(2)/25))/(LN(2)/25)*Calculateur!AQ115*Calculateur!AS115*VLOOKUP('Données projet'!$B$9,Paramètres!$A$1:$I$88,3,0)*0.475*44/12</f>
        <v>29.259094733148185</v>
      </c>
      <c r="AW115" s="23">
        <f>EXP(-LN(2)/2)*AW114+(1-EXP(-LN(2)/2))/(LN(2)/2)*AQ115*AT115*VLOOKUP('Données projet'!$B$9,Paramètres!$A$1:$I$88,3,0)*0.475*44/12</f>
        <v>0</v>
      </c>
      <c r="AX115" s="23">
        <f t="shared" si="60"/>
        <v>309.65435778113198</v>
      </c>
      <c r="AY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</v>
      </c>
      <c r="BD115" s="13">
        <f>IF('Données projet'!$A$88&gt;35,BD114+BC115-BL114,IF(A115&lt;'Données projet'!$A$88,$BA$205^A115,IF(A115='Données projet'!$A$88,'Données projet'!$B$88,BD114+BC115-BL114)))</f>
        <v>197.50000000000028</v>
      </c>
      <c r="BE115" s="14">
        <f>BD115*VLOOKUP('Données projet'!$B$11,Paramètres!$A$1:$I$88,3,0)*VLOOKUP('Données projet'!$B$11,Paramètres!$A$1:$I$88,5,0)</f>
        <v>200.26500000000033</v>
      </c>
      <c r="BF115" s="14">
        <f t="shared" si="91"/>
        <v>49.802402215745097</v>
      </c>
      <c r="BG115" s="22">
        <f t="shared" si="61"/>
        <v>435.53405885908995</v>
      </c>
      <c r="BH115" s="61">
        <f t="shared" si="62"/>
        <v>715.95537027466082</v>
      </c>
      <c r="BI115" s="61">
        <f ca="1">AVERAGE(OFFSET($BH$3,0,0,'Données projet'!$E$11+1,1))-AVERAGE(OFFSET($H$3,0,0,'Données projet'!$E$11+1,1))</f>
        <v>433.57989081194</v>
      </c>
      <c r="BJ115" s="61">
        <f t="shared" si="92"/>
        <v>182.52060621271355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8.2202073138070997</v>
      </c>
      <c r="BQ115" s="23">
        <f>EXP(-LN(2)/25)*BQ114+(1-EXP(-LN(2)/25))/(LN(2)/25)*Calculateur!BL115*Calculateur!BN115*VLOOKUP('Données projet'!$B$9,Paramètres!$A$1:$I$88,3,0)*0.475*44/12</f>
        <v>3.6560154308702772</v>
      </c>
      <c r="BR115" s="23">
        <f>EXP(-LN(2)/2)*BR114+(1-EXP(-LN(2)/2))/(LN(2)/2)*BL115*BO115*VLOOKUP('Données projet'!$B$9,Paramètres!$A$1:$I$88,3,0)*0.475*44/12</f>
        <v>0</v>
      </c>
      <c r="BS115" s="24">
        <f t="shared" si="63"/>
        <v>11.876222744677378</v>
      </c>
      <c r="BT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1" t="e">
        <f t="shared" si="65"/>
        <v>#N/A</v>
      </c>
      <c r="CD115" s="61" t="e">
        <f ca="1">AVERAGE(OFFSET($CC$3,0,0,'Données projet'!$E$12+1,1))-AVERAGE(OFFSET($H$3,0,0,'Données projet'!$E$12+1,1))</f>
        <v>#N/A</v>
      </c>
      <c r="CE115" s="61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66"/>
        <v>0</v>
      </c>
      <c r="CO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1" t="e">
        <f t="shared" si="68"/>
        <v>#N/A</v>
      </c>
      <c r="CY115" s="61" t="e">
        <f ca="1">AVERAGE(OFFSET($CX$3,0,0,'Données projet'!$E$13+1,1))-AVERAGE(OFFSET($H$3,0,0,'Données projet'!$E$13+1,1))</f>
        <v>#N/A</v>
      </c>
      <c r="CZ115" s="61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69"/>
        <v>0</v>
      </c>
      <c r="DJ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1" t="e">
        <f t="shared" si="71"/>
        <v>#N/A</v>
      </c>
      <c r="DT115" s="61" t="e">
        <f ca="1">AVERAGE(OFFSET($DS$3,0,0,'Données projet'!$E$14+1,1))-AVERAGE(OFFSET($H$3,0,0,'Données projet'!$E$14+1,1))</f>
        <v>#N/A</v>
      </c>
      <c r="DU115" s="61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2"/>
        <v>0</v>
      </c>
      <c r="EE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1" t="e">
        <f t="shared" si="74"/>
        <v>#N/A</v>
      </c>
      <c r="EO115" s="61" t="e">
        <f ca="1">AVERAGE(OFFSET($EN$3,0,0,'Données projet'!$E$15+1,1))-AVERAGE(OFFSET($H$3,0,0,'Données projet'!$E$15+1,1))</f>
        <v>#N/A</v>
      </c>
      <c r="EP115" s="61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75"/>
        <v>0</v>
      </c>
      <c r="EZ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1" t="e">
        <f t="shared" si="77"/>
        <v>#N/A</v>
      </c>
      <c r="FJ115" s="61" t="e">
        <f ca="1">AVERAGE(OFFSET($FI$3,0,0,'Données projet'!$E$16+1,1))-AVERAGE(OFFSET($H$3,0,0,'Données projet'!$E$16+1,1))</f>
        <v>#N/A</v>
      </c>
      <c r="FK115" s="61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78"/>
        <v>0</v>
      </c>
      <c r="FU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1" t="e">
        <f t="shared" si="80"/>
        <v>#N/A</v>
      </c>
      <c r="GE115" s="61" t="e">
        <f ca="1">AVERAGE(OFFSET($GD$3,0,0,'Données projet'!$E$17+1,1))-AVERAGE(OFFSET($H$3,0,0,'Données projet'!$E$17+1,1))</f>
        <v>#N/A</v>
      </c>
      <c r="GF115" s="61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81"/>
        <v>0</v>
      </c>
      <c r="GP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1" t="e">
        <f t="shared" si="83"/>
        <v>#N/A</v>
      </c>
      <c r="GZ115" s="61" t="e">
        <f ca="1">AVERAGE(OFFSET($GY$3,0,0,'Données projet'!$E$18+1,1))-AVERAGE(OFFSET($H$3,0,0,'Données projet'!$E$18+1,1))</f>
        <v>#N/A</v>
      </c>
      <c r="HA115" s="61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84"/>
        <v>0</v>
      </c>
    </row>
    <row r="116" spans="1:218" s="5" customFormat="1" x14ac:dyDescent="0.45">
      <c r="A116" s="11">
        <f t="shared" si="85"/>
        <v>113</v>
      </c>
      <c r="B116" s="76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9">
        <f t="shared" si="56"/>
        <v>183.33333333333334</v>
      </c>
      <c r="I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-3.4106051316484809E-13</v>
      </c>
      <c r="O116" s="14">
        <f>N116*VLOOKUP('Données projet'!$B$9,Paramètres!$A$1:$I$88,3,0)*VLOOKUP('Données projet'!$B$9,Paramètres!$A$1:$I$88,5,0)</f>
        <v>-2.0395418687257919E-13</v>
      </c>
      <c r="P116" s="14" t="e">
        <f t="shared" si="87"/>
        <v>#NUM!</v>
      </c>
      <c r="Q116" s="22" t="e">
        <f t="shared" si="107"/>
        <v>#NUM!</v>
      </c>
      <c r="R116" s="61" t="e">
        <f t="shared" si="55"/>
        <v>#NUM!</v>
      </c>
      <c r="S116" s="61">
        <f ca="1">AVERAGE(OFFSET($R$3,0,0,'Données projet'!$E$9+1,1))-AVERAGE(OFFSET($H$3,0,0,'Données projet'!$E$9+1,1))</f>
        <v>445.53168057836308</v>
      </c>
      <c r="T116" s="61">
        <f t="shared" si="88"/>
        <v>326.78684646135241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171.70179641799714</v>
      </c>
      <c r="AA116" s="23">
        <f>EXP(-LN(2)/25)*AA115+(1-EXP(-LN(2)/25))/(LN(2)/25)*Calculateur!V116*Calculateur!X116*VLOOKUP('Données projet'!$B$9,Paramètres!$A$1:$I$88,3,0)*0.475*44/12</f>
        <v>11.828855065915135</v>
      </c>
      <c r="AB116" s="23">
        <f>EXP(-LN(2)/2)*AB115+(1-EXP(-LN(2)/2))/(LN(2)/2)*V116*Y116*VLOOKUP('Données projet'!$B$9,Paramètres!$A$1:$I$88,3,0)*0.475*44/12</f>
        <v>2.264900177144289E-7</v>
      </c>
      <c r="AC116" s="24">
        <f t="shared" si="57"/>
        <v>183.53065171040228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-6.8212102632969618E-13</v>
      </c>
      <c r="AJ116" s="14">
        <f>AI116*VLOOKUP('Données projet'!$B$10,Paramètres!$A$1:$I$88,3,0)*VLOOKUP('Données projet'!$B$10,Paramètres!$A$1:$I$88,5,0)</f>
        <v>-3.1923264032229784E-13</v>
      </c>
      <c r="AK116" s="14" t="e">
        <f t="shared" si="89"/>
        <v>#NUM!</v>
      </c>
      <c r="AL116" s="22" t="e">
        <f t="shared" si="58"/>
        <v>#NUM!</v>
      </c>
      <c r="AM116" s="61" t="e">
        <f t="shared" si="59"/>
        <v>#NUM!</v>
      </c>
      <c r="AN116" s="61">
        <f ca="1">AVERAGE(OFFSET($AM$3,0,0,'Données projet'!$E$10+1,1))-AVERAGE(OFFSET($H$3,0,0,'Données projet'!$E$10+1,1))</f>
        <v>375.77859820466693</v>
      </c>
      <c r="AO116" s="61">
        <f t="shared" si="90"/>
        <v>242.84781402593856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274.89688296383605</v>
      </c>
      <c r="AV116" s="23">
        <f>EXP(-LN(2)/25)*AV115+(1-EXP(-LN(2)/25))/(LN(2)/25)*Calculateur!AQ116*Calculateur!AS116*VLOOKUP('Données projet'!$B$9,Paramètres!$A$1:$I$88,3,0)*0.475*44/12</f>
        <v>28.459003249001327</v>
      </c>
      <c r="AW116" s="23">
        <f>EXP(-LN(2)/2)*AW115+(1-EXP(-LN(2)/2))/(LN(2)/2)*AQ116*AT116*VLOOKUP('Données projet'!$B$9,Paramètres!$A$1:$I$88,3,0)*0.475*44/12</f>
        <v>0</v>
      </c>
      <c r="AX116" s="23">
        <f t="shared" si="60"/>
        <v>303.35588621283739</v>
      </c>
      <c r="AY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>
        <f>VLOOKUP(A116,'Données projet'!$A$87:$I$107,2,0)</f>
        <v>202</v>
      </c>
      <c r="BB116" s="13">
        <f>VLOOKUP(A116,'Données projet'!$A$87:$I$107,9,0)</f>
        <v>4.5</v>
      </c>
      <c r="BC116" s="13">
        <f t="array" ref="BC116">INDEX(BB:BB,MIN(IF(ISNUMBER(BB116:BB312),ROW(BB116:BB312),"")))</f>
        <v>4.5</v>
      </c>
      <c r="BD116" s="13">
        <f>IF('Données projet'!$A$88&gt;35,BD115+BC116-BL115,IF(A116&lt;'Données projet'!$A$88,$BA$205^A116,IF(A116='Données projet'!$A$88,'Données projet'!$B$88,BD115+BC116-BL115)))</f>
        <v>202.00000000000028</v>
      </c>
      <c r="BE116" s="14">
        <f>BD116*VLOOKUP('Données projet'!$B$11,Paramètres!$A$1:$I$88,3,0)*VLOOKUP('Données projet'!$B$11,Paramètres!$A$1:$I$88,5,0)</f>
        <v>204.82800000000029</v>
      </c>
      <c r="BF116" s="14">
        <f t="shared" si="91"/>
        <v>50.80373850176295</v>
      </c>
      <c r="BG116" s="22">
        <f t="shared" si="61"/>
        <v>445.22527789057102</v>
      </c>
      <c r="BH116" s="61">
        <f t="shared" si="62"/>
        <v>725.87058401945865</v>
      </c>
      <c r="BI116" s="61">
        <f ca="1">AVERAGE(OFFSET($BH$3,0,0,'Données projet'!$E$11+1,1))-AVERAGE(OFFSET($H$3,0,0,'Données projet'!$E$11+1,1))</f>
        <v>433.57989081194</v>
      </c>
      <c r="BJ116" s="61">
        <f t="shared" si="92"/>
        <v>182.52060621271355</v>
      </c>
      <c r="BK116" s="16">
        <f>IF(ISNA(VLOOKUP(A116,'Données projet'!$A$87:$I$107,3,0)),0,VLOOKUP(A116,'Données projet'!$A$87:$I$107,3,0))</f>
        <v>6</v>
      </c>
      <c r="BL116" s="16">
        <f>IF(ISNA(VLOOKUP(A116,'Données projet'!$A$87:$I$107,4,0)),0,VLOOKUP(A116,'Données projet'!$A$87:$I$107,4,0))</f>
        <v>32</v>
      </c>
      <c r="BM116" s="17">
        <f>IF(ISNA(VLOOKUP(A116,'Données projet'!$A$87:$I$107,5,0)),0%,VLOOKUP(A116,'Données projet'!$A$87:$I$107,5,0)*VLOOKUP('Données projet'!$B$11,Paramètres!$A$1:$I$88,7,0))</f>
        <v>0.38700000000000001</v>
      </c>
      <c r="BN116" s="17">
        <f>IF(ISNA(VLOOKUP(A116,'Données projet'!$A$87:$I$107,6,0)),0%,VLOOKUP(A116,'Données projet'!$A$87:$I$107,6,0)*VLOOKUP('Données projet'!$B$11,Paramètres!$A$1:$I$88,7,0))</f>
        <v>4.3000000000000003E-2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17.883062243480364</v>
      </c>
      <c r="BQ116" s="23">
        <f>EXP(-LN(2)/25)*BQ115+(1-EXP(-LN(2)/25))/(LN(2)/25)*Calculateur!BL116*Calculateur!BN116*VLOOKUP('Données projet'!$B$9,Paramètres!$A$1:$I$88,3,0)*0.475*44/12</f>
        <v>4.6433045144649858</v>
      </c>
      <c r="BR116" s="23">
        <f>EXP(-LN(2)/2)*BR115+(1-EXP(-LN(2)/2))/(LN(2)/2)*BL116*BO116*VLOOKUP('Données projet'!$B$9,Paramètres!$A$1:$I$88,3,0)*0.475*44/12</f>
        <v>0</v>
      </c>
      <c r="BS116" s="24">
        <f t="shared" si="63"/>
        <v>22.52636675794535</v>
      </c>
      <c r="BT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1" t="e">
        <f t="shared" si="65"/>
        <v>#N/A</v>
      </c>
      <c r="CD116" s="61" t="e">
        <f ca="1">AVERAGE(OFFSET($CC$3,0,0,'Données projet'!$E$12+1,1))-AVERAGE(OFFSET($H$3,0,0,'Données projet'!$E$12+1,1))</f>
        <v>#N/A</v>
      </c>
      <c r="CE116" s="61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66"/>
        <v>0</v>
      </c>
      <c r="CO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1" t="e">
        <f t="shared" si="68"/>
        <v>#N/A</v>
      </c>
      <c r="CY116" s="61" t="e">
        <f ca="1">AVERAGE(OFFSET($CX$3,0,0,'Données projet'!$E$13+1,1))-AVERAGE(OFFSET($H$3,0,0,'Données projet'!$E$13+1,1))</f>
        <v>#N/A</v>
      </c>
      <c r="CZ116" s="61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69"/>
        <v>0</v>
      </c>
      <c r="DJ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1" t="e">
        <f t="shared" si="71"/>
        <v>#N/A</v>
      </c>
      <c r="DT116" s="61" t="e">
        <f ca="1">AVERAGE(OFFSET($DS$3,0,0,'Données projet'!$E$14+1,1))-AVERAGE(OFFSET($H$3,0,0,'Données projet'!$E$14+1,1))</f>
        <v>#N/A</v>
      </c>
      <c r="DU116" s="61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2"/>
        <v>0</v>
      </c>
      <c r="EE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1" t="e">
        <f t="shared" si="74"/>
        <v>#N/A</v>
      </c>
      <c r="EO116" s="61" t="e">
        <f ca="1">AVERAGE(OFFSET($EN$3,0,0,'Données projet'!$E$15+1,1))-AVERAGE(OFFSET($H$3,0,0,'Données projet'!$E$15+1,1))</f>
        <v>#N/A</v>
      </c>
      <c r="EP116" s="61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75"/>
        <v>0</v>
      </c>
      <c r="EZ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1" t="e">
        <f t="shared" si="77"/>
        <v>#N/A</v>
      </c>
      <c r="FJ116" s="61" t="e">
        <f ca="1">AVERAGE(OFFSET($FI$3,0,0,'Données projet'!$E$16+1,1))-AVERAGE(OFFSET($H$3,0,0,'Données projet'!$E$16+1,1))</f>
        <v>#N/A</v>
      </c>
      <c r="FK116" s="61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78"/>
        <v>0</v>
      </c>
      <c r="FU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1" t="e">
        <f t="shared" si="80"/>
        <v>#N/A</v>
      </c>
      <c r="GE116" s="61" t="e">
        <f ca="1">AVERAGE(OFFSET($GD$3,0,0,'Données projet'!$E$17+1,1))-AVERAGE(OFFSET($H$3,0,0,'Données projet'!$E$17+1,1))</f>
        <v>#N/A</v>
      </c>
      <c r="GF116" s="61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81"/>
        <v>0</v>
      </c>
      <c r="GP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1" t="e">
        <f t="shared" si="83"/>
        <v>#N/A</v>
      </c>
      <c r="GZ116" s="61" t="e">
        <f ca="1">AVERAGE(OFFSET($GY$3,0,0,'Données projet'!$E$18+1,1))-AVERAGE(OFFSET($H$3,0,0,'Données projet'!$E$18+1,1))</f>
        <v>#N/A</v>
      </c>
      <c r="HA116" s="61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84"/>
        <v>0</v>
      </c>
    </row>
    <row r="117" spans="1:218" s="5" customFormat="1" x14ac:dyDescent="0.45">
      <c r="A117" s="11">
        <f t="shared" si="85"/>
        <v>114</v>
      </c>
      <c r="B117" s="76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9">
        <f t="shared" si="56"/>
        <v>183.33333333333334</v>
      </c>
      <c r="I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-3.4106051316484809E-13</v>
      </c>
      <c r="O117" s="14">
        <f>N117*VLOOKUP('Données projet'!$B$9,Paramètres!$A$1:$I$88,3,0)*VLOOKUP('Données projet'!$B$9,Paramètres!$A$1:$I$88,5,0)</f>
        <v>-2.0395418687257919E-13</v>
      </c>
      <c r="P117" s="14" t="e">
        <f t="shared" si="87"/>
        <v>#NUM!</v>
      </c>
      <c r="Q117" s="22" t="e">
        <f t="shared" si="107"/>
        <v>#NUM!</v>
      </c>
      <c r="R117" s="61" t="e">
        <f t="shared" si="55"/>
        <v>#NUM!</v>
      </c>
      <c r="S117" s="61">
        <f ca="1">AVERAGE(OFFSET($R$3,0,0,'Données projet'!$E$9+1,1))-AVERAGE(OFFSET($H$3,0,0,'Données projet'!$E$9+1,1))</f>
        <v>445.53168057836308</v>
      </c>
      <c r="T117" s="61">
        <f t="shared" si="88"/>
        <v>326.78684646135241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168.33482891799503</v>
      </c>
      <c r="AA117" s="23">
        <f>EXP(-LN(2)/25)*AA116+(1-EXP(-LN(2)/25))/(LN(2)/25)*Calculateur!V117*Calculateur!X117*VLOOKUP('Données projet'!$B$9,Paramètres!$A$1:$I$88,3,0)*0.475*44/12</f>
        <v>11.505394402085233</v>
      </c>
      <c r="AB117" s="23">
        <f>EXP(-LN(2)/2)*AB116+(1-EXP(-LN(2)/2))/(LN(2)/2)*V117*Y117*VLOOKUP('Données projet'!$B$9,Paramètres!$A$1:$I$88,3,0)*0.475*44/12</f>
        <v>1.6015262739693395E-7</v>
      </c>
      <c r="AC117" s="24">
        <f t="shared" si="57"/>
        <v>179.84022348023291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-6.8212102632969618E-13</v>
      </c>
      <c r="AJ117" s="14">
        <f>AI117*VLOOKUP('Données projet'!$B$10,Paramètres!$A$1:$I$88,3,0)*VLOOKUP('Données projet'!$B$10,Paramètres!$A$1:$I$88,5,0)</f>
        <v>-3.1923264032229784E-13</v>
      </c>
      <c r="AK117" s="14" t="e">
        <f t="shared" si="89"/>
        <v>#NUM!</v>
      </c>
      <c r="AL117" s="22" t="e">
        <f t="shared" si="58"/>
        <v>#NUM!</v>
      </c>
      <c r="AM117" s="61" t="e">
        <f t="shared" si="59"/>
        <v>#NUM!</v>
      </c>
      <c r="AN117" s="61">
        <f ca="1">AVERAGE(OFFSET($AM$3,0,0,'Données projet'!$E$10+1,1))-AVERAGE(OFFSET($H$3,0,0,'Données projet'!$E$10+1,1))</f>
        <v>375.77859820466693</v>
      </c>
      <c r="AO117" s="61">
        <f t="shared" si="90"/>
        <v>242.84781402593856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269.50632275945776</v>
      </c>
      <c r="AV117" s="23">
        <f>EXP(-LN(2)/25)*AV116+(1-EXP(-LN(2)/25))/(LN(2)/25)*Calculateur!AQ117*Calculateur!AS117*VLOOKUP('Données projet'!$B$9,Paramètres!$A$1:$I$88,3,0)*0.475*44/12</f>
        <v>27.680790308563449</v>
      </c>
      <c r="AW117" s="23">
        <f>EXP(-LN(2)/2)*AW116+(1-EXP(-LN(2)/2))/(LN(2)/2)*AQ117*AT117*VLOOKUP('Données projet'!$B$9,Paramètres!$A$1:$I$88,3,0)*0.475*44/12</f>
        <v>0</v>
      </c>
      <c r="AX117" s="23">
        <f t="shared" si="60"/>
        <v>297.18711306802123</v>
      </c>
      <c r="AY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4.583333333333333</v>
      </c>
      <c r="BD117" s="13">
        <f>IF('Données projet'!$A$88&gt;35,BD116+BC117-BL116,IF(A117&lt;'Données projet'!$A$88,$BA$205^A117,IF(A117='Données projet'!$A$88,'Données projet'!$B$88,BD116+BC117-BL116)))</f>
        <v>174.58333333333363</v>
      </c>
      <c r="BE117" s="14">
        <f>BD117*VLOOKUP('Données projet'!$B$11,Paramètres!$A$1:$I$88,3,0)*VLOOKUP('Données projet'!$B$11,Paramètres!$A$1:$I$88,5,0)</f>
        <v>177.02750000000029</v>
      </c>
      <c r="BF117" s="14">
        <f t="shared" si="91"/>
        <v>44.660220134711501</v>
      </c>
      <c r="BG117" s="22">
        <f t="shared" si="61"/>
        <v>386.10611256795636</v>
      </c>
      <c r="BH117" s="61">
        <f t="shared" si="62"/>
        <v>666.97152760266181</v>
      </c>
      <c r="BI117" s="61">
        <f ca="1">AVERAGE(OFFSET($BH$3,0,0,'Données projet'!$E$11+1,1))-AVERAGE(OFFSET($H$3,0,0,'Données projet'!$E$11+1,1))</f>
        <v>433.57989081194</v>
      </c>
      <c r="BJ117" s="61">
        <f t="shared" si="92"/>
        <v>182.52060621271355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17.532386300476649</v>
      </c>
      <c r="BQ117" s="23">
        <f>EXP(-LN(2)/25)*BQ116+(1-EXP(-LN(2)/25))/(LN(2)/25)*Calculateur!BL117*Calculateur!BN117*VLOOKUP('Données projet'!$B$9,Paramètres!$A$1:$I$88,3,0)*0.475*44/12</f>
        <v>4.5163331083361689</v>
      </c>
      <c r="BR117" s="23">
        <f>EXP(-LN(2)/2)*BR116+(1-EXP(-LN(2)/2))/(LN(2)/2)*BL117*BO117*VLOOKUP('Données projet'!$B$9,Paramètres!$A$1:$I$88,3,0)*0.475*44/12</f>
        <v>0</v>
      </c>
      <c r="BS117" s="24">
        <f t="shared" si="63"/>
        <v>22.048719408812818</v>
      </c>
      <c r="BT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1" t="e">
        <f t="shared" si="65"/>
        <v>#N/A</v>
      </c>
      <c r="CD117" s="61" t="e">
        <f ca="1">AVERAGE(OFFSET($CC$3,0,0,'Données projet'!$E$12+1,1))-AVERAGE(OFFSET($H$3,0,0,'Données projet'!$E$12+1,1))</f>
        <v>#N/A</v>
      </c>
      <c r="CE117" s="61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66"/>
        <v>0</v>
      </c>
      <c r="CO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1" t="e">
        <f t="shared" si="68"/>
        <v>#N/A</v>
      </c>
      <c r="CY117" s="61" t="e">
        <f ca="1">AVERAGE(OFFSET($CX$3,0,0,'Données projet'!$E$13+1,1))-AVERAGE(OFFSET($H$3,0,0,'Données projet'!$E$13+1,1))</f>
        <v>#N/A</v>
      </c>
      <c r="CZ117" s="61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69"/>
        <v>0</v>
      </c>
      <c r="DJ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1" t="e">
        <f t="shared" si="71"/>
        <v>#N/A</v>
      </c>
      <c r="DT117" s="61" t="e">
        <f ca="1">AVERAGE(OFFSET($DS$3,0,0,'Données projet'!$E$14+1,1))-AVERAGE(OFFSET($H$3,0,0,'Données projet'!$E$14+1,1))</f>
        <v>#N/A</v>
      </c>
      <c r="DU117" s="61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2"/>
        <v>0</v>
      </c>
      <c r="EE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1" t="e">
        <f t="shared" si="74"/>
        <v>#N/A</v>
      </c>
      <c r="EO117" s="61" t="e">
        <f ca="1">AVERAGE(OFFSET($EN$3,0,0,'Données projet'!$E$15+1,1))-AVERAGE(OFFSET($H$3,0,0,'Données projet'!$E$15+1,1))</f>
        <v>#N/A</v>
      </c>
      <c r="EP117" s="61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75"/>
        <v>0</v>
      </c>
      <c r="EZ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1" t="e">
        <f t="shared" si="77"/>
        <v>#N/A</v>
      </c>
      <c r="FJ117" s="61" t="e">
        <f ca="1">AVERAGE(OFFSET($FI$3,0,0,'Données projet'!$E$16+1,1))-AVERAGE(OFFSET($H$3,0,0,'Données projet'!$E$16+1,1))</f>
        <v>#N/A</v>
      </c>
      <c r="FK117" s="61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78"/>
        <v>0</v>
      </c>
      <c r="FU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1" t="e">
        <f t="shared" si="80"/>
        <v>#N/A</v>
      </c>
      <c r="GE117" s="61" t="e">
        <f ca="1">AVERAGE(OFFSET($GD$3,0,0,'Données projet'!$E$17+1,1))-AVERAGE(OFFSET($H$3,0,0,'Données projet'!$E$17+1,1))</f>
        <v>#N/A</v>
      </c>
      <c r="GF117" s="61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81"/>
        <v>0</v>
      </c>
      <c r="GP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1" t="e">
        <f t="shared" si="83"/>
        <v>#N/A</v>
      </c>
      <c r="GZ117" s="61" t="e">
        <f ca="1">AVERAGE(OFFSET($GY$3,0,0,'Données projet'!$E$18+1,1))-AVERAGE(OFFSET($H$3,0,0,'Données projet'!$E$18+1,1))</f>
        <v>#N/A</v>
      </c>
      <c r="HA117" s="61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84"/>
        <v>0</v>
      </c>
    </row>
    <row r="118" spans="1:218" s="5" customFormat="1" x14ac:dyDescent="0.45">
      <c r="A118" s="11">
        <f t="shared" si="85"/>
        <v>115</v>
      </c>
      <c r="B118" s="76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9">
        <f t="shared" si="56"/>
        <v>183.33333333333334</v>
      </c>
      <c r="I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-3.4106051316484809E-13</v>
      </c>
      <c r="O118" s="14">
        <f>N118*VLOOKUP('Données projet'!$B$9,Paramètres!$A$1:$I$88,3,0)*VLOOKUP('Données projet'!$B$9,Paramètres!$A$1:$I$88,5,0)</f>
        <v>-2.0395418687257919E-13</v>
      </c>
      <c r="P118" s="14" t="e">
        <f t="shared" si="87"/>
        <v>#NUM!</v>
      </c>
      <c r="Q118" s="22" t="e">
        <f t="shared" si="107"/>
        <v>#NUM!</v>
      </c>
      <c r="R118" s="61" t="e">
        <f t="shared" si="55"/>
        <v>#NUM!</v>
      </c>
      <c r="S118" s="61">
        <f ca="1">AVERAGE(OFFSET($R$3,0,0,'Données projet'!$E$9+1,1))-AVERAGE(OFFSET($H$3,0,0,'Données projet'!$E$9+1,1))</f>
        <v>445.53168057836308</v>
      </c>
      <c r="T118" s="61">
        <f t="shared" si="88"/>
        <v>326.78684646135241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165.03388559702057</v>
      </c>
      <c r="AA118" s="23">
        <f>EXP(-LN(2)/25)*AA117+(1-EXP(-LN(2)/25))/(LN(2)/25)*Calculateur!V118*Calculateur!X118*VLOOKUP('Données projet'!$B$9,Paramètres!$A$1:$I$88,3,0)*0.475*44/12</f>
        <v>11.190778787117818</v>
      </c>
      <c r="AB118" s="23">
        <f>EXP(-LN(2)/2)*AB117+(1-EXP(-LN(2)/2))/(LN(2)/2)*V118*Y118*VLOOKUP('Données projet'!$B$9,Paramètres!$A$1:$I$88,3,0)*0.475*44/12</f>
        <v>1.1324500885721445E-7</v>
      </c>
      <c r="AC118" s="24">
        <f t="shared" si="57"/>
        <v>176.2246644973834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-6.8212102632969618E-13</v>
      </c>
      <c r="AJ118" s="14">
        <f>AI118*VLOOKUP('Données projet'!$B$10,Paramètres!$A$1:$I$88,3,0)*VLOOKUP('Données projet'!$B$10,Paramètres!$A$1:$I$88,5,0)</f>
        <v>-3.1923264032229784E-13</v>
      </c>
      <c r="AK118" s="14" t="e">
        <f t="shared" si="89"/>
        <v>#NUM!</v>
      </c>
      <c r="AL118" s="22" t="e">
        <f t="shared" si="58"/>
        <v>#NUM!</v>
      </c>
      <c r="AM118" s="61" t="e">
        <f t="shared" si="59"/>
        <v>#NUM!</v>
      </c>
      <c r="AN118" s="61">
        <f ca="1">AVERAGE(OFFSET($AM$3,0,0,'Données projet'!$E$10+1,1))-AVERAGE(OFFSET($H$3,0,0,'Données projet'!$E$10+1,1))</f>
        <v>375.77859820466693</v>
      </c>
      <c r="AO118" s="61">
        <f t="shared" si="90"/>
        <v>242.84781402593856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264.22146815277023</v>
      </c>
      <c r="AV118" s="23">
        <f>EXP(-LN(2)/25)*AV117+(1-EXP(-LN(2)/25))/(LN(2)/25)*Calculateur!AQ118*Calculateur!AS118*VLOOKUP('Données projet'!$B$9,Paramètres!$A$1:$I$88,3,0)*0.475*44/12</f>
        <v>26.923857641906284</v>
      </c>
      <c r="AW118" s="23">
        <f>EXP(-LN(2)/2)*AW117+(1-EXP(-LN(2)/2))/(LN(2)/2)*AQ118*AT118*VLOOKUP('Données projet'!$B$9,Paramètres!$A$1:$I$88,3,0)*0.475*44/12</f>
        <v>0</v>
      </c>
      <c r="AX118" s="23">
        <f t="shared" si="60"/>
        <v>291.14532579467652</v>
      </c>
      <c r="AY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4.583333333333333</v>
      </c>
      <c r="BD118" s="13">
        <f>IF('Données projet'!$A$88&gt;35,BD117+BC118-BL117,IF(A118&lt;'Données projet'!$A$88,$BA$205^A118,IF(A118='Données projet'!$A$88,'Données projet'!$B$88,BD117+BC118-BL117)))</f>
        <v>179.16666666666697</v>
      </c>
      <c r="BE118" s="14">
        <f>BD118*VLOOKUP('Données projet'!$B$11,Paramètres!$A$1:$I$88,3,0)*VLOOKUP('Données projet'!$B$11,Paramètres!$A$1:$I$88,5,0)</f>
        <v>181.6750000000003</v>
      </c>
      <c r="BF118" s="14">
        <f t="shared" si="91"/>
        <v>45.694641677373703</v>
      </c>
      <c r="BG118" s="22">
        <f t="shared" si="61"/>
        <v>396.00212592142634</v>
      </c>
      <c r="BH118" s="61">
        <f t="shared" si="62"/>
        <v>677.08383146452366</v>
      </c>
      <c r="BI118" s="61">
        <f ca="1">AVERAGE(OFFSET($BH$3,0,0,'Données projet'!$E$11+1,1))-AVERAGE(OFFSET($H$3,0,0,'Données projet'!$E$11+1,1))</f>
        <v>433.57989081194</v>
      </c>
      <c r="BJ118" s="61">
        <f t="shared" si="92"/>
        <v>182.52060621271355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17.188586898824031</v>
      </c>
      <c r="BQ118" s="23">
        <f>EXP(-LN(2)/25)*BQ117+(1-EXP(-LN(2)/25))/(LN(2)/25)*Calculateur!BL118*Calculateur!BN118*VLOOKUP('Données projet'!$B$9,Paramètres!$A$1:$I$88,3,0)*0.475*44/12</f>
        <v>4.39283374198508</v>
      </c>
      <c r="BR118" s="23">
        <f>EXP(-LN(2)/2)*BR117+(1-EXP(-LN(2)/2))/(LN(2)/2)*BL118*BO118*VLOOKUP('Données projet'!$B$9,Paramètres!$A$1:$I$88,3,0)*0.475*44/12</f>
        <v>0</v>
      </c>
      <c r="BS118" s="24">
        <f t="shared" si="63"/>
        <v>21.58142064080911</v>
      </c>
      <c r="BT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1" t="e">
        <f t="shared" si="65"/>
        <v>#N/A</v>
      </c>
      <c r="CD118" s="61" t="e">
        <f ca="1">AVERAGE(OFFSET($CC$3,0,0,'Données projet'!$E$12+1,1))-AVERAGE(OFFSET($H$3,0,0,'Données projet'!$E$12+1,1))</f>
        <v>#N/A</v>
      </c>
      <c r="CE118" s="61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66"/>
        <v>0</v>
      </c>
      <c r="CO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1" t="e">
        <f t="shared" si="68"/>
        <v>#N/A</v>
      </c>
      <c r="CY118" s="61" t="e">
        <f ca="1">AVERAGE(OFFSET($CX$3,0,0,'Données projet'!$E$13+1,1))-AVERAGE(OFFSET($H$3,0,0,'Données projet'!$E$13+1,1))</f>
        <v>#N/A</v>
      </c>
      <c r="CZ118" s="61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69"/>
        <v>0</v>
      </c>
      <c r="DJ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1" t="e">
        <f t="shared" si="71"/>
        <v>#N/A</v>
      </c>
      <c r="DT118" s="61" t="e">
        <f ca="1">AVERAGE(OFFSET($DS$3,0,0,'Données projet'!$E$14+1,1))-AVERAGE(OFFSET($H$3,0,0,'Données projet'!$E$14+1,1))</f>
        <v>#N/A</v>
      </c>
      <c r="DU118" s="61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2"/>
        <v>0</v>
      </c>
      <c r="EE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1" t="e">
        <f t="shared" si="74"/>
        <v>#N/A</v>
      </c>
      <c r="EO118" s="61" t="e">
        <f ca="1">AVERAGE(OFFSET($EN$3,0,0,'Données projet'!$E$15+1,1))-AVERAGE(OFFSET($H$3,0,0,'Données projet'!$E$15+1,1))</f>
        <v>#N/A</v>
      </c>
      <c r="EP118" s="61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75"/>
        <v>0</v>
      </c>
      <c r="EZ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1" t="e">
        <f t="shared" si="77"/>
        <v>#N/A</v>
      </c>
      <c r="FJ118" s="61" t="e">
        <f ca="1">AVERAGE(OFFSET($FI$3,0,0,'Données projet'!$E$16+1,1))-AVERAGE(OFFSET($H$3,0,0,'Données projet'!$E$16+1,1))</f>
        <v>#N/A</v>
      </c>
      <c r="FK118" s="61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78"/>
        <v>0</v>
      </c>
      <c r="FU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1" t="e">
        <f t="shared" si="80"/>
        <v>#N/A</v>
      </c>
      <c r="GE118" s="61" t="e">
        <f ca="1">AVERAGE(OFFSET($GD$3,0,0,'Données projet'!$E$17+1,1))-AVERAGE(OFFSET($H$3,0,0,'Données projet'!$E$17+1,1))</f>
        <v>#N/A</v>
      </c>
      <c r="GF118" s="61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81"/>
        <v>0</v>
      </c>
      <c r="GP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1" t="e">
        <f t="shared" si="83"/>
        <v>#N/A</v>
      </c>
      <c r="GZ118" s="61" t="e">
        <f ca="1">AVERAGE(OFFSET($GY$3,0,0,'Données projet'!$E$18+1,1))-AVERAGE(OFFSET($H$3,0,0,'Données projet'!$E$18+1,1))</f>
        <v>#N/A</v>
      </c>
      <c r="HA118" s="61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84"/>
        <v>0</v>
      </c>
    </row>
    <row r="119" spans="1:218" s="5" customFormat="1" x14ac:dyDescent="0.45">
      <c r="A119" s="11">
        <f t="shared" si="85"/>
        <v>116</v>
      </c>
      <c r="B119" s="76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9">
        <f t="shared" si="56"/>
        <v>183.33333333333334</v>
      </c>
      <c r="I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-3.4106051316484809E-13</v>
      </c>
      <c r="O119" s="14">
        <f>N119*VLOOKUP('Données projet'!$B$9,Paramètres!$A$1:$I$88,3,0)*VLOOKUP('Données projet'!$B$9,Paramètres!$A$1:$I$88,5,0)</f>
        <v>-2.0395418687257919E-13</v>
      </c>
      <c r="P119" s="14" t="e">
        <f t="shared" si="87"/>
        <v>#NUM!</v>
      </c>
      <c r="Q119" s="22" t="e">
        <f t="shared" si="107"/>
        <v>#NUM!</v>
      </c>
      <c r="R119" s="61" t="e">
        <f t="shared" si="55"/>
        <v>#NUM!</v>
      </c>
      <c r="S119" s="61">
        <f ca="1">AVERAGE(OFFSET($R$3,0,0,'Données projet'!$E$9+1,1))-AVERAGE(OFFSET($H$3,0,0,'Données projet'!$E$9+1,1))</f>
        <v>445.53168057836308</v>
      </c>
      <c r="T119" s="61">
        <f t="shared" si="88"/>
        <v>326.78684646135241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161.79767176119378</v>
      </c>
      <c r="AA119" s="23">
        <f>EXP(-LN(2)/25)*AA118+(1-EXP(-LN(2)/25))/(LN(2)/25)*Calculateur!V119*Calculateur!X119*VLOOKUP('Données projet'!$B$9,Paramètres!$A$1:$I$88,3,0)*0.475*44/12</f>
        <v>10.884766352686603</v>
      </c>
      <c r="AB119" s="23">
        <f>EXP(-LN(2)/2)*AB118+(1-EXP(-LN(2)/2))/(LN(2)/2)*V119*Y119*VLOOKUP('Données projet'!$B$9,Paramètres!$A$1:$I$88,3,0)*0.475*44/12</f>
        <v>8.0076313698466974E-8</v>
      </c>
      <c r="AC119" s="24">
        <f t="shared" si="57"/>
        <v>172.6824381939567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-6.8212102632969618E-13</v>
      </c>
      <c r="AJ119" s="14">
        <f>AI119*VLOOKUP('Données projet'!$B$10,Paramètres!$A$1:$I$88,3,0)*VLOOKUP('Données projet'!$B$10,Paramètres!$A$1:$I$88,5,0)</f>
        <v>-3.1923264032229784E-13</v>
      </c>
      <c r="AK119" s="14" t="e">
        <f t="shared" si="89"/>
        <v>#NUM!</v>
      </c>
      <c r="AL119" s="22" t="e">
        <f t="shared" si="58"/>
        <v>#NUM!</v>
      </c>
      <c r="AM119" s="61" t="e">
        <f t="shared" si="59"/>
        <v>#NUM!</v>
      </c>
      <c r="AN119" s="61">
        <f ca="1">AVERAGE(OFFSET($AM$3,0,0,'Données projet'!$E$10+1,1))-AVERAGE(OFFSET($H$3,0,0,'Données projet'!$E$10+1,1))</f>
        <v>375.77859820466693</v>
      </c>
      <c r="AO119" s="61">
        <f t="shared" si="90"/>
        <v>242.84781402593856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259.04024632147684</v>
      </c>
      <c r="AV119" s="23">
        <f>EXP(-LN(2)/25)*AV118+(1-EXP(-LN(2)/25))/(LN(2)/25)*Calculateur!AQ119*Calculateur!AS119*VLOOKUP('Données projet'!$B$9,Paramètres!$A$1:$I$88,3,0)*0.475*44/12</f>
        <v>26.187623338824221</v>
      </c>
      <c r="AW119" s="23">
        <f>EXP(-LN(2)/2)*AW118+(1-EXP(-LN(2)/2))/(LN(2)/2)*AQ119*AT119*VLOOKUP('Données projet'!$B$9,Paramètres!$A$1:$I$88,3,0)*0.475*44/12</f>
        <v>0</v>
      </c>
      <c r="AX119" s="23">
        <f t="shared" si="60"/>
        <v>285.22786966030105</v>
      </c>
      <c r="AY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4.583333333333333</v>
      </c>
      <c r="BD119" s="13">
        <f>IF('Données projet'!$A$88&gt;35,BD118+BC119-BL118,IF(A119&lt;'Données projet'!$A$88,$BA$205^A119,IF(A119='Données projet'!$A$88,'Données projet'!$B$88,BD118+BC119-BL118)))</f>
        <v>183.75000000000031</v>
      </c>
      <c r="BE119" s="14">
        <f>BD119*VLOOKUP('Données projet'!$B$11,Paramètres!$A$1:$I$88,3,0)*VLOOKUP('Données projet'!$B$11,Paramètres!$A$1:$I$88,5,0)</f>
        <v>186.32250000000033</v>
      </c>
      <c r="BF119" s="14">
        <f t="shared" si="91"/>
        <v>46.725987276254202</v>
      </c>
      <c r="BG119" s="22">
        <f t="shared" si="61"/>
        <v>405.89278200614331</v>
      </c>
      <c r="BH119" s="61">
        <f t="shared" si="62"/>
        <v>687.1870259008648</v>
      </c>
      <c r="BI119" s="61">
        <f ca="1">AVERAGE(OFFSET($BH$3,0,0,'Données projet'!$E$11+1,1))-AVERAGE(OFFSET($H$3,0,0,'Données projet'!$E$11+1,1))</f>
        <v>433.57989081194</v>
      </c>
      <c r="BJ119" s="61">
        <f t="shared" si="92"/>
        <v>182.52060621271355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16.851529193740891</v>
      </c>
      <c r="BQ119" s="23">
        <f>EXP(-LN(2)/25)*BQ118+(1-EXP(-LN(2)/25))/(LN(2)/25)*Calculateur!BL119*Calculateur!BN119*VLOOKUP('Données projet'!$B$9,Paramètres!$A$1:$I$88,3,0)*0.475*44/12</f>
        <v>4.2727114723014115</v>
      </c>
      <c r="BR119" s="23">
        <f>EXP(-LN(2)/2)*BR118+(1-EXP(-LN(2)/2))/(LN(2)/2)*BL119*BO119*VLOOKUP('Données projet'!$B$9,Paramètres!$A$1:$I$88,3,0)*0.475*44/12</f>
        <v>0</v>
      </c>
      <c r="BS119" s="24">
        <f t="shared" si="63"/>
        <v>21.124240666042304</v>
      </c>
      <c r="BT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1" t="e">
        <f t="shared" si="65"/>
        <v>#N/A</v>
      </c>
      <c r="CD119" s="61" t="e">
        <f ca="1">AVERAGE(OFFSET($CC$3,0,0,'Données projet'!$E$12+1,1))-AVERAGE(OFFSET($H$3,0,0,'Données projet'!$E$12+1,1))</f>
        <v>#N/A</v>
      </c>
      <c r="CE119" s="61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66"/>
        <v>0</v>
      </c>
      <c r="CO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1" t="e">
        <f t="shared" si="68"/>
        <v>#N/A</v>
      </c>
      <c r="CY119" s="61" t="e">
        <f ca="1">AVERAGE(OFFSET($CX$3,0,0,'Données projet'!$E$13+1,1))-AVERAGE(OFFSET($H$3,0,0,'Données projet'!$E$13+1,1))</f>
        <v>#N/A</v>
      </c>
      <c r="CZ119" s="61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69"/>
        <v>0</v>
      </c>
      <c r="DJ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1" t="e">
        <f t="shared" si="71"/>
        <v>#N/A</v>
      </c>
      <c r="DT119" s="61" t="e">
        <f ca="1">AVERAGE(OFFSET($DS$3,0,0,'Données projet'!$E$14+1,1))-AVERAGE(OFFSET($H$3,0,0,'Données projet'!$E$14+1,1))</f>
        <v>#N/A</v>
      </c>
      <c r="DU119" s="61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2"/>
        <v>0</v>
      </c>
      <c r="EE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1" t="e">
        <f t="shared" si="74"/>
        <v>#N/A</v>
      </c>
      <c r="EO119" s="61" t="e">
        <f ca="1">AVERAGE(OFFSET($EN$3,0,0,'Données projet'!$E$15+1,1))-AVERAGE(OFFSET($H$3,0,0,'Données projet'!$E$15+1,1))</f>
        <v>#N/A</v>
      </c>
      <c r="EP119" s="61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75"/>
        <v>0</v>
      </c>
      <c r="EZ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1" t="e">
        <f t="shared" si="77"/>
        <v>#N/A</v>
      </c>
      <c r="FJ119" s="61" t="e">
        <f ca="1">AVERAGE(OFFSET($FI$3,0,0,'Données projet'!$E$16+1,1))-AVERAGE(OFFSET($H$3,0,0,'Données projet'!$E$16+1,1))</f>
        <v>#N/A</v>
      </c>
      <c r="FK119" s="61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78"/>
        <v>0</v>
      </c>
      <c r="FU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1" t="e">
        <f t="shared" si="80"/>
        <v>#N/A</v>
      </c>
      <c r="GE119" s="61" t="e">
        <f ca="1">AVERAGE(OFFSET($GD$3,0,0,'Données projet'!$E$17+1,1))-AVERAGE(OFFSET($H$3,0,0,'Données projet'!$E$17+1,1))</f>
        <v>#N/A</v>
      </c>
      <c r="GF119" s="61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81"/>
        <v>0</v>
      </c>
      <c r="GP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1" t="e">
        <f t="shared" si="83"/>
        <v>#N/A</v>
      </c>
      <c r="GZ119" s="61" t="e">
        <f ca="1">AVERAGE(OFFSET($GY$3,0,0,'Données projet'!$E$18+1,1))-AVERAGE(OFFSET($H$3,0,0,'Données projet'!$E$18+1,1))</f>
        <v>#N/A</v>
      </c>
      <c r="HA119" s="61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84"/>
        <v>0</v>
      </c>
    </row>
    <row r="120" spans="1:218" s="5" customFormat="1" x14ac:dyDescent="0.45">
      <c r="A120" s="11">
        <f t="shared" si="85"/>
        <v>117</v>
      </c>
      <c r="B120" s="76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9">
        <f t="shared" si="56"/>
        <v>183.33333333333334</v>
      </c>
      <c r="I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-3.4106051316484809E-13</v>
      </c>
      <c r="O120" s="14">
        <f>N120*VLOOKUP('Données projet'!$B$9,Paramètres!$A$1:$I$88,3,0)*VLOOKUP('Données projet'!$B$9,Paramètres!$A$1:$I$88,5,0)</f>
        <v>-2.0395418687257919E-13</v>
      </c>
      <c r="P120" s="14" t="e">
        <f t="shared" si="87"/>
        <v>#NUM!</v>
      </c>
      <c r="Q120" s="22" t="e">
        <f t="shared" si="107"/>
        <v>#NUM!</v>
      </c>
      <c r="R120" s="61" t="e">
        <f t="shared" si="55"/>
        <v>#NUM!</v>
      </c>
      <c r="S120" s="61">
        <f ca="1">AVERAGE(OFFSET($R$3,0,0,'Données projet'!$E$9+1,1))-AVERAGE(OFFSET($H$3,0,0,'Données projet'!$E$9+1,1))</f>
        <v>445.53168057836308</v>
      </c>
      <c r="T120" s="61">
        <f t="shared" si="88"/>
        <v>326.78684646135241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158.62491810479204</v>
      </c>
      <c r="AA120" s="23">
        <f>EXP(-LN(2)/25)*AA119+(1-EXP(-LN(2)/25))/(LN(2)/25)*Calculateur!V120*Calculateur!X120*VLOOKUP('Données projet'!$B$9,Paramètres!$A$1:$I$88,3,0)*0.475*44/12</f>
        <v>10.587121844367402</v>
      </c>
      <c r="AB120" s="23">
        <f>EXP(-LN(2)/2)*AB119+(1-EXP(-LN(2)/2))/(LN(2)/2)*V120*Y120*VLOOKUP('Données projet'!$B$9,Paramètres!$A$1:$I$88,3,0)*0.475*44/12</f>
        <v>5.6622504428607225E-8</v>
      </c>
      <c r="AC120" s="24">
        <f t="shared" si="57"/>
        <v>169.21204000578194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-6.8212102632969618E-13</v>
      </c>
      <c r="AJ120" s="14">
        <f>AI120*VLOOKUP('Données projet'!$B$10,Paramètres!$A$1:$I$88,3,0)*VLOOKUP('Données projet'!$B$10,Paramètres!$A$1:$I$88,5,0)</f>
        <v>-3.1923264032229784E-13</v>
      </c>
      <c r="AK120" s="14" t="e">
        <f t="shared" si="89"/>
        <v>#NUM!</v>
      </c>
      <c r="AL120" s="22" t="e">
        <f t="shared" si="58"/>
        <v>#NUM!</v>
      </c>
      <c r="AM120" s="61" t="e">
        <f t="shared" si="59"/>
        <v>#NUM!</v>
      </c>
      <c r="AN120" s="61">
        <f ca="1">AVERAGE(OFFSET($AM$3,0,0,'Données projet'!$E$10+1,1))-AVERAGE(OFFSET($H$3,0,0,'Données projet'!$E$10+1,1))</f>
        <v>375.77859820466693</v>
      </c>
      <c r="AO120" s="61">
        <f t="shared" si="90"/>
        <v>242.84781402593856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253.96062509006182</v>
      </c>
      <c r="AV120" s="23">
        <f>EXP(-LN(2)/25)*AV119+(1-EXP(-LN(2)/25))/(LN(2)/25)*Calculateur!AQ120*Calculateur!AS120*VLOOKUP('Données projet'!$B$9,Paramètres!$A$1:$I$88,3,0)*0.475*44/12</f>
        <v>25.471521401476814</v>
      </c>
      <c r="AW120" s="23">
        <f>EXP(-LN(2)/2)*AW119+(1-EXP(-LN(2)/2))/(LN(2)/2)*AQ120*AT120*VLOOKUP('Données projet'!$B$9,Paramètres!$A$1:$I$88,3,0)*0.475*44/12</f>
        <v>0</v>
      </c>
      <c r="AX120" s="23">
        <f t="shared" si="60"/>
        <v>279.43214649153862</v>
      </c>
      <c r="AY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4.583333333333333</v>
      </c>
      <c r="BD120" s="13">
        <f>IF('Données projet'!$A$88&gt;35,BD119+BC120-BL119,IF(A120&lt;'Données projet'!$A$88,$BA$205^A120,IF(A120='Données projet'!$A$88,'Données projet'!$B$88,BD119+BC120-BL119)))</f>
        <v>188.33333333333366</v>
      </c>
      <c r="BE120" s="14">
        <f>BD120*VLOOKUP('Données projet'!$B$11,Paramètres!$A$1:$I$88,3,0)*VLOOKUP('Données projet'!$B$11,Paramètres!$A$1:$I$88,5,0)</f>
        <v>190.97000000000034</v>
      </c>
      <c r="BF120" s="14">
        <f t="shared" si="91"/>
        <v>47.754342479994271</v>
      </c>
      <c r="BG120" s="22">
        <f t="shared" si="61"/>
        <v>415.77822981932394</v>
      </c>
      <c r="BH120" s="61">
        <f t="shared" si="62"/>
        <v>697.28132500043353</v>
      </c>
      <c r="BI120" s="61">
        <f ca="1">AVERAGE(OFFSET($BH$3,0,0,'Données projet'!$E$11+1,1))-AVERAGE(OFFSET($H$3,0,0,'Données projet'!$E$11+1,1))</f>
        <v>433.57989081194</v>
      </c>
      <c r="BJ120" s="61">
        <f t="shared" si="92"/>
        <v>182.52060621271355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16.521080984669531</v>
      </c>
      <c r="BQ120" s="23">
        <f>EXP(-LN(2)/25)*BQ119+(1-EXP(-LN(2)/25))/(LN(2)/25)*Calculateur!BL120*Calculateur!BN120*VLOOKUP('Données projet'!$B$9,Paramètres!$A$1:$I$88,3,0)*0.475*44/12</f>
        <v>4.1558739523991983</v>
      </c>
      <c r="BR120" s="23">
        <f>EXP(-LN(2)/2)*BR119+(1-EXP(-LN(2)/2))/(LN(2)/2)*BL120*BO120*VLOOKUP('Données projet'!$B$9,Paramètres!$A$1:$I$88,3,0)*0.475*44/12</f>
        <v>0</v>
      </c>
      <c r="BS120" s="24">
        <f t="shared" si="63"/>
        <v>20.676954937068729</v>
      </c>
      <c r="BT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1" t="e">
        <f t="shared" si="65"/>
        <v>#N/A</v>
      </c>
      <c r="CD120" s="61" t="e">
        <f ca="1">AVERAGE(OFFSET($CC$3,0,0,'Données projet'!$E$12+1,1))-AVERAGE(OFFSET($H$3,0,0,'Données projet'!$E$12+1,1))</f>
        <v>#N/A</v>
      </c>
      <c r="CE120" s="61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66"/>
        <v>0</v>
      </c>
      <c r="CO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1" t="e">
        <f t="shared" si="68"/>
        <v>#N/A</v>
      </c>
      <c r="CY120" s="61" t="e">
        <f ca="1">AVERAGE(OFFSET($CX$3,0,0,'Données projet'!$E$13+1,1))-AVERAGE(OFFSET($H$3,0,0,'Données projet'!$E$13+1,1))</f>
        <v>#N/A</v>
      </c>
      <c r="CZ120" s="61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69"/>
        <v>0</v>
      </c>
      <c r="DJ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1" t="e">
        <f t="shared" si="71"/>
        <v>#N/A</v>
      </c>
      <c r="DT120" s="61" t="e">
        <f ca="1">AVERAGE(OFFSET($DS$3,0,0,'Données projet'!$E$14+1,1))-AVERAGE(OFFSET($H$3,0,0,'Données projet'!$E$14+1,1))</f>
        <v>#N/A</v>
      </c>
      <c r="DU120" s="61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2"/>
        <v>0</v>
      </c>
      <c r="EE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1" t="e">
        <f t="shared" si="74"/>
        <v>#N/A</v>
      </c>
      <c r="EO120" s="61" t="e">
        <f ca="1">AVERAGE(OFFSET($EN$3,0,0,'Données projet'!$E$15+1,1))-AVERAGE(OFFSET($H$3,0,0,'Données projet'!$E$15+1,1))</f>
        <v>#N/A</v>
      </c>
      <c r="EP120" s="61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75"/>
        <v>0</v>
      </c>
      <c r="EZ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1" t="e">
        <f t="shared" si="77"/>
        <v>#N/A</v>
      </c>
      <c r="FJ120" s="61" t="e">
        <f ca="1">AVERAGE(OFFSET($FI$3,0,0,'Données projet'!$E$16+1,1))-AVERAGE(OFFSET($H$3,0,0,'Données projet'!$E$16+1,1))</f>
        <v>#N/A</v>
      </c>
      <c r="FK120" s="61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78"/>
        <v>0</v>
      </c>
      <c r="FU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1" t="e">
        <f t="shared" si="80"/>
        <v>#N/A</v>
      </c>
      <c r="GE120" s="61" t="e">
        <f ca="1">AVERAGE(OFFSET($GD$3,0,0,'Données projet'!$E$17+1,1))-AVERAGE(OFFSET($H$3,0,0,'Données projet'!$E$17+1,1))</f>
        <v>#N/A</v>
      </c>
      <c r="GF120" s="61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81"/>
        <v>0</v>
      </c>
      <c r="GP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1" t="e">
        <f t="shared" si="83"/>
        <v>#N/A</v>
      </c>
      <c r="GZ120" s="61" t="e">
        <f ca="1">AVERAGE(OFFSET($GY$3,0,0,'Données projet'!$E$18+1,1))-AVERAGE(OFFSET($H$3,0,0,'Données projet'!$E$18+1,1))</f>
        <v>#N/A</v>
      </c>
      <c r="HA120" s="61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84"/>
        <v>0</v>
      </c>
    </row>
    <row r="121" spans="1:218" s="5" customFormat="1" x14ac:dyDescent="0.45">
      <c r="A121" s="11">
        <f t="shared" si="85"/>
        <v>118</v>
      </c>
      <c r="B121" s="76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9">
        <f t="shared" si="56"/>
        <v>183.33333333333334</v>
      </c>
      <c r="I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-3.4106051316484809E-13</v>
      </c>
      <c r="O121" s="14">
        <f>N121*VLOOKUP('Données projet'!$B$9,Paramètres!$A$1:$I$88,3,0)*VLOOKUP('Données projet'!$B$9,Paramètres!$A$1:$I$88,5,0)</f>
        <v>-2.0395418687257919E-13</v>
      </c>
      <c r="P121" s="14" t="e">
        <f t="shared" si="87"/>
        <v>#NUM!</v>
      </c>
      <c r="Q121" s="22" t="e">
        <f t="shared" si="107"/>
        <v>#NUM!</v>
      </c>
      <c r="R121" s="61" t="e">
        <f t="shared" si="55"/>
        <v>#NUM!</v>
      </c>
      <c r="S121" s="61">
        <f ca="1">AVERAGE(OFFSET($R$3,0,0,'Données projet'!$E$9+1,1))-AVERAGE(OFFSET($H$3,0,0,'Données projet'!$E$9+1,1))</f>
        <v>445.53168057836308</v>
      </c>
      <c r="T121" s="61">
        <f t="shared" si="88"/>
        <v>326.78684646135241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155.51438021240369</v>
      </c>
      <c r="AA121" s="23">
        <f>EXP(-LN(2)/25)*AA120+(1-EXP(-LN(2)/25))/(LN(2)/25)*Calculateur!V121*Calculateur!X121*VLOOKUP('Données projet'!$B$9,Paramètres!$A$1:$I$88,3,0)*0.475*44/12</f>
        <v>10.297616440780635</v>
      </c>
      <c r="AB121" s="23">
        <f>EXP(-LN(2)/2)*AB120+(1-EXP(-LN(2)/2))/(LN(2)/2)*V121*Y121*VLOOKUP('Données projet'!$B$9,Paramètres!$A$1:$I$88,3,0)*0.475*44/12</f>
        <v>4.0038156849233487E-8</v>
      </c>
      <c r="AC121" s="24">
        <f t="shared" si="57"/>
        <v>165.81199669322248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-6.8212102632969618E-13</v>
      </c>
      <c r="AJ121" s="14">
        <f>AI121*VLOOKUP('Données projet'!$B$10,Paramètres!$A$1:$I$88,3,0)*VLOOKUP('Données projet'!$B$10,Paramètres!$A$1:$I$88,5,0)</f>
        <v>-3.1923264032229784E-13</v>
      </c>
      <c r="AK121" s="14" t="e">
        <f t="shared" si="89"/>
        <v>#NUM!</v>
      </c>
      <c r="AL121" s="22" t="e">
        <f t="shared" si="58"/>
        <v>#NUM!</v>
      </c>
      <c r="AM121" s="61" t="e">
        <f t="shared" si="59"/>
        <v>#NUM!</v>
      </c>
      <c r="AN121" s="61">
        <f ca="1">AVERAGE(OFFSET($AM$3,0,0,'Données projet'!$E$10+1,1))-AVERAGE(OFFSET($H$3,0,0,'Données projet'!$E$10+1,1))</f>
        <v>375.77859820466693</v>
      </c>
      <c r="AO121" s="61">
        <f t="shared" si="90"/>
        <v>242.84781402593856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248.98061213273184</v>
      </c>
      <c r="AV121" s="23">
        <f>EXP(-LN(2)/25)*AV120+(1-EXP(-LN(2)/25))/(LN(2)/25)*Calculateur!AQ121*Calculateur!AS121*VLOOKUP('Données projet'!$B$9,Paramètres!$A$1:$I$88,3,0)*0.475*44/12</f>
        <v>24.775001309264336</v>
      </c>
      <c r="AW121" s="23">
        <f>EXP(-LN(2)/2)*AW120+(1-EXP(-LN(2)/2))/(LN(2)/2)*AQ121*AT121*VLOOKUP('Données projet'!$B$9,Paramètres!$A$1:$I$88,3,0)*0.475*44/12</f>
        <v>0</v>
      </c>
      <c r="AX121" s="23">
        <f t="shared" si="60"/>
        <v>273.75561344199616</v>
      </c>
      <c r="AY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4.583333333333333</v>
      </c>
      <c r="BD121" s="13">
        <f>IF('Données projet'!$A$88&gt;35,BD120+BC121-BL120,IF(A121&lt;'Données projet'!$A$88,$BA$205^A121,IF(A121='Données projet'!$A$88,'Données projet'!$B$88,BD120+BC121-BL120)))</f>
        <v>192.916666666667</v>
      </c>
      <c r="BE121" s="14">
        <f>BD121*VLOOKUP('Données projet'!$B$11,Paramètres!$A$1:$I$88,3,0)*VLOOKUP('Données projet'!$B$11,Paramètres!$A$1:$I$88,5,0)</f>
        <v>195.61750000000035</v>
      </c>
      <c r="BF121" s="14">
        <f t="shared" si="91"/>
        <v>48.779788435951957</v>
      </c>
      <c r="BG121" s="22">
        <f t="shared" si="61"/>
        <v>425.65861069261683</v>
      </c>
      <c r="BH121" s="61">
        <f t="shared" si="62"/>
        <v>707.36693405721724</v>
      </c>
      <c r="BI121" s="61">
        <f ca="1">AVERAGE(OFFSET($BH$3,0,0,'Données projet'!$E$11+1,1))-AVERAGE(OFFSET($H$3,0,0,'Données projet'!$E$11+1,1))</f>
        <v>433.57989081194</v>
      </c>
      <c r="BJ121" s="61">
        <f t="shared" si="92"/>
        <v>182.52060621271355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16.197112663424555</v>
      </c>
      <c r="BQ121" s="23">
        <f>EXP(-LN(2)/25)*BQ120+(1-EXP(-LN(2)/25))/(LN(2)/25)*Calculateur!BL121*Calculateur!BN121*VLOOKUP('Données projet'!$B$9,Paramètres!$A$1:$I$88,3,0)*0.475*44/12</f>
        <v>4.0422313606229299</v>
      </c>
      <c r="BR121" s="23">
        <f>EXP(-LN(2)/2)*BR120+(1-EXP(-LN(2)/2))/(LN(2)/2)*BL121*BO121*VLOOKUP('Données projet'!$B$9,Paramètres!$A$1:$I$88,3,0)*0.475*44/12</f>
        <v>0</v>
      </c>
      <c r="BS121" s="24">
        <f t="shared" si="63"/>
        <v>20.239344024047483</v>
      </c>
      <c r="BT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1" t="e">
        <f t="shared" si="65"/>
        <v>#N/A</v>
      </c>
      <c r="CD121" s="61" t="e">
        <f ca="1">AVERAGE(OFFSET($CC$3,0,0,'Données projet'!$E$12+1,1))-AVERAGE(OFFSET($H$3,0,0,'Données projet'!$E$12+1,1))</f>
        <v>#N/A</v>
      </c>
      <c r="CE121" s="61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66"/>
        <v>0</v>
      </c>
      <c r="CO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1" t="e">
        <f t="shared" si="68"/>
        <v>#N/A</v>
      </c>
      <c r="CY121" s="61" t="e">
        <f ca="1">AVERAGE(OFFSET($CX$3,0,0,'Données projet'!$E$13+1,1))-AVERAGE(OFFSET($H$3,0,0,'Données projet'!$E$13+1,1))</f>
        <v>#N/A</v>
      </c>
      <c r="CZ121" s="61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69"/>
        <v>0</v>
      </c>
      <c r="DJ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1" t="e">
        <f t="shared" si="71"/>
        <v>#N/A</v>
      </c>
      <c r="DT121" s="61" t="e">
        <f ca="1">AVERAGE(OFFSET($DS$3,0,0,'Données projet'!$E$14+1,1))-AVERAGE(OFFSET($H$3,0,0,'Données projet'!$E$14+1,1))</f>
        <v>#N/A</v>
      </c>
      <c r="DU121" s="61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2"/>
        <v>0</v>
      </c>
      <c r="EE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1" t="e">
        <f t="shared" si="74"/>
        <v>#N/A</v>
      </c>
      <c r="EO121" s="61" t="e">
        <f ca="1">AVERAGE(OFFSET($EN$3,0,0,'Données projet'!$E$15+1,1))-AVERAGE(OFFSET($H$3,0,0,'Données projet'!$E$15+1,1))</f>
        <v>#N/A</v>
      </c>
      <c r="EP121" s="61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75"/>
        <v>0</v>
      </c>
      <c r="EZ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1" t="e">
        <f t="shared" si="77"/>
        <v>#N/A</v>
      </c>
      <c r="FJ121" s="61" t="e">
        <f ca="1">AVERAGE(OFFSET($FI$3,0,0,'Données projet'!$E$16+1,1))-AVERAGE(OFFSET($H$3,0,0,'Données projet'!$E$16+1,1))</f>
        <v>#N/A</v>
      </c>
      <c r="FK121" s="61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78"/>
        <v>0</v>
      </c>
      <c r="FU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1" t="e">
        <f t="shared" si="80"/>
        <v>#N/A</v>
      </c>
      <c r="GE121" s="61" t="e">
        <f ca="1">AVERAGE(OFFSET($GD$3,0,0,'Données projet'!$E$17+1,1))-AVERAGE(OFFSET($H$3,0,0,'Données projet'!$E$17+1,1))</f>
        <v>#N/A</v>
      </c>
      <c r="GF121" s="61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81"/>
        <v>0</v>
      </c>
      <c r="GP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1" t="e">
        <f t="shared" si="83"/>
        <v>#N/A</v>
      </c>
      <c r="GZ121" s="61" t="e">
        <f ca="1">AVERAGE(OFFSET($GY$3,0,0,'Données projet'!$E$18+1,1))-AVERAGE(OFFSET($H$3,0,0,'Données projet'!$E$18+1,1))</f>
        <v>#N/A</v>
      </c>
      <c r="HA121" s="61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84"/>
        <v>0</v>
      </c>
    </row>
    <row r="122" spans="1:218" s="5" customFormat="1" x14ac:dyDescent="0.45">
      <c r="A122" s="11">
        <f t="shared" si="85"/>
        <v>119</v>
      </c>
      <c r="B122" s="76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9">
        <f t="shared" si="56"/>
        <v>183.33333333333334</v>
      </c>
      <c r="I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-3.4106051316484809E-13</v>
      </c>
      <c r="O122" s="14">
        <f>N122*VLOOKUP('Données projet'!$B$9,Paramètres!$A$1:$I$88,3,0)*VLOOKUP('Données projet'!$B$9,Paramètres!$A$1:$I$88,5,0)</f>
        <v>-2.0395418687257919E-13</v>
      </c>
      <c r="P122" s="14" t="e">
        <f t="shared" si="87"/>
        <v>#NUM!</v>
      </c>
      <c r="Q122" s="22" t="e">
        <f t="shared" si="107"/>
        <v>#NUM!</v>
      </c>
      <c r="R122" s="61" t="e">
        <f t="shared" si="55"/>
        <v>#NUM!</v>
      </c>
      <c r="S122" s="61">
        <f ca="1">AVERAGE(OFFSET($R$3,0,0,'Données projet'!$E$9+1,1))-AVERAGE(OFFSET($H$3,0,0,'Données projet'!$E$9+1,1))</f>
        <v>445.53168057836308</v>
      </c>
      <c r="T122" s="61">
        <f t="shared" si="88"/>
        <v>326.78684646135241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152.46483807084428</v>
      </c>
      <c r="AA122" s="23">
        <f>EXP(-LN(2)/25)*AA121+(1-EXP(-LN(2)/25))/(LN(2)/25)*Calculateur!V122*Calculateur!X122*VLOOKUP('Données projet'!$B$9,Paramètres!$A$1:$I$88,3,0)*0.475*44/12</f>
        <v>10.016027577679376</v>
      </c>
      <c r="AB122" s="23">
        <f>EXP(-LN(2)/2)*AB121+(1-EXP(-LN(2)/2))/(LN(2)/2)*V122*Y122*VLOOKUP('Données projet'!$B$9,Paramètres!$A$1:$I$88,3,0)*0.475*44/12</f>
        <v>2.8311252214303613E-8</v>
      </c>
      <c r="AC122" s="24">
        <f t="shared" si="57"/>
        <v>162.48086567683492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-6.8212102632969618E-13</v>
      </c>
      <c r="AJ122" s="14">
        <f>AI122*VLOOKUP('Données projet'!$B$10,Paramètres!$A$1:$I$88,3,0)*VLOOKUP('Données projet'!$B$10,Paramètres!$A$1:$I$88,5,0)</f>
        <v>-3.1923264032229784E-13</v>
      </c>
      <c r="AK122" s="14" t="e">
        <f t="shared" si="89"/>
        <v>#NUM!</v>
      </c>
      <c r="AL122" s="22" t="e">
        <f t="shared" si="58"/>
        <v>#NUM!</v>
      </c>
      <c r="AM122" s="61" t="e">
        <f t="shared" si="59"/>
        <v>#NUM!</v>
      </c>
      <c r="AN122" s="61">
        <f ca="1">AVERAGE(OFFSET($AM$3,0,0,'Données projet'!$E$10+1,1))-AVERAGE(OFFSET($H$3,0,0,'Données projet'!$E$10+1,1))</f>
        <v>375.77859820466693</v>
      </c>
      <c r="AO122" s="61">
        <f t="shared" si="90"/>
        <v>242.84781402593856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244.09825419198711</v>
      </c>
      <c r="AV122" s="23">
        <f>EXP(-LN(2)/25)*AV121+(1-EXP(-LN(2)/25))/(LN(2)/25)*Calculateur!AQ122*Calculateur!AS122*VLOOKUP('Données projet'!$B$9,Paramètres!$A$1:$I$88,3,0)*0.475*44/12</f>
        <v>24.097527595601807</v>
      </c>
      <c r="AW122" s="23">
        <f>EXP(-LN(2)/2)*AW121+(1-EXP(-LN(2)/2))/(LN(2)/2)*AQ122*AT122*VLOOKUP('Données projet'!$B$9,Paramètres!$A$1:$I$88,3,0)*0.475*44/12</f>
        <v>0</v>
      </c>
      <c r="AX122" s="23">
        <f t="shared" si="60"/>
        <v>268.19578178758894</v>
      </c>
      <c r="AY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4.583333333333333</v>
      </c>
      <c r="BD122" s="13">
        <f>IF('Données projet'!$A$88&gt;35,BD121+BC122-BL121,IF(A122&lt;'Données projet'!$A$88,$BA$205^A122,IF(A122='Données projet'!$A$88,'Données projet'!$B$88,BD121+BC122-BL121)))</f>
        <v>197.50000000000034</v>
      </c>
      <c r="BE122" s="14">
        <f>BD122*VLOOKUP('Données projet'!$B$11,Paramètres!$A$1:$I$88,3,0)*VLOOKUP('Données projet'!$B$11,Paramètres!$A$1:$I$88,5,0)</f>
        <v>200.26500000000036</v>
      </c>
      <c r="BF122" s="14">
        <f t="shared" si="91"/>
        <v>49.802402215745097</v>
      </c>
      <c r="BG122" s="22">
        <f t="shared" si="61"/>
        <v>435.53405885909001</v>
      </c>
      <c r="BH122" s="61">
        <f t="shared" si="62"/>
        <v>717.44405015701909</v>
      </c>
      <c r="BI122" s="61">
        <f ca="1">AVERAGE(OFFSET($BH$3,0,0,'Données projet'!$E$11+1,1))-AVERAGE(OFFSET($H$3,0,0,'Données projet'!$E$11+1,1))</f>
        <v>433.57989081194</v>
      </c>
      <c r="BJ122" s="61">
        <f t="shared" si="92"/>
        <v>182.52060621271355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15.879497163358028</v>
      </c>
      <c r="BQ122" s="23">
        <f>EXP(-LN(2)/25)*BQ121+(1-EXP(-LN(2)/25))/(LN(2)/25)*Calculateur!BL122*Calculateur!BN122*VLOOKUP('Données projet'!$B$9,Paramètres!$A$1:$I$88,3,0)*0.475*44/12</f>
        <v>3.9316963314949871</v>
      </c>
      <c r="BR122" s="23">
        <f>EXP(-LN(2)/2)*BR121+(1-EXP(-LN(2)/2))/(LN(2)/2)*BL122*BO122*VLOOKUP('Données projet'!$B$9,Paramètres!$A$1:$I$88,3,0)*0.475*44/12</f>
        <v>0</v>
      </c>
      <c r="BS122" s="24">
        <f t="shared" si="63"/>
        <v>19.811193494853015</v>
      </c>
      <c r="BT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1" t="e">
        <f t="shared" si="65"/>
        <v>#N/A</v>
      </c>
      <c r="CD122" s="61" t="e">
        <f ca="1">AVERAGE(OFFSET($CC$3,0,0,'Données projet'!$E$12+1,1))-AVERAGE(OFFSET($H$3,0,0,'Données projet'!$E$12+1,1))</f>
        <v>#N/A</v>
      </c>
      <c r="CE122" s="61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66"/>
        <v>0</v>
      </c>
      <c r="CO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1" t="e">
        <f t="shared" si="68"/>
        <v>#N/A</v>
      </c>
      <c r="CY122" s="61" t="e">
        <f ca="1">AVERAGE(OFFSET($CX$3,0,0,'Données projet'!$E$13+1,1))-AVERAGE(OFFSET($H$3,0,0,'Données projet'!$E$13+1,1))</f>
        <v>#N/A</v>
      </c>
      <c r="CZ122" s="61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69"/>
        <v>0</v>
      </c>
      <c r="DJ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1" t="e">
        <f t="shared" si="71"/>
        <v>#N/A</v>
      </c>
      <c r="DT122" s="61" t="e">
        <f ca="1">AVERAGE(OFFSET($DS$3,0,0,'Données projet'!$E$14+1,1))-AVERAGE(OFFSET($H$3,0,0,'Données projet'!$E$14+1,1))</f>
        <v>#N/A</v>
      </c>
      <c r="DU122" s="61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2"/>
        <v>0</v>
      </c>
      <c r="EE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1" t="e">
        <f t="shared" si="74"/>
        <v>#N/A</v>
      </c>
      <c r="EO122" s="61" t="e">
        <f ca="1">AVERAGE(OFFSET($EN$3,0,0,'Données projet'!$E$15+1,1))-AVERAGE(OFFSET($H$3,0,0,'Données projet'!$E$15+1,1))</f>
        <v>#N/A</v>
      </c>
      <c r="EP122" s="61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75"/>
        <v>0</v>
      </c>
      <c r="EZ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1" t="e">
        <f t="shared" si="77"/>
        <v>#N/A</v>
      </c>
      <c r="FJ122" s="61" t="e">
        <f ca="1">AVERAGE(OFFSET($FI$3,0,0,'Données projet'!$E$16+1,1))-AVERAGE(OFFSET($H$3,0,0,'Données projet'!$E$16+1,1))</f>
        <v>#N/A</v>
      </c>
      <c r="FK122" s="61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78"/>
        <v>0</v>
      </c>
      <c r="FU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1" t="e">
        <f t="shared" si="80"/>
        <v>#N/A</v>
      </c>
      <c r="GE122" s="61" t="e">
        <f ca="1">AVERAGE(OFFSET($GD$3,0,0,'Données projet'!$E$17+1,1))-AVERAGE(OFFSET($H$3,0,0,'Données projet'!$E$17+1,1))</f>
        <v>#N/A</v>
      </c>
      <c r="GF122" s="61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81"/>
        <v>0</v>
      </c>
      <c r="GP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1" t="e">
        <f t="shared" si="83"/>
        <v>#N/A</v>
      </c>
      <c r="GZ122" s="61" t="e">
        <f ca="1">AVERAGE(OFFSET($GY$3,0,0,'Données projet'!$E$18+1,1))-AVERAGE(OFFSET($H$3,0,0,'Données projet'!$E$18+1,1))</f>
        <v>#N/A</v>
      </c>
      <c r="HA122" s="61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84"/>
        <v>0</v>
      </c>
    </row>
    <row r="123" spans="1:218" s="5" customFormat="1" x14ac:dyDescent="0.45">
      <c r="A123" s="11">
        <f t="shared" si="85"/>
        <v>120</v>
      </c>
      <c r="B123" s="76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9">
        <f t="shared" si="56"/>
        <v>183.33333333333334</v>
      </c>
      <c r="I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-3.4106051316484809E-13</v>
      </c>
      <c r="O123" s="14">
        <f>N123*VLOOKUP('Données projet'!$B$9,Paramètres!$A$1:$I$88,3,0)*VLOOKUP('Données projet'!$B$9,Paramètres!$A$1:$I$88,5,0)</f>
        <v>-2.0395418687257919E-13</v>
      </c>
      <c r="P123" s="14" t="e">
        <f t="shared" si="87"/>
        <v>#NUM!</v>
      </c>
      <c r="Q123" s="22" t="e">
        <f t="shared" si="107"/>
        <v>#NUM!</v>
      </c>
      <c r="R123" s="61" t="e">
        <f t="shared" si="55"/>
        <v>#NUM!</v>
      </c>
      <c r="S123" s="61">
        <f ca="1">AVERAGE(OFFSET($R$3,0,0,'Données projet'!$E$9+1,1))-AVERAGE(OFFSET($H$3,0,0,'Données projet'!$E$9+1,1))</f>
        <v>445.53168057836308</v>
      </c>
      <c r="T123" s="61">
        <f t="shared" si="88"/>
        <v>326.78684646135241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149.4750955906438</v>
      </c>
      <c r="AA123" s="23">
        <f>EXP(-LN(2)/25)*AA122+(1-EXP(-LN(2)/25))/(LN(2)/25)*Calculateur!V123*Calculateur!X123*VLOOKUP('Données projet'!$B$9,Paramètres!$A$1:$I$88,3,0)*0.475*44/12</f>
        <v>9.7421387768477352</v>
      </c>
      <c r="AB123" s="23">
        <f>EXP(-LN(2)/2)*AB122+(1-EXP(-LN(2)/2))/(LN(2)/2)*V123*Y123*VLOOKUP('Données projet'!$B$9,Paramètres!$A$1:$I$88,3,0)*0.475*44/12</f>
        <v>2.0019078424616743E-8</v>
      </c>
      <c r="AC123" s="24">
        <f t="shared" si="57"/>
        <v>159.21723438751062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-6.8212102632969618E-13</v>
      </c>
      <c r="AJ123" s="14">
        <f>AI123*VLOOKUP('Données projet'!$B$10,Paramètres!$A$1:$I$88,3,0)*VLOOKUP('Données projet'!$B$10,Paramètres!$A$1:$I$88,5,0)</f>
        <v>-3.1923264032229784E-13</v>
      </c>
      <c r="AK123" s="14" t="e">
        <f t="shared" si="89"/>
        <v>#NUM!</v>
      </c>
      <c r="AL123" s="22" t="e">
        <f t="shared" si="58"/>
        <v>#NUM!</v>
      </c>
      <c r="AM123" s="61" t="e">
        <f t="shared" si="59"/>
        <v>#NUM!</v>
      </c>
      <c r="AN123" s="61">
        <f ca="1">AVERAGE(OFFSET($AM$3,0,0,'Données projet'!$E$10+1,1))-AVERAGE(OFFSET($H$3,0,0,'Données projet'!$E$10+1,1))</f>
        <v>375.77859820466693</v>
      </c>
      <c r="AO123" s="61">
        <f t="shared" si="90"/>
        <v>242.84781402593856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239.3116363125161</v>
      </c>
      <c r="AV123" s="23">
        <f>EXP(-LN(2)/25)*AV122+(1-EXP(-LN(2)/25))/(LN(2)/25)*Calculateur!AQ123*Calculateur!AS123*VLOOKUP('Données projet'!$B$9,Paramètres!$A$1:$I$88,3,0)*0.475*44/12</f>
        <v>23.438579436266174</v>
      </c>
      <c r="AW123" s="23">
        <f>EXP(-LN(2)/2)*AW122+(1-EXP(-LN(2)/2))/(LN(2)/2)*AQ123*AT123*VLOOKUP('Données projet'!$B$9,Paramètres!$A$1:$I$88,3,0)*0.475*44/12</f>
        <v>0</v>
      </c>
      <c r="AX123" s="23">
        <f t="shared" si="60"/>
        <v>262.7502157487823</v>
      </c>
      <c r="AY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4.583333333333333</v>
      </c>
      <c r="BD123" s="13">
        <f>IF('Données projet'!$A$88&gt;35,BD122+BC123-BL122,IF(A123&lt;'Données projet'!$A$88,$BA$205^A123,IF(A123='Données projet'!$A$88,'Données projet'!$B$88,BD122+BC123-BL122)))</f>
        <v>202.08333333333368</v>
      </c>
      <c r="BE123" s="14">
        <f>BD123*VLOOKUP('Données projet'!$B$11,Paramètres!$A$1:$I$88,3,0)*VLOOKUP('Données projet'!$B$11,Paramètres!$A$1:$I$88,5,0)</f>
        <v>204.91250000000039</v>
      </c>
      <c r="BF123" s="14">
        <f t="shared" si="91"/>
        <v>50.822257109723743</v>
      </c>
      <c r="BG123" s="22">
        <f t="shared" si="61"/>
        <v>445.40470196610289</v>
      </c>
      <c r="BH123" s="61">
        <f t="shared" si="62"/>
        <v>727.51286270957951</v>
      </c>
      <c r="BI123" s="61">
        <f ca="1">AVERAGE(OFFSET($BH$3,0,0,'Données projet'!$E$11+1,1))-AVERAGE(OFFSET($H$3,0,0,'Données projet'!$E$11+1,1))</f>
        <v>433.57989081194</v>
      </c>
      <c r="BJ123" s="61">
        <f t="shared" si="92"/>
        <v>182.52060621271355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15.56810990952148</v>
      </c>
      <c r="BQ123" s="23">
        <f>EXP(-LN(2)/25)*BQ122+(1-EXP(-LN(2)/25))/(LN(2)/25)*Calculateur!BL123*Calculateur!BN123*VLOOKUP('Données projet'!$B$9,Paramètres!$A$1:$I$88,3,0)*0.475*44/12</f>
        <v>3.8241838885513326</v>
      </c>
      <c r="BR123" s="23">
        <f>EXP(-LN(2)/2)*BR122+(1-EXP(-LN(2)/2))/(LN(2)/2)*BL123*BO123*VLOOKUP('Données projet'!$B$9,Paramètres!$A$1:$I$88,3,0)*0.475*44/12</f>
        <v>0</v>
      </c>
      <c r="BS123" s="24">
        <f t="shared" si="63"/>
        <v>19.392293798072814</v>
      </c>
      <c r="BT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1" t="e">
        <f t="shared" si="65"/>
        <v>#N/A</v>
      </c>
      <c r="CD123" s="61" t="e">
        <f ca="1">AVERAGE(OFFSET($CC$3,0,0,'Données projet'!$E$12+1,1))-AVERAGE(OFFSET($H$3,0,0,'Données projet'!$E$12+1,1))</f>
        <v>#N/A</v>
      </c>
      <c r="CE123" s="61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66"/>
        <v>0</v>
      </c>
      <c r="CO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1" t="e">
        <f t="shared" si="68"/>
        <v>#N/A</v>
      </c>
      <c r="CY123" s="61" t="e">
        <f ca="1">AVERAGE(OFFSET($CX$3,0,0,'Données projet'!$E$13+1,1))-AVERAGE(OFFSET($H$3,0,0,'Données projet'!$E$13+1,1))</f>
        <v>#N/A</v>
      </c>
      <c r="CZ123" s="61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69"/>
        <v>0</v>
      </c>
      <c r="DJ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1" t="e">
        <f t="shared" si="71"/>
        <v>#N/A</v>
      </c>
      <c r="DT123" s="61" t="e">
        <f ca="1">AVERAGE(OFFSET($DS$3,0,0,'Données projet'!$E$14+1,1))-AVERAGE(OFFSET($H$3,0,0,'Données projet'!$E$14+1,1))</f>
        <v>#N/A</v>
      </c>
      <c r="DU123" s="61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2"/>
        <v>0</v>
      </c>
      <c r="EE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1" t="e">
        <f t="shared" si="74"/>
        <v>#N/A</v>
      </c>
      <c r="EO123" s="61" t="e">
        <f ca="1">AVERAGE(OFFSET($EN$3,0,0,'Données projet'!$E$15+1,1))-AVERAGE(OFFSET($H$3,0,0,'Données projet'!$E$15+1,1))</f>
        <v>#N/A</v>
      </c>
      <c r="EP123" s="61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75"/>
        <v>0</v>
      </c>
      <c r="EZ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1" t="e">
        <f t="shared" si="77"/>
        <v>#N/A</v>
      </c>
      <c r="FJ123" s="61" t="e">
        <f ca="1">AVERAGE(OFFSET($FI$3,0,0,'Données projet'!$E$16+1,1))-AVERAGE(OFFSET($H$3,0,0,'Données projet'!$E$16+1,1))</f>
        <v>#N/A</v>
      </c>
      <c r="FK123" s="61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78"/>
        <v>0</v>
      </c>
      <c r="FU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1" t="e">
        <f t="shared" si="80"/>
        <v>#N/A</v>
      </c>
      <c r="GE123" s="61" t="e">
        <f ca="1">AVERAGE(OFFSET($GD$3,0,0,'Données projet'!$E$17+1,1))-AVERAGE(OFFSET($H$3,0,0,'Données projet'!$E$17+1,1))</f>
        <v>#N/A</v>
      </c>
      <c r="GF123" s="61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81"/>
        <v>0</v>
      </c>
      <c r="GP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1" t="e">
        <f t="shared" si="83"/>
        <v>#N/A</v>
      </c>
      <c r="GZ123" s="61" t="e">
        <f ca="1">AVERAGE(OFFSET($GY$3,0,0,'Données projet'!$E$18+1,1))-AVERAGE(OFFSET($H$3,0,0,'Données projet'!$E$18+1,1))</f>
        <v>#N/A</v>
      </c>
      <c r="HA123" s="61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84"/>
        <v>0</v>
      </c>
    </row>
    <row r="124" spans="1:218" s="5" customFormat="1" x14ac:dyDescent="0.45">
      <c r="A124" s="11">
        <f t="shared" si="85"/>
        <v>121</v>
      </c>
      <c r="B124" s="76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9">
        <f t="shared" si="56"/>
        <v>183.33333333333334</v>
      </c>
      <c r="I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-3.4106051316484809E-13</v>
      </c>
      <c r="O124" s="14">
        <f>N124*VLOOKUP('Données projet'!$B$9,Paramètres!$A$1:$I$88,3,0)*VLOOKUP('Données projet'!$B$9,Paramètres!$A$1:$I$88,5,0)</f>
        <v>-2.0395418687257919E-13</v>
      </c>
      <c r="P124" s="14" t="e">
        <f t="shared" si="87"/>
        <v>#NUM!</v>
      </c>
      <c r="Q124" s="22" t="e">
        <f t="shared" si="107"/>
        <v>#NUM!</v>
      </c>
      <c r="R124" s="61" t="e">
        <f t="shared" si="55"/>
        <v>#NUM!</v>
      </c>
      <c r="S124" s="61">
        <f ca="1">AVERAGE(OFFSET($R$3,0,0,'Données projet'!$E$9+1,1))-AVERAGE(OFFSET($H$3,0,0,'Données projet'!$E$9+1,1))</f>
        <v>445.53168057836308</v>
      </c>
      <c r="T124" s="61">
        <f t="shared" si="88"/>
        <v>326.78684646135241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146.54398013691721</v>
      </c>
      <c r="AA124" s="23">
        <f>EXP(-LN(2)/25)*AA123+(1-EXP(-LN(2)/25))/(LN(2)/25)*Calculateur!V124*Calculateur!X124*VLOOKUP('Données projet'!$B$9,Paramètres!$A$1:$I$88,3,0)*0.475*44/12</f>
        <v>9.4757394796780208</v>
      </c>
      <c r="AB124" s="23">
        <f>EXP(-LN(2)/2)*AB123+(1-EXP(-LN(2)/2))/(LN(2)/2)*V124*Y124*VLOOKUP('Données projet'!$B$9,Paramètres!$A$1:$I$88,3,0)*0.475*44/12</f>
        <v>1.4155626107151806E-8</v>
      </c>
      <c r="AC124" s="24">
        <f t="shared" si="57"/>
        <v>156.01971963075087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-6.8212102632969618E-13</v>
      </c>
      <c r="AJ124" s="14">
        <f>AI124*VLOOKUP('Données projet'!$B$10,Paramètres!$A$1:$I$88,3,0)*VLOOKUP('Données projet'!$B$10,Paramètres!$A$1:$I$88,5,0)</f>
        <v>-3.1923264032229784E-13</v>
      </c>
      <c r="AK124" s="14" t="e">
        <f t="shared" si="89"/>
        <v>#NUM!</v>
      </c>
      <c r="AL124" s="22" t="e">
        <f t="shared" si="58"/>
        <v>#NUM!</v>
      </c>
      <c r="AM124" s="61" t="e">
        <f t="shared" si="59"/>
        <v>#NUM!</v>
      </c>
      <c r="AN124" s="61">
        <f ca="1">AVERAGE(OFFSET($AM$3,0,0,'Données projet'!$E$10+1,1))-AVERAGE(OFFSET($H$3,0,0,'Données projet'!$E$10+1,1))</f>
        <v>375.77859820466693</v>
      </c>
      <c r="AO124" s="61">
        <f t="shared" si="90"/>
        <v>242.84781402593856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234.61888109011289</v>
      </c>
      <c r="AV124" s="23">
        <f>EXP(-LN(2)/25)*AV123+(1-EXP(-LN(2)/25))/(LN(2)/25)*Calculateur!AQ124*Calculateur!AS124*VLOOKUP('Données projet'!$B$9,Paramètres!$A$1:$I$88,3,0)*0.475*44/12</f>
        <v>22.797650249000153</v>
      </c>
      <c r="AW124" s="23">
        <f>EXP(-LN(2)/2)*AW123+(1-EXP(-LN(2)/2))/(LN(2)/2)*AQ124*AT124*VLOOKUP('Données projet'!$B$9,Paramètres!$A$1:$I$88,3,0)*0.475*44/12</f>
        <v>0</v>
      </c>
      <c r="AX124" s="23">
        <f t="shared" si="60"/>
        <v>257.41653133911302</v>
      </c>
      <c r="AY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4.583333333333333</v>
      </c>
      <c r="BD124" s="13">
        <f>IF('Données projet'!$A$88&gt;35,BD123+BC124-BL123,IF(A124&lt;'Données projet'!$A$88,$BA$205^A124,IF(A124='Données projet'!$A$88,'Données projet'!$B$88,BD123+BC124-BL123)))</f>
        <v>206.66666666666703</v>
      </c>
      <c r="BE124" s="14">
        <f>BD124*VLOOKUP('Données projet'!$B$11,Paramètres!$A$1:$I$88,3,0)*VLOOKUP('Données projet'!$B$11,Paramètres!$A$1:$I$88,5,0)</f>
        <v>209.56000000000037</v>
      </c>
      <c r="BF124" s="14">
        <f t="shared" si="91"/>
        <v>51.839422893973925</v>
      </c>
      <c r="BG124" s="22">
        <f t="shared" si="61"/>
        <v>455.27066154033855</v>
      </c>
      <c r="BH124" s="61">
        <f t="shared" si="62"/>
        <v>737.57355393252294</v>
      </c>
      <c r="BI124" s="61">
        <f ca="1">AVERAGE(OFFSET($BH$3,0,0,'Données projet'!$E$11+1,1))-AVERAGE(OFFSET($H$3,0,0,'Données projet'!$E$11+1,1))</f>
        <v>433.57989081194</v>
      </c>
      <c r="BJ124" s="61">
        <f t="shared" si="92"/>
        <v>182.52060621271355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15.262828769805195</v>
      </c>
      <c r="BQ124" s="23">
        <f>EXP(-LN(2)/25)*BQ123+(1-EXP(-LN(2)/25))/(LN(2)/25)*Calculateur!BL124*Calculateur!BN124*VLOOKUP('Données projet'!$B$9,Paramètres!$A$1:$I$88,3,0)*0.475*44/12</f>
        <v>3.7196113790138061</v>
      </c>
      <c r="BR124" s="23">
        <f>EXP(-LN(2)/2)*BR123+(1-EXP(-LN(2)/2))/(LN(2)/2)*BL124*BO124*VLOOKUP('Données projet'!$B$9,Paramètres!$A$1:$I$88,3,0)*0.475*44/12</f>
        <v>0</v>
      </c>
      <c r="BS124" s="24">
        <f t="shared" si="63"/>
        <v>18.982440148819002</v>
      </c>
      <c r="BT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1" t="e">
        <f t="shared" si="65"/>
        <v>#N/A</v>
      </c>
      <c r="CD124" s="61" t="e">
        <f ca="1">AVERAGE(OFFSET($CC$3,0,0,'Données projet'!$E$12+1,1))-AVERAGE(OFFSET($H$3,0,0,'Données projet'!$E$12+1,1))</f>
        <v>#N/A</v>
      </c>
      <c r="CE124" s="61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66"/>
        <v>0</v>
      </c>
      <c r="CO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1" t="e">
        <f t="shared" si="68"/>
        <v>#N/A</v>
      </c>
      <c r="CY124" s="61" t="e">
        <f ca="1">AVERAGE(OFFSET($CX$3,0,0,'Données projet'!$E$13+1,1))-AVERAGE(OFFSET($H$3,0,0,'Données projet'!$E$13+1,1))</f>
        <v>#N/A</v>
      </c>
      <c r="CZ124" s="61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69"/>
        <v>0</v>
      </c>
      <c r="DJ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1" t="e">
        <f t="shared" si="71"/>
        <v>#N/A</v>
      </c>
      <c r="DT124" s="61" t="e">
        <f ca="1">AVERAGE(OFFSET($DS$3,0,0,'Données projet'!$E$14+1,1))-AVERAGE(OFFSET($H$3,0,0,'Données projet'!$E$14+1,1))</f>
        <v>#N/A</v>
      </c>
      <c r="DU124" s="61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2"/>
        <v>0</v>
      </c>
      <c r="EE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1" t="e">
        <f t="shared" si="74"/>
        <v>#N/A</v>
      </c>
      <c r="EO124" s="61" t="e">
        <f ca="1">AVERAGE(OFFSET($EN$3,0,0,'Données projet'!$E$15+1,1))-AVERAGE(OFFSET($H$3,0,0,'Données projet'!$E$15+1,1))</f>
        <v>#N/A</v>
      </c>
      <c r="EP124" s="61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75"/>
        <v>0</v>
      </c>
      <c r="EZ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1" t="e">
        <f t="shared" si="77"/>
        <v>#N/A</v>
      </c>
      <c r="FJ124" s="61" t="e">
        <f ca="1">AVERAGE(OFFSET($FI$3,0,0,'Données projet'!$E$16+1,1))-AVERAGE(OFFSET($H$3,0,0,'Données projet'!$E$16+1,1))</f>
        <v>#N/A</v>
      </c>
      <c r="FK124" s="61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78"/>
        <v>0</v>
      </c>
      <c r="FU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1" t="e">
        <f t="shared" si="80"/>
        <v>#N/A</v>
      </c>
      <c r="GE124" s="61" t="e">
        <f ca="1">AVERAGE(OFFSET($GD$3,0,0,'Données projet'!$E$17+1,1))-AVERAGE(OFFSET($H$3,0,0,'Données projet'!$E$17+1,1))</f>
        <v>#N/A</v>
      </c>
      <c r="GF124" s="61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81"/>
        <v>0</v>
      </c>
      <c r="GP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1" t="e">
        <f t="shared" si="83"/>
        <v>#N/A</v>
      </c>
      <c r="GZ124" s="61" t="e">
        <f ca="1">AVERAGE(OFFSET($GY$3,0,0,'Données projet'!$E$18+1,1))-AVERAGE(OFFSET($H$3,0,0,'Données projet'!$E$18+1,1))</f>
        <v>#N/A</v>
      </c>
      <c r="HA124" s="61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84"/>
        <v>0</v>
      </c>
    </row>
    <row r="125" spans="1:218" s="5" customFormat="1" x14ac:dyDescent="0.45">
      <c r="A125" s="11">
        <f t="shared" si="85"/>
        <v>122</v>
      </c>
      <c r="B125" s="76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9">
        <f t="shared" si="56"/>
        <v>183.33333333333334</v>
      </c>
      <c r="I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-3.4106051316484809E-13</v>
      </c>
      <c r="O125" s="14">
        <f>N125*VLOOKUP('Données projet'!$B$9,Paramètres!$A$1:$I$88,3,0)*VLOOKUP('Données projet'!$B$9,Paramètres!$A$1:$I$88,5,0)</f>
        <v>-2.0395418687257919E-13</v>
      </c>
      <c r="P125" s="14" t="e">
        <f t="shared" si="87"/>
        <v>#NUM!</v>
      </c>
      <c r="Q125" s="22" t="e">
        <f t="shared" si="107"/>
        <v>#NUM!</v>
      </c>
      <c r="R125" s="61" t="e">
        <f t="shared" si="55"/>
        <v>#NUM!</v>
      </c>
      <c r="S125" s="61">
        <f ca="1">AVERAGE(OFFSET($R$3,0,0,'Données projet'!$E$9+1,1))-AVERAGE(OFFSET($H$3,0,0,'Données projet'!$E$9+1,1))</f>
        <v>445.53168057836308</v>
      </c>
      <c r="T125" s="61">
        <f t="shared" si="88"/>
        <v>326.78684646135241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143.6703420694343</v>
      </c>
      <c r="AA125" s="23">
        <f>EXP(-LN(2)/25)*AA124+(1-EXP(-LN(2)/25))/(LN(2)/25)*Calculateur!V125*Calculateur!X125*VLOOKUP('Données projet'!$B$9,Paramètres!$A$1:$I$88,3,0)*0.475*44/12</f>
        <v>9.216624885298744</v>
      </c>
      <c r="AB125" s="23">
        <f>EXP(-LN(2)/2)*AB124+(1-EXP(-LN(2)/2))/(LN(2)/2)*V125*Y125*VLOOKUP('Données projet'!$B$9,Paramètres!$A$1:$I$88,3,0)*0.475*44/12</f>
        <v>1.0009539212308372E-8</v>
      </c>
      <c r="AC125" s="24">
        <f t="shared" si="57"/>
        <v>152.88696696474258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-6.8212102632969618E-13</v>
      </c>
      <c r="AJ125" s="14">
        <f>AI125*VLOOKUP('Données projet'!$B$10,Paramètres!$A$1:$I$88,3,0)*VLOOKUP('Données projet'!$B$10,Paramètres!$A$1:$I$88,5,0)</f>
        <v>-3.1923264032229784E-13</v>
      </c>
      <c r="AK125" s="14" t="e">
        <f t="shared" si="89"/>
        <v>#NUM!</v>
      </c>
      <c r="AL125" s="22" t="e">
        <f t="shared" si="58"/>
        <v>#NUM!</v>
      </c>
      <c r="AM125" s="61" t="e">
        <f t="shared" si="59"/>
        <v>#NUM!</v>
      </c>
      <c r="AN125" s="61">
        <f ca="1">AVERAGE(OFFSET($AM$3,0,0,'Données projet'!$E$10+1,1))-AVERAGE(OFFSET($H$3,0,0,'Données projet'!$E$10+1,1))</f>
        <v>375.77859820466693</v>
      </c>
      <c r="AO125" s="61">
        <f t="shared" si="90"/>
        <v>242.84781402593856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230.01814793532296</v>
      </c>
      <c r="AV125" s="23">
        <f>EXP(-LN(2)/25)*AV124+(1-EXP(-LN(2)/25))/(LN(2)/25)*Calculateur!AQ125*Calculateur!AS125*VLOOKUP('Données projet'!$B$9,Paramètres!$A$1:$I$88,3,0)*0.475*44/12</f>
        <v>22.17424730406492</v>
      </c>
      <c r="AW125" s="23">
        <f>EXP(-LN(2)/2)*AW124+(1-EXP(-LN(2)/2))/(LN(2)/2)*AQ125*AT125*VLOOKUP('Données projet'!$B$9,Paramètres!$A$1:$I$88,3,0)*0.475*44/12</f>
        <v>0</v>
      </c>
      <c r="AX125" s="23">
        <f t="shared" si="60"/>
        <v>252.19239523938788</v>
      </c>
      <c r="AY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4.583333333333333</v>
      </c>
      <c r="BD125" s="13">
        <f>IF('Données projet'!$A$88&gt;35,BD124+BC125-BL124,IF(A125&lt;'Données projet'!$A$88,$BA$205^A125,IF(A125='Données projet'!$A$88,'Données projet'!$B$88,BD124+BC125-BL124)))</f>
        <v>211.25000000000037</v>
      </c>
      <c r="BE125" s="14">
        <f>BD125*VLOOKUP('Données projet'!$B$11,Paramètres!$A$1:$I$88,3,0)*VLOOKUP('Données projet'!$B$11,Paramètres!$A$1:$I$88,5,0)</f>
        <v>214.20750000000041</v>
      </c>
      <c r="BF125" s="14">
        <f t="shared" si="91"/>
        <v>52.853966072968696</v>
      </c>
      <c r="BG125" s="22">
        <f t="shared" si="61"/>
        <v>465.13205341042112</v>
      </c>
      <c r="BH125" s="61">
        <f t="shared" si="62"/>
        <v>747.62629929256286</v>
      </c>
      <c r="BI125" s="61">
        <f ca="1">AVERAGE(OFFSET($BH$3,0,0,'Données projet'!$E$11+1,1))-AVERAGE(OFFSET($H$3,0,0,'Données projet'!$E$11+1,1))</f>
        <v>433.57989081194</v>
      </c>
      <c r="BJ125" s="61">
        <f t="shared" si="92"/>
        <v>182.52060621271355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14.963534007035637</v>
      </c>
      <c r="BQ125" s="23">
        <f>EXP(-LN(2)/25)*BQ124+(1-EXP(-LN(2)/25))/(LN(2)/25)*Calculateur!BL125*Calculateur!BN125*VLOOKUP('Données projet'!$B$9,Paramètres!$A$1:$I$88,3,0)*0.475*44/12</f>
        <v>3.6178984102488125</v>
      </c>
      <c r="BR125" s="23">
        <f>EXP(-LN(2)/2)*BR124+(1-EXP(-LN(2)/2))/(LN(2)/2)*BL125*BO125*VLOOKUP('Données projet'!$B$9,Paramètres!$A$1:$I$88,3,0)*0.475*44/12</f>
        <v>0</v>
      </c>
      <c r="BS125" s="24">
        <f t="shared" si="63"/>
        <v>18.58143241728445</v>
      </c>
      <c r="BT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1" t="e">
        <f t="shared" si="65"/>
        <v>#N/A</v>
      </c>
      <c r="CD125" s="61" t="e">
        <f ca="1">AVERAGE(OFFSET($CC$3,0,0,'Données projet'!$E$12+1,1))-AVERAGE(OFFSET($H$3,0,0,'Données projet'!$E$12+1,1))</f>
        <v>#N/A</v>
      </c>
      <c r="CE125" s="61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66"/>
        <v>0</v>
      </c>
      <c r="CO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1" t="e">
        <f t="shared" si="68"/>
        <v>#N/A</v>
      </c>
      <c r="CY125" s="61" t="e">
        <f ca="1">AVERAGE(OFFSET($CX$3,0,0,'Données projet'!$E$13+1,1))-AVERAGE(OFFSET($H$3,0,0,'Données projet'!$E$13+1,1))</f>
        <v>#N/A</v>
      </c>
      <c r="CZ125" s="61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69"/>
        <v>0</v>
      </c>
      <c r="DJ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1" t="e">
        <f t="shared" si="71"/>
        <v>#N/A</v>
      </c>
      <c r="DT125" s="61" t="e">
        <f ca="1">AVERAGE(OFFSET($DS$3,0,0,'Données projet'!$E$14+1,1))-AVERAGE(OFFSET($H$3,0,0,'Données projet'!$E$14+1,1))</f>
        <v>#N/A</v>
      </c>
      <c r="DU125" s="61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2"/>
        <v>0</v>
      </c>
      <c r="EE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1" t="e">
        <f t="shared" si="74"/>
        <v>#N/A</v>
      </c>
      <c r="EO125" s="61" t="e">
        <f ca="1">AVERAGE(OFFSET($EN$3,0,0,'Données projet'!$E$15+1,1))-AVERAGE(OFFSET($H$3,0,0,'Données projet'!$E$15+1,1))</f>
        <v>#N/A</v>
      </c>
      <c r="EP125" s="61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75"/>
        <v>0</v>
      </c>
      <c r="EZ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1" t="e">
        <f t="shared" si="77"/>
        <v>#N/A</v>
      </c>
      <c r="FJ125" s="61" t="e">
        <f ca="1">AVERAGE(OFFSET($FI$3,0,0,'Données projet'!$E$16+1,1))-AVERAGE(OFFSET($H$3,0,0,'Données projet'!$E$16+1,1))</f>
        <v>#N/A</v>
      </c>
      <c r="FK125" s="61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78"/>
        <v>0</v>
      </c>
      <c r="FU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1" t="e">
        <f t="shared" si="80"/>
        <v>#N/A</v>
      </c>
      <c r="GE125" s="61" t="e">
        <f ca="1">AVERAGE(OFFSET($GD$3,0,0,'Données projet'!$E$17+1,1))-AVERAGE(OFFSET($H$3,0,0,'Données projet'!$E$17+1,1))</f>
        <v>#N/A</v>
      </c>
      <c r="GF125" s="61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81"/>
        <v>0</v>
      </c>
      <c r="GP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1" t="e">
        <f t="shared" si="83"/>
        <v>#N/A</v>
      </c>
      <c r="GZ125" s="61" t="e">
        <f ca="1">AVERAGE(OFFSET($GY$3,0,0,'Données projet'!$E$18+1,1))-AVERAGE(OFFSET($H$3,0,0,'Données projet'!$E$18+1,1))</f>
        <v>#N/A</v>
      </c>
      <c r="HA125" s="61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84"/>
        <v>0</v>
      </c>
    </row>
    <row r="126" spans="1:218" s="5" customFormat="1" x14ac:dyDescent="0.45">
      <c r="A126" s="11">
        <f t="shared" si="85"/>
        <v>123</v>
      </c>
      <c r="B126" s="76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9">
        <f t="shared" si="56"/>
        <v>183.33333333333334</v>
      </c>
      <c r="I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-3.4106051316484809E-13</v>
      </c>
      <c r="O126" s="14">
        <f>N126*VLOOKUP('Données projet'!$B$9,Paramètres!$A$1:$I$88,3,0)*VLOOKUP('Données projet'!$B$9,Paramètres!$A$1:$I$88,5,0)</f>
        <v>-2.0395418687257919E-13</v>
      </c>
      <c r="P126" s="14" t="e">
        <f t="shared" si="87"/>
        <v>#NUM!</v>
      </c>
      <c r="Q126" s="22" t="e">
        <f t="shared" si="107"/>
        <v>#NUM!</v>
      </c>
      <c r="R126" s="61" t="e">
        <f t="shared" si="55"/>
        <v>#NUM!</v>
      </c>
      <c r="S126" s="61">
        <f ca="1">AVERAGE(OFFSET($R$3,0,0,'Données projet'!$E$9+1,1))-AVERAGE(OFFSET($H$3,0,0,'Données projet'!$E$9+1,1))</f>
        <v>445.53168057836308</v>
      </c>
      <c r="T126" s="61">
        <f t="shared" si="88"/>
        <v>326.78684646135241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140.85305429170859</v>
      </c>
      <c r="AA126" s="23">
        <f>EXP(-LN(2)/25)*AA125+(1-EXP(-LN(2)/25))/(LN(2)/25)*Calculateur!V126*Calculateur!X126*VLOOKUP('Données projet'!$B$9,Paramètres!$A$1:$I$88,3,0)*0.475*44/12</f>
        <v>8.9645957931290123</v>
      </c>
      <c r="AB126" s="23">
        <f>EXP(-LN(2)/2)*AB125+(1-EXP(-LN(2)/2))/(LN(2)/2)*V126*Y126*VLOOKUP('Données projet'!$B$9,Paramètres!$A$1:$I$88,3,0)*0.475*44/12</f>
        <v>7.0778130535759032E-9</v>
      </c>
      <c r="AC126" s="24">
        <f t="shared" si="57"/>
        <v>149.8176500919154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-6.8212102632969618E-13</v>
      </c>
      <c r="AJ126" s="14">
        <f>AI126*VLOOKUP('Données projet'!$B$10,Paramètres!$A$1:$I$88,3,0)*VLOOKUP('Données projet'!$B$10,Paramètres!$A$1:$I$88,5,0)</f>
        <v>-3.1923264032229784E-13</v>
      </c>
      <c r="AK126" s="14" t="e">
        <f t="shared" si="89"/>
        <v>#NUM!</v>
      </c>
      <c r="AL126" s="22" t="e">
        <f t="shared" si="58"/>
        <v>#NUM!</v>
      </c>
      <c r="AM126" s="61" t="e">
        <f t="shared" si="59"/>
        <v>#NUM!</v>
      </c>
      <c r="AN126" s="61">
        <f ca="1">AVERAGE(OFFSET($AM$3,0,0,'Données projet'!$E$10+1,1))-AVERAGE(OFFSET($H$3,0,0,'Données projet'!$E$10+1,1))</f>
        <v>375.77859820466693</v>
      </c>
      <c r="AO126" s="61">
        <f t="shared" si="90"/>
        <v>242.84781402593856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225.50763235152831</v>
      </c>
      <c r="AV126" s="23">
        <f>EXP(-LN(2)/25)*AV125+(1-EXP(-LN(2)/25))/(LN(2)/25)*Calculateur!AQ126*Calculateur!AS126*VLOOKUP('Données projet'!$B$9,Paramètres!$A$1:$I$88,3,0)*0.475*44/12</f>
        <v>21.56789134544228</v>
      </c>
      <c r="AW126" s="23">
        <f>EXP(-LN(2)/2)*AW125+(1-EXP(-LN(2)/2))/(LN(2)/2)*AQ126*AT126*VLOOKUP('Données projet'!$B$9,Paramètres!$A$1:$I$88,3,0)*0.475*44/12</f>
        <v>0</v>
      </c>
      <c r="AX126" s="23">
        <f t="shared" si="60"/>
        <v>247.07552369697061</v>
      </c>
      <c r="AY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4.583333333333333</v>
      </c>
      <c r="BD126" s="13">
        <f>IF('Données projet'!$A$88&gt;35,BD125+BC126-BL125,IF(A126&lt;'Données projet'!$A$88,$BA$205^A126,IF(A126='Données projet'!$A$88,'Données projet'!$B$88,BD125+BC126-BL125)))</f>
        <v>215.83333333333371</v>
      </c>
      <c r="BE126" s="14">
        <f>BD126*VLOOKUP('Données projet'!$B$11,Paramètres!$A$1:$I$88,3,0)*VLOOKUP('Données projet'!$B$11,Paramètres!$A$1:$I$88,5,0)</f>
        <v>218.85500000000039</v>
      </c>
      <c r="BF126" s="14">
        <f t="shared" si="91"/>
        <v>53.865950100565648</v>
      </c>
      <c r="BG126" s="22">
        <f t="shared" si="61"/>
        <v>474.98898809181907</v>
      </c>
      <c r="BH126" s="61">
        <f t="shared" si="62"/>
        <v>757.67126790866973</v>
      </c>
      <c r="BI126" s="61">
        <f ca="1">AVERAGE(OFFSET($BH$3,0,0,'Données projet'!$E$11+1,1))-AVERAGE(OFFSET($H$3,0,0,'Données projet'!$E$11+1,1))</f>
        <v>433.57989081194</v>
      </c>
      <c r="BJ126" s="61">
        <f t="shared" si="92"/>
        <v>182.52060621271355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14.670108232012211</v>
      </c>
      <c r="BQ126" s="23">
        <f>EXP(-LN(2)/25)*BQ125+(1-EXP(-LN(2)/25))/(LN(2)/25)*Calculateur!BL126*Calculateur!BN126*VLOOKUP('Données projet'!$B$9,Paramètres!$A$1:$I$88,3,0)*0.475*44/12</f>
        <v>3.5189667879635502</v>
      </c>
      <c r="BR126" s="23">
        <f>EXP(-LN(2)/2)*BR125+(1-EXP(-LN(2)/2))/(LN(2)/2)*BL126*BO126*VLOOKUP('Données projet'!$B$9,Paramètres!$A$1:$I$88,3,0)*0.475*44/12</f>
        <v>0</v>
      </c>
      <c r="BS126" s="24">
        <f t="shared" si="63"/>
        <v>18.18907501997576</v>
      </c>
      <c r="BT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1" t="e">
        <f t="shared" si="65"/>
        <v>#N/A</v>
      </c>
      <c r="CD126" s="61" t="e">
        <f ca="1">AVERAGE(OFFSET($CC$3,0,0,'Données projet'!$E$12+1,1))-AVERAGE(OFFSET($H$3,0,0,'Données projet'!$E$12+1,1))</f>
        <v>#N/A</v>
      </c>
      <c r="CE126" s="61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66"/>
        <v>0</v>
      </c>
      <c r="CO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1" t="e">
        <f t="shared" si="68"/>
        <v>#N/A</v>
      </c>
      <c r="CY126" s="61" t="e">
        <f ca="1">AVERAGE(OFFSET($CX$3,0,0,'Données projet'!$E$13+1,1))-AVERAGE(OFFSET($H$3,0,0,'Données projet'!$E$13+1,1))</f>
        <v>#N/A</v>
      </c>
      <c r="CZ126" s="61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69"/>
        <v>0</v>
      </c>
      <c r="DJ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1" t="e">
        <f t="shared" si="71"/>
        <v>#N/A</v>
      </c>
      <c r="DT126" s="61" t="e">
        <f ca="1">AVERAGE(OFFSET($DS$3,0,0,'Données projet'!$E$14+1,1))-AVERAGE(OFFSET($H$3,0,0,'Données projet'!$E$14+1,1))</f>
        <v>#N/A</v>
      </c>
      <c r="DU126" s="61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2"/>
        <v>0</v>
      </c>
      <c r="EE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1" t="e">
        <f t="shared" si="74"/>
        <v>#N/A</v>
      </c>
      <c r="EO126" s="61" t="e">
        <f ca="1">AVERAGE(OFFSET($EN$3,0,0,'Données projet'!$E$15+1,1))-AVERAGE(OFFSET($H$3,0,0,'Données projet'!$E$15+1,1))</f>
        <v>#N/A</v>
      </c>
      <c r="EP126" s="61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75"/>
        <v>0</v>
      </c>
      <c r="EZ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1" t="e">
        <f t="shared" si="77"/>
        <v>#N/A</v>
      </c>
      <c r="FJ126" s="61" t="e">
        <f ca="1">AVERAGE(OFFSET($FI$3,0,0,'Données projet'!$E$16+1,1))-AVERAGE(OFFSET($H$3,0,0,'Données projet'!$E$16+1,1))</f>
        <v>#N/A</v>
      </c>
      <c r="FK126" s="61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78"/>
        <v>0</v>
      </c>
      <c r="FU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1" t="e">
        <f t="shared" si="80"/>
        <v>#N/A</v>
      </c>
      <c r="GE126" s="61" t="e">
        <f ca="1">AVERAGE(OFFSET($GD$3,0,0,'Données projet'!$E$17+1,1))-AVERAGE(OFFSET($H$3,0,0,'Données projet'!$E$17+1,1))</f>
        <v>#N/A</v>
      </c>
      <c r="GF126" s="61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81"/>
        <v>0</v>
      </c>
      <c r="GP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1" t="e">
        <f t="shared" si="83"/>
        <v>#N/A</v>
      </c>
      <c r="GZ126" s="61" t="e">
        <f ca="1">AVERAGE(OFFSET($GY$3,0,0,'Données projet'!$E$18+1,1))-AVERAGE(OFFSET($H$3,0,0,'Données projet'!$E$18+1,1))</f>
        <v>#N/A</v>
      </c>
      <c r="HA126" s="61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84"/>
        <v>0</v>
      </c>
    </row>
    <row r="127" spans="1:218" s="5" customFormat="1" x14ac:dyDescent="0.45">
      <c r="A127" s="11">
        <f t="shared" si="85"/>
        <v>124</v>
      </c>
      <c r="B127" s="76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9">
        <f t="shared" si="56"/>
        <v>183.33333333333334</v>
      </c>
      <c r="I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-3.4106051316484809E-13</v>
      </c>
      <c r="O127" s="14">
        <f>N127*VLOOKUP('Données projet'!$B$9,Paramètres!$A$1:$I$88,3,0)*VLOOKUP('Données projet'!$B$9,Paramètres!$A$1:$I$88,5,0)</f>
        <v>-2.0395418687257919E-13</v>
      </c>
      <c r="P127" s="14" t="e">
        <f t="shared" si="87"/>
        <v>#NUM!</v>
      </c>
      <c r="Q127" s="22" t="e">
        <f t="shared" si="107"/>
        <v>#NUM!</v>
      </c>
      <c r="R127" s="61" t="e">
        <f t="shared" si="55"/>
        <v>#NUM!</v>
      </c>
      <c r="S127" s="61">
        <f ca="1">AVERAGE(OFFSET($R$3,0,0,'Données projet'!$E$9+1,1))-AVERAGE(OFFSET($H$3,0,0,'Données projet'!$E$9+1,1))</f>
        <v>445.53168057836308</v>
      </c>
      <c r="T127" s="61">
        <f t="shared" si="88"/>
        <v>326.78684646135241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138.09101180892822</v>
      </c>
      <c r="AA127" s="23">
        <f>EXP(-LN(2)/25)*AA126+(1-EXP(-LN(2)/25))/(LN(2)/25)*Calculateur!V127*Calculateur!X127*VLOOKUP('Données projet'!$B$9,Paramètres!$A$1:$I$88,3,0)*0.475*44/12</f>
        <v>8.7194584497382959</v>
      </c>
      <c r="AB127" s="23">
        <f>EXP(-LN(2)/2)*AB126+(1-EXP(-LN(2)/2))/(LN(2)/2)*V127*Y127*VLOOKUP('Données projet'!$B$9,Paramètres!$A$1:$I$88,3,0)*0.475*44/12</f>
        <v>5.0047696061541859E-9</v>
      </c>
      <c r="AC127" s="24">
        <f t="shared" si="57"/>
        <v>146.81047026367128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-6.8212102632969618E-13</v>
      </c>
      <c r="AJ127" s="14">
        <f>AI127*VLOOKUP('Données projet'!$B$10,Paramètres!$A$1:$I$88,3,0)*VLOOKUP('Données projet'!$B$10,Paramètres!$A$1:$I$88,5,0)</f>
        <v>-3.1923264032229784E-13</v>
      </c>
      <c r="AK127" s="14" t="e">
        <f t="shared" si="89"/>
        <v>#NUM!</v>
      </c>
      <c r="AL127" s="22" t="e">
        <f t="shared" si="58"/>
        <v>#NUM!</v>
      </c>
      <c r="AM127" s="61" t="e">
        <f t="shared" si="59"/>
        <v>#NUM!</v>
      </c>
      <c r="AN127" s="61">
        <f ca="1">AVERAGE(OFFSET($AM$3,0,0,'Données projet'!$E$10+1,1))-AVERAGE(OFFSET($H$3,0,0,'Données projet'!$E$10+1,1))</f>
        <v>375.77859820466693</v>
      </c>
      <c r="AO127" s="61">
        <f t="shared" si="90"/>
        <v>242.84781402593856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221.08556522718902</v>
      </c>
      <c r="AV127" s="23">
        <f>EXP(-LN(2)/25)*AV126+(1-EXP(-LN(2)/25))/(LN(2)/25)*Calculateur!AQ127*Calculateur!AS127*VLOOKUP('Données projet'!$B$9,Paramètres!$A$1:$I$88,3,0)*0.475*44/12</f>
        <v>20.978116222395048</v>
      </c>
      <c r="AW127" s="23">
        <f>EXP(-LN(2)/2)*AW126+(1-EXP(-LN(2)/2))/(LN(2)/2)*AQ127*AT127*VLOOKUP('Données projet'!$B$9,Paramètres!$A$1:$I$88,3,0)*0.475*44/12</f>
        <v>0</v>
      </c>
      <c r="AX127" s="23">
        <f t="shared" si="60"/>
        <v>242.06368144958407</v>
      </c>
      <c r="AY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4.583333333333333</v>
      </c>
      <c r="BD127" s="13">
        <f>IF('Données projet'!$A$88&gt;35,BD126+BC127-BL126,IF(A127&lt;'Données projet'!$A$88,$BA$205^A127,IF(A127='Données projet'!$A$88,'Données projet'!$B$88,BD126+BC127-BL126)))</f>
        <v>220.41666666666706</v>
      </c>
      <c r="BE127" s="14">
        <f>BD127*VLOOKUP('Données projet'!$B$11,Paramètres!$A$1:$I$88,3,0)*VLOOKUP('Données projet'!$B$11,Paramètres!$A$1:$I$88,5,0)</f>
        <v>223.50250000000042</v>
      </c>
      <c r="BF127" s="14">
        <f t="shared" si="91"/>
        <v>54.875435581703343</v>
      </c>
      <c r="BG127" s="22">
        <f t="shared" si="61"/>
        <v>484.84157113813404</v>
      </c>
      <c r="BH127" s="61">
        <f t="shared" si="62"/>
        <v>767.70862292130732</v>
      </c>
      <c r="BI127" s="61">
        <f ca="1">AVERAGE(OFFSET($BH$3,0,0,'Données projet'!$E$11+1,1))-AVERAGE(OFFSET($H$3,0,0,'Données projet'!$E$11+1,1))</f>
        <v>433.57989081194</v>
      </c>
      <c r="BJ127" s="61">
        <f t="shared" si="92"/>
        <v>182.52060621271355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14.382436357464943</v>
      </c>
      <c r="BQ127" s="23">
        <f>EXP(-LN(2)/25)*BQ126+(1-EXP(-LN(2)/25))/(LN(2)/25)*Calculateur!BL127*Calculateur!BN127*VLOOKUP('Données projet'!$B$9,Paramètres!$A$1:$I$88,3,0)*0.475*44/12</f>
        <v>3.4227404560922663</v>
      </c>
      <c r="BR127" s="23">
        <f>EXP(-LN(2)/2)*BR126+(1-EXP(-LN(2)/2))/(LN(2)/2)*BL127*BO127*VLOOKUP('Données projet'!$B$9,Paramètres!$A$1:$I$88,3,0)*0.475*44/12</f>
        <v>0</v>
      </c>
      <c r="BS127" s="24">
        <f t="shared" si="63"/>
        <v>17.80517681355721</v>
      </c>
      <c r="BT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1" t="e">
        <f t="shared" si="65"/>
        <v>#N/A</v>
      </c>
      <c r="CD127" s="61" t="e">
        <f ca="1">AVERAGE(OFFSET($CC$3,0,0,'Données projet'!$E$12+1,1))-AVERAGE(OFFSET($H$3,0,0,'Données projet'!$E$12+1,1))</f>
        <v>#N/A</v>
      </c>
      <c r="CE127" s="61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66"/>
        <v>0</v>
      </c>
      <c r="CO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1" t="e">
        <f t="shared" si="68"/>
        <v>#N/A</v>
      </c>
      <c r="CY127" s="61" t="e">
        <f ca="1">AVERAGE(OFFSET($CX$3,0,0,'Données projet'!$E$13+1,1))-AVERAGE(OFFSET($H$3,0,0,'Données projet'!$E$13+1,1))</f>
        <v>#N/A</v>
      </c>
      <c r="CZ127" s="61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69"/>
        <v>0</v>
      </c>
      <c r="DJ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1" t="e">
        <f t="shared" si="71"/>
        <v>#N/A</v>
      </c>
      <c r="DT127" s="61" t="e">
        <f ca="1">AVERAGE(OFFSET($DS$3,0,0,'Données projet'!$E$14+1,1))-AVERAGE(OFFSET($H$3,0,0,'Données projet'!$E$14+1,1))</f>
        <v>#N/A</v>
      </c>
      <c r="DU127" s="61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2"/>
        <v>0</v>
      </c>
      <c r="EE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1" t="e">
        <f t="shared" si="74"/>
        <v>#N/A</v>
      </c>
      <c r="EO127" s="61" t="e">
        <f ca="1">AVERAGE(OFFSET($EN$3,0,0,'Données projet'!$E$15+1,1))-AVERAGE(OFFSET($H$3,0,0,'Données projet'!$E$15+1,1))</f>
        <v>#N/A</v>
      </c>
      <c r="EP127" s="61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75"/>
        <v>0</v>
      </c>
      <c r="EZ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1" t="e">
        <f t="shared" si="77"/>
        <v>#N/A</v>
      </c>
      <c r="FJ127" s="61" t="e">
        <f ca="1">AVERAGE(OFFSET($FI$3,0,0,'Données projet'!$E$16+1,1))-AVERAGE(OFFSET($H$3,0,0,'Données projet'!$E$16+1,1))</f>
        <v>#N/A</v>
      </c>
      <c r="FK127" s="61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78"/>
        <v>0</v>
      </c>
      <c r="FU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1" t="e">
        <f t="shared" si="80"/>
        <v>#N/A</v>
      </c>
      <c r="GE127" s="61" t="e">
        <f ca="1">AVERAGE(OFFSET($GD$3,0,0,'Données projet'!$E$17+1,1))-AVERAGE(OFFSET($H$3,0,0,'Données projet'!$E$17+1,1))</f>
        <v>#N/A</v>
      </c>
      <c r="GF127" s="61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81"/>
        <v>0</v>
      </c>
      <c r="GP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1" t="e">
        <f t="shared" si="83"/>
        <v>#N/A</v>
      </c>
      <c r="GZ127" s="61" t="e">
        <f ca="1">AVERAGE(OFFSET($GY$3,0,0,'Données projet'!$E$18+1,1))-AVERAGE(OFFSET($H$3,0,0,'Données projet'!$E$18+1,1))</f>
        <v>#N/A</v>
      </c>
      <c r="HA127" s="61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84"/>
        <v>0</v>
      </c>
    </row>
    <row r="128" spans="1:218" s="5" customFormat="1" x14ac:dyDescent="0.45">
      <c r="A128" s="11">
        <f t="shared" si="85"/>
        <v>125</v>
      </c>
      <c r="B128" s="76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9">
        <f t="shared" si="56"/>
        <v>183.33333333333334</v>
      </c>
      <c r="I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-3.4106051316484809E-13</v>
      </c>
      <c r="O128" s="14">
        <f>N128*VLOOKUP('Données projet'!$B$9,Paramètres!$A$1:$I$88,3,0)*VLOOKUP('Données projet'!$B$9,Paramètres!$A$1:$I$88,5,0)</f>
        <v>-2.0395418687257919E-13</v>
      </c>
      <c r="P128" s="14" t="e">
        <f t="shared" si="87"/>
        <v>#NUM!</v>
      </c>
      <c r="Q128" s="22" t="e">
        <f t="shared" si="107"/>
        <v>#NUM!</v>
      </c>
      <c r="R128" s="61" t="e">
        <f t="shared" si="55"/>
        <v>#NUM!</v>
      </c>
      <c r="S128" s="61">
        <f ca="1">AVERAGE(OFFSET($R$3,0,0,'Données projet'!$E$9+1,1))-AVERAGE(OFFSET($H$3,0,0,'Données projet'!$E$9+1,1))</f>
        <v>445.53168057836308</v>
      </c>
      <c r="T128" s="61">
        <f t="shared" si="88"/>
        <v>326.78684646135241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135.3831312945556</v>
      </c>
      <c r="AA128" s="23">
        <f>EXP(-LN(2)/25)*AA127+(1-EXP(-LN(2)/25))/(LN(2)/25)*Calculateur!V128*Calculateur!X128*VLOOKUP('Données projet'!$B$9,Paramètres!$A$1:$I$88,3,0)*0.475*44/12</f>
        <v>8.4810243998938102</v>
      </c>
      <c r="AB128" s="23">
        <f>EXP(-LN(2)/2)*AB127+(1-EXP(-LN(2)/2))/(LN(2)/2)*V128*Y128*VLOOKUP('Données projet'!$B$9,Paramètres!$A$1:$I$88,3,0)*0.475*44/12</f>
        <v>3.5389065267879516E-9</v>
      </c>
      <c r="AC128" s="24">
        <f t="shared" si="57"/>
        <v>143.86415569798831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-6.8212102632969618E-13</v>
      </c>
      <c r="AJ128" s="14">
        <f>AI128*VLOOKUP('Données projet'!$B$10,Paramètres!$A$1:$I$88,3,0)*VLOOKUP('Données projet'!$B$10,Paramètres!$A$1:$I$88,5,0)</f>
        <v>-3.1923264032229784E-13</v>
      </c>
      <c r="AK128" s="14" t="e">
        <f t="shared" si="89"/>
        <v>#NUM!</v>
      </c>
      <c r="AL128" s="22" t="e">
        <f t="shared" si="58"/>
        <v>#NUM!</v>
      </c>
      <c r="AM128" s="61" t="e">
        <f t="shared" si="59"/>
        <v>#NUM!</v>
      </c>
      <c r="AN128" s="61">
        <f ca="1">AVERAGE(OFFSET($AM$3,0,0,'Données projet'!$E$10+1,1))-AVERAGE(OFFSET($H$3,0,0,'Données projet'!$E$10+1,1))</f>
        <v>375.77859820466693</v>
      </c>
      <c r="AO128" s="61">
        <f t="shared" si="90"/>
        <v>242.84781402593856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216.7502121419634</v>
      </c>
      <c r="AV128" s="23">
        <f>EXP(-LN(2)/25)*AV127+(1-EXP(-LN(2)/25))/(LN(2)/25)*Calculateur!AQ128*Calculateur!AS128*VLOOKUP('Données projet'!$B$9,Paramètres!$A$1:$I$88,3,0)*0.475*44/12</f>
        <v>20.40446853110247</v>
      </c>
      <c r="AW128" s="23">
        <f>EXP(-LN(2)/2)*AW127+(1-EXP(-LN(2)/2))/(LN(2)/2)*AQ128*AT128*VLOOKUP('Données projet'!$B$9,Paramètres!$A$1:$I$88,3,0)*0.475*44/12</f>
        <v>0</v>
      </c>
      <c r="AX128" s="23">
        <f t="shared" si="60"/>
        <v>237.15468067306588</v>
      </c>
      <c r="AY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225</v>
      </c>
      <c r="BB128" s="13">
        <f>VLOOKUP(A128,'Données projet'!$A$87:$I$107,9,0)</f>
        <v>4.583333333333333</v>
      </c>
      <c r="BC128" s="13">
        <f t="array" ref="BC128">INDEX(BB:BB,MIN(IF(ISNUMBER(BB128:BB324),ROW(BB128:BB324),"")))</f>
        <v>4.583333333333333</v>
      </c>
      <c r="BD128" s="13">
        <f>IF('Données projet'!$A$88&gt;35,BD127+BC128-BL127,IF(A128&lt;'Données projet'!$A$88,$BA$205^A128,IF(A128='Données projet'!$A$88,'Données projet'!$B$88,BD127+BC128-BL127)))</f>
        <v>225.0000000000004</v>
      </c>
      <c r="BE128" s="14">
        <f>BD128*VLOOKUP('Données projet'!$B$11,Paramètres!$A$1:$I$88,3,0)*VLOOKUP('Données projet'!$B$11,Paramètres!$A$1:$I$88,5,0)</f>
        <v>228.1500000000004</v>
      </c>
      <c r="BF128" s="14">
        <f t="shared" si="91"/>
        <v>55.882480456847752</v>
      </c>
      <c r="BG128" s="22">
        <f t="shared" si="61"/>
        <v>494.68990346234386</v>
      </c>
      <c r="BH128" s="61">
        <f t="shared" si="62"/>
        <v>777.73852183131237</v>
      </c>
      <c r="BI128" s="61">
        <f ca="1">AVERAGE(OFFSET($BH$3,0,0,'Données projet'!$E$11+1,1))-AVERAGE(OFFSET($H$3,0,0,'Données projet'!$E$11+1,1))</f>
        <v>433.57989081194</v>
      </c>
      <c r="BJ128" s="61">
        <f t="shared" si="92"/>
        <v>182.52060621271355</v>
      </c>
      <c r="BK128" s="16">
        <f>IF(ISNA(VLOOKUP(A128,'Données projet'!$A$87:$I$107,3,0)),0,VLOOKUP(A128,'Données projet'!$A$87:$I$107,3,0))</f>
        <v>7</v>
      </c>
      <c r="BL128" s="16">
        <f>IF(ISNA(VLOOKUP(A128,'Données projet'!$A$87:$I$107,4,0)),0,VLOOKUP(A128,'Données projet'!$A$87:$I$107,4,0))</f>
        <v>38</v>
      </c>
      <c r="BM128" s="17">
        <f>IF(ISNA(VLOOKUP(A128,'Données projet'!$A$87:$I$107,5,0)),0%,VLOOKUP(A128,'Données projet'!$A$87:$I$107,5,0)*VLOOKUP('Données projet'!$B$11,Paramètres!$A$1:$I$88,7,0))</f>
        <v>0.38700000000000001</v>
      </c>
      <c r="BN128" s="17">
        <f>IF(ISNA(VLOOKUP(A128,'Données projet'!$A$87:$I$107,6,0)),0%,VLOOKUP(A128,'Données projet'!$A$87:$I$107,6,0)*VLOOKUP('Données projet'!$B$11,Paramètres!$A$1:$I$88,7,0))</f>
        <v>4.3000000000000003E-2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25.766462768167969</v>
      </c>
      <c r="BQ128" s="23">
        <f>EXP(-LN(2)/25)*BQ127+(1-EXP(-LN(2)/25))/(LN(2)/25)*Calculateur!BL128*Calculateur!BN128*VLOOKUP('Données projet'!$B$9,Paramètres!$A$1:$I$88,3,0)*0.475*44/12</f>
        <v>4.6202702719796811</v>
      </c>
      <c r="BR128" s="23">
        <f>EXP(-LN(2)/2)*BR127+(1-EXP(-LN(2)/2))/(LN(2)/2)*BL128*BO128*VLOOKUP('Données projet'!$B$9,Paramètres!$A$1:$I$88,3,0)*0.475*44/12</f>
        <v>0</v>
      </c>
      <c r="BS128" s="24">
        <f t="shared" si="63"/>
        <v>30.38673304014765</v>
      </c>
      <c r="BT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1" t="e">
        <f t="shared" si="65"/>
        <v>#N/A</v>
      </c>
      <c r="CD128" s="61" t="e">
        <f ca="1">AVERAGE(OFFSET($CC$3,0,0,'Données projet'!$E$12+1,1))-AVERAGE(OFFSET($H$3,0,0,'Données projet'!$E$12+1,1))</f>
        <v>#N/A</v>
      </c>
      <c r="CE128" s="61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66"/>
        <v>0</v>
      </c>
      <c r="CO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1" t="e">
        <f t="shared" si="68"/>
        <v>#N/A</v>
      </c>
      <c r="CY128" s="61" t="e">
        <f ca="1">AVERAGE(OFFSET($CX$3,0,0,'Données projet'!$E$13+1,1))-AVERAGE(OFFSET($H$3,0,0,'Données projet'!$E$13+1,1))</f>
        <v>#N/A</v>
      </c>
      <c r="CZ128" s="61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69"/>
        <v>0</v>
      </c>
      <c r="DJ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1" t="e">
        <f t="shared" si="71"/>
        <v>#N/A</v>
      </c>
      <c r="DT128" s="61" t="e">
        <f ca="1">AVERAGE(OFFSET($DS$3,0,0,'Données projet'!$E$14+1,1))-AVERAGE(OFFSET($H$3,0,0,'Données projet'!$E$14+1,1))</f>
        <v>#N/A</v>
      </c>
      <c r="DU128" s="61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2"/>
        <v>0</v>
      </c>
      <c r="EE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1" t="e">
        <f t="shared" si="74"/>
        <v>#N/A</v>
      </c>
      <c r="EO128" s="61" t="e">
        <f ca="1">AVERAGE(OFFSET($EN$3,0,0,'Données projet'!$E$15+1,1))-AVERAGE(OFFSET($H$3,0,0,'Données projet'!$E$15+1,1))</f>
        <v>#N/A</v>
      </c>
      <c r="EP128" s="61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75"/>
        <v>0</v>
      </c>
      <c r="EZ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1" t="e">
        <f t="shared" si="77"/>
        <v>#N/A</v>
      </c>
      <c r="FJ128" s="61" t="e">
        <f ca="1">AVERAGE(OFFSET($FI$3,0,0,'Données projet'!$E$16+1,1))-AVERAGE(OFFSET($H$3,0,0,'Données projet'!$E$16+1,1))</f>
        <v>#N/A</v>
      </c>
      <c r="FK128" s="61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78"/>
        <v>0</v>
      </c>
      <c r="FU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1" t="e">
        <f t="shared" si="80"/>
        <v>#N/A</v>
      </c>
      <c r="GE128" s="61" t="e">
        <f ca="1">AVERAGE(OFFSET($GD$3,0,0,'Données projet'!$E$17+1,1))-AVERAGE(OFFSET($H$3,0,0,'Données projet'!$E$17+1,1))</f>
        <v>#N/A</v>
      </c>
      <c r="GF128" s="61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81"/>
        <v>0</v>
      </c>
      <c r="GP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1" t="e">
        <f t="shared" si="83"/>
        <v>#N/A</v>
      </c>
      <c r="GZ128" s="61" t="e">
        <f ca="1">AVERAGE(OFFSET($GY$3,0,0,'Données projet'!$E$18+1,1))-AVERAGE(OFFSET($H$3,0,0,'Données projet'!$E$18+1,1))</f>
        <v>#N/A</v>
      </c>
      <c r="HA128" s="61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84"/>
        <v>0</v>
      </c>
    </row>
    <row r="129" spans="1:218" s="5" customFormat="1" x14ac:dyDescent="0.45">
      <c r="A129" s="11">
        <f t="shared" si="85"/>
        <v>126</v>
      </c>
      <c r="B129" s="76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9">
        <f t="shared" si="56"/>
        <v>183.33333333333334</v>
      </c>
      <c r="I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-3.4106051316484809E-13</v>
      </c>
      <c r="O129" s="14">
        <f>N129*VLOOKUP('Données projet'!$B$9,Paramètres!$A$1:$I$88,3,0)*VLOOKUP('Données projet'!$B$9,Paramètres!$A$1:$I$88,5,0)</f>
        <v>-2.0395418687257919E-13</v>
      </c>
      <c r="P129" s="14" t="e">
        <f t="shared" si="87"/>
        <v>#NUM!</v>
      </c>
      <c r="Q129" s="22" t="e">
        <f t="shared" si="107"/>
        <v>#NUM!</v>
      </c>
      <c r="R129" s="61" t="e">
        <f t="shared" si="55"/>
        <v>#NUM!</v>
      </c>
      <c r="S129" s="61">
        <f ca="1">AVERAGE(OFFSET($R$3,0,0,'Données projet'!$E$9+1,1))-AVERAGE(OFFSET($H$3,0,0,'Données projet'!$E$9+1,1))</f>
        <v>445.53168057836308</v>
      </c>
      <c r="T129" s="61">
        <f t="shared" si="88"/>
        <v>326.78684646135241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132.72835066542578</v>
      </c>
      <c r="AA129" s="23">
        <f>EXP(-LN(2)/25)*AA128+(1-EXP(-LN(2)/25))/(LN(2)/25)*Calculateur!V129*Calculateur!X129*VLOOKUP('Données projet'!$B$9,Paramètres!$A$1:$I$88,3,0)*0.475*44/12</f>
        <v>8.2491103416810247</v>
      </c>
      <c r="AB129" s="23">
        <f>EXP(-LN(2)/2)*AB128+(1-EXP(-LN(2)/2))/(LN(2)/2)*V129*Y129*VLOOKUP('Données projet'!$B$9,Paramètres!$A$1:$I$88,3,0)*0.475*44/12</f>
        <v>2.5023848030770929E-9</v>
      </c>
      <c r="AC129" s="24">
        <f t="shared" si="57"/>
        <v>140.97746100960919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-6.8212102632969618E-13</v>
      </c>
      <c r="AJ129" s="14">
        <f>AI129*VLOOKUP('Données projet'!$B$10,Paramètres!$A$1:$I$88,3,0)*VLOOKUP('Données projet'!$B$10,Paramètres!$A$1:$I$88,5,0)</f>
        <v>-3.1923264032229784E-13</v>
      </c>
      <c r="AK129" s="14" t="e">
        <f t="shared" si="89"/>
        <v>#NUM!</v>
      </c>
      <c r="AL129" s="22" t="e">
        <f t="shared" si="58"/>
        <v>#NUM!</v>
      </c>
      <c r="AM129" s="61" t="e">
        <f t="shared" si="59"/>
        <v>#NUM!</v>
      </c>
      <c r="AN129" s="61">
        <f ca="1">AVERAGE(OFFSET($AM$3,0,0,'Données projet'!$E$10+1,1))-AVERAGE(OFFSET($H$3,0,0,'Données projet'!$E$10+1,1))</f>
        <v>375.77859820466693</v>
      </c>
      <c r="AO129" s="61">
        <f t="shared" si="90"/>
        <v>242.84781402593856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212.4998726864348</v>
      </c>
      <c r="AV129" s="23">
        <f>EXP(-LN(2)/25)*AV128+(1-EXP(-LN(2)/25))/(LN(2)/25)*Calculateur!AQ129*Calculateur!AS129*VLOOKUP('Données projet'!$B$9,Paramètres!$A$1:$I$88,3,0)*0.475*44/12</f>
        <v>19.846507266095109</v>
      </c>
      <c r="AW129" s="23">
        <f>EXP(-LN(2)/2)*AW128+(1-EXP(-LN(2)/2))/(LN(2)/2)*AQ129*AT129*VLOOKUP('Données projet'!$B$9,Paramètres!$A$1:$I$88,3,0)*0.475*44/12</f>
        <v>0</v>
      </c>
      <c r="AX129" s="23">
        <f t="shared" si="60"/>
        <v>232.3463799525299</v>
      </c>
      <c r="AY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4.666666666666667</v>
      </c>
      <c r="BD129" s="13">
        <f>IF('Données projet'!$A$88&gt;35,BD128+BC129-BL128,IF(A129&lt;'Données projet'!$A$88,$BA$205^A129,IF(A129='Données projet'!$A$88,'Données projet'!$B$88,BD128+BC129-BL128)))</f>
        <v>191.66666666666706</v>
      </c>
      <c r="BE129" s="14">
        <f>BD129*VLOOKUP('Données projet'!$B$11,Paramètres!$A$1:$I$88,3,0)*VLOOKUP('Données projet'!$B$11,Paramètres!$A$1:$I$88,5,0)</f>
        <v>194.35000000000039</v>
      </c>
      <c r="BF129" s="14">
        <f t="shared" si="91"/>
        <v>48.500405405690564</v>
      </c>
      <c r="BG129" s="22">
        <f t="shared" si="61"/>
        <v>422.96445608157842</v>
      </c>
      <c r="BH129" s="61">
        <f t="shared" si="62"/>
        <v>706.19149126200068</v>
      </c>
      <c r="BI129" s="61">
        <f ca="1">AVERAGE(OFFSET($BH$3,0,0,'Données projet'!$E$11+1,1))-AVERAGE(OFFSET($H$3,0,0,'Données projet'!$E$11+1,1))</f>
        <v>433.57989081194</v>
      </c>
      <c r="BJ129" s="61">
        <f t="shared" si="92"/>
        <v>182.52060621271355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25.261198149274659</v>
      </c>
      <c r="BQ129" s="23">
        <f>EXP(-LN(2)/25)*BQ128+(1-EXP(-LN(2)/25))/(LN(2)/25)*Calculateur!BL129*Calculateur!BN129*VLOOKUP('Données projet'!$B$9,Paramètres!$A$1:$I$88,3,0)*0.475*44/12</f>
        <v>4.4939287384229427</v>
      </c>
      <c r="BR129" s="23">
        <f>EXP(-LN(2)/2)*BR128+(1-EXP(-LN(2)/2))/(LN(2)/2)*BL129*BO129*VLOOKUP('Données projet'!$B$9,Paramètres!$A$1:$I$88,3,0)*0.475*44/12</f>
        <v>0</v>
      </c>
      <c r="BS129" s="24">
        <f t="shared" si="63"/>
        <v>29.7551268876976</v>
      </c>
      <c r="BT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1" t="e">
        <f t="shared" si="65"/>
        <v>#N/A</v>
      </c>
      <c r="CD129" s="61" t="e">
        <f ca="1">AVERAGE(OFFSET($CC$3,0,0,'Données projet'!$E$12+1,1))-AVERAGE(OFFSET($H$3,0,0,'Données projet'!$E$12+1,1))</f>
        <v>#N/A</v>
      </c>
      <c r="CE129" s="61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66"/>
        <v>0</v>
      </c>
      <c r="CO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1" t="e">
        <f t="shared" si="68"/>
        <v>#N/A</v>
      </c>
      <c r="CY129" s="61" t="e">
        <f ca="1">AVERAGE(OFFSET($CX$3,0,0,'Données projet'!$E$13+1,1))-AVERAGE(OFFSET($H$3,0,0,'Données projet'!$E$13+1,1))</f>
        <v>#N/A</v>
      </c>
      <c r="CZ129" s="61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69"/>
        <v>0</v>
      </c>
      <c r="DJ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1" t="e">
        <f t="shared" si="71"/>
        <v>#N/A</v>
      </c>
      <c r="DT129" s="61" t="e">
        <f ca="1">AVERAGE(OFFSET($DS$3,0,0,'Données projet'!$E$14+1,1))-AVERAGE(OFFSET($H$3,0,0,'Données projet'!$E$14+1,1))</f>
        <v>#N/A</v>
      </c>
      <c r="DU129" s="61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2"/>
        <v>0</v>
      </c>
      <c r="EE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1" t="e">
        <f t="shared" si="74"/>
        <v>#N/A</v>
      </c>
      <c r="EO129" s="61" t="e">
        <f ca="1">AVERAGE(OFFSET($EN$3,0,0,'Données projet'!$E$15+1,1))-AVERAGE(OFFSET($H$3,0,0,'Données projet'!$E$15+1,1))</f>
        <v>#N/A</v>
      </c>
      <c r="EP129" s="61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75"/>
        <v>0</v>
      </c>
      <c r="EZ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1" t="e">
        <f t="shared" si="77"/>
        <v>#N/A</v>
      </c>
      <c r="FJ129" s="61" t="e">
        <f ca="1">AVERAGE(OFFSET($FI$3,0,0,'Données projet'!$E$16+1,1))-AVERAGE(OFFSET($H$3,0,0,'Données projet'!$E$16+1,1))</f>
        <v>#N/A</v>
      </c>
      <c r="FK129" s="61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78"/>
        <v>0</v>
      </c>
      <c r="FU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1" t="e">
        <f t="shared" si="80"/>
        <v>#N/A</v>
      </c>
      <c r="GE129" s="61" t="e">
        <f ca="1">AVERAGE(OFFSET($GD$3,0,0,'Données projet'!$E$17+1,1))-AVERAGE(OFFSET($H$3,0,0,'Données projet'!$E$17+1,1))</f>
        <v>#N/A</v>
      </c>
      <c r="GF129" s="61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81"/>
        <v>0</v>
      </c>
      <c r="GP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1" t="e">
        <f t="shared" si="83"/>
        <v>#N/A</v>
      </c>
      <c r="GZ129" s="61" t="e">
        <f ca="1">AVERAGE(OFFSET($GY$3,0,0,'Données projet'!$E$18+1,1))-AVERAGE(OFFSET($H$3,0,0,'Données projet'!$E$18+1,1))</f>
        <v>#N/A</v>
      </c>
      <c r="HA129" s="61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84"/>
        <v>0</v>
      </c>
    </row>
    <row r="130" spans="1:218" s="5" customFormat="1" x14ac:dyDescent="0.45">
      <c r="A130" s="11">
        <f t="shared" si="85"/>
        <v>127</v>
      </c>
      <c r="B130" s="76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9">
        <f t="shared" si="56"/>
        <v>183.33333333333334</v>
      </c>
      <c r="I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-3.4106051316484809E-13</v>
      </c>
      <c r="O130" s="14">
        <f>N130*VLOOKUP('Données projet'!$B$9,Paramètres!$A$1:$I$88,3,0)*VLOOKUP('Données projet'!$B$9,Paramètres!$A$1:$I$88,5,0)</f>
        <v>-2.0395418687257919E-13</v>
      </c>
      <c r="P130" s="14" t="e">
        <f t="shared" si="87"/>
        <v>#NUM!</v>
      </c>
      <c r="Q130" s="22" t="e">
        <f t="shared" si="107"/>
        <v>#NUM!</v>
      </c>
      <c r="R130" s="61" t="e">
        <f t="shared" si="55"/>
        <v>#NUM!</v>
      </c>
      <c r="S130" s="61">
        <f ca="1">AVERAGE(OFFSET($R$3,0,0,'Données projet'!$E$9+1,1))-AVERAGE(OFFSET($H$3,0,0,'Données projet'!$E$9+1,1))</f>
        <v>445.53168057836308</v>
      </c>
      <c r="T130" s="61">
        <f t="shared" si="88"/>
        <v>326.78684646135241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130.12562866517692</v>
      </c>
      <c r="AA130" s="23">
        <f>EXP(-LN(2)/25)*AA129+(1-EXP(-LN(2)/25))/(LN(2)/25)*Calculateur!V130*Calculateur!X130*VLOOKUP('Données projet'!$B$9,Paramètres!$A$1:$I$88,3,0)*0.475*44/12</f>
        <v>8.0235379855858984</v>
      </c>
      <c r="AB130" s="23">
        <f>EXP(-LN(2)/2)*AB129+(1-EXP(-LN(2)/2))/(LN(2)/2)*V130*Y130*VLOOKUP('Données projet'!$B$9,Paramètres!$A$1:$I$88,3,0)*0.475*44/12</f>
        <v>1.7694532633939758E-9</v>
      </c>
      <c r="AC130" s="24">
        <f t="shared" si="57"/>
        <v>138.14916665253227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-6.8212102632969618E-13</v>
      </c>
      <c r="AJ130" s="14">
        <f>AI130*VLOOKUP('Données projet'!$B$10,Paramètres!$A$1:$I$88,3,0)*VLOOKUP('Données projet'!$B$10,Paramètres!$A$1:$I$88,5,0)</f>
        <v>-3.1923264032229784E-13</v>
      </c>
      <c r="AK130" s="14" t="e">
        <f t="shared" si="89"/>
        <v>#NUM!</v>
      </c>
      <c r="AL130" s="22" t="e">
        <f t="shared" si="58"/>
        <v>#NUM!</v>
      </c>
      <c r="AM130" s="61" t="e">
        <f t="shared" si="59"/>
        <v>#NUM!</v>
      </c>
      <c r="AN130" s="61">
        <f ca="1">AVERAGE(OFFSET($AM$3,0,0,'Données projet'!$E$10+1,1))-AVERAGE(OFFSET($H$3,0,0,'Données projet'!$E$10+1,1))</f>
        <v>375.77859820466693</v>
      </c>
      <c r="AO130" s="61">
        <f t="shared" si="90"/>
        <v>242.84781402593856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208.33287979517803</v>
      </c>
      <c r="AV130" s="23">
        <f>EXP(-LN(2)/25)*AV129+(1-EXP(-LN(2)/25))/(LN(2)/25)*Calculateur!AQ130*Calculateur!AS130*VLOOKUP('Données projet'!$B$9,Paramètres!$A$1:$I$88,3,0)*0.475*44/12</f>
        <v>19.30380348122128</v>
      </c>
      <c r="AW130" s="23">
        <f>EXP(-LN(2)/2)*AW129+(1-EXP(-LN(2)/2))/(LN(2)/2)*AQ130*AT130*VLOOKUP('Données projet'!$B$9,Paramètres!$A$1:$I$88,3,0)*0.475*44/12</f>
        <v>0</v>
      </c>
      <c r="AX130" s="23">
        <f t="shared" si="60"/>
        <v>227.63668327639931</v>
      </c>
      <c r="AY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4.666666666666667</v>
      </c>
      <c r="BD130" s="13">
        <f>IF('Données projet'!$A$88&gt;35,BD129+BC130-BL129,IF(A130&lt;'Données projet'!$A$88,$BA$205^A130,IF(A130='Données projet'!$A$88,'Données projet'!$B$88,BD129+BC130-BL129)))</f>
        <v>196.33333333333371</v>
      </c>
      <c r="BE130" s="14">
        <f>BD130*VLOOKUP('Données projet'!$B$11,Paramètres!$A$1:$I$88,3,0)*VLOOKUP('Données projet'!$B$11,Paramètres!$A$1:$I$88,5,0)</f>
        <v>199.08200000000039</v>
      </c>
      <c r="BF130" s="14">
        <f t="shared" si="91"/>
        <v>49.542365123476571</v>
      </c>
      <c r="BG130" s="22">
        <f t="shared" si="61"/>
        <v>433.02076925672236</v>
      </c>
      <c r="BH130" s="61">
        <f t="shared" si="62"/>
        <v>716.42312611579973</v>
      </c>
      <c r="BI130" s="61">
        <f ca="1">AVERAGE(OFFSET($BH$3,0,0,'Données projet'!$E$11+1,1))-AVERAGE(OFFSET($H$3,0,0,'Données projet'!$E$11+1,1))</f>
        <v>433.57989081194</v>
      </c>
      <c r="BJ130" s="61">
        <f t="shared" si="92"/>
        <v>182.52060621271355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24.765841461376858</v>
      </c>
      <c r="BQ130" s="23">
        <f>EXP(-LN(2)/25)*BQ129+(1-EXP(-LN(2)/25))/(LN(2)/25)*Calculateur!BL130*Calculateur!BN130*VLOOKUP('Données projet'!$B$9,Paramètres!$A$1:$I$88,3,0)*0.475*44/12</f>
        <v>4.3710420207453264</v>
      </c>
      <c r="BR130" s="23">
        <f>EXP(-LN(2)/2)*BR129+(1-EXP(-LN(2)/2))/(LN(2)/2)*BL130*BO130*VLOOKUP('Données projet'!$B$9,Paramètres!$A$1:$I$88,3,0)*0.475*44/12</f>
        <v>0</v>
      </c>
      <c r="BS130" s="24">
        <f t="shared" si="63"/>
        <v>29.136883482122187</v>
      </c>
      <c r="BT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1" t="e">
        <f t="shared" si="65"/>
        <v>#N/A</v>
      </c>
      <c r="CD130" s="61" t="e">
        <f ca="1">AVERAGE(OFFSET($CC$3,0,0,'Données projet'!$E$12+1,1))-AVERAGE(OFFSET($H$3,0,0,'Données projet'!$E$12+1,1))</f>
        <v>#N/A</v>
      </c>
      <c r="CE130" s="61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66"/>
        <v>0</v>
      </c>
      <c r="CO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1" t="e">
        <f t="shared" si="68"/>
        <v>#N/A</v>
      </c>
      <c r="CY130" s="61" t="e">
        <f ca="1">AVERAGE(OFFSET($CX$3,0,0,'Données projet'!$E$13+1,1))-AVERAGE(OFFSET($H$3,0,0,'Données projet'!$E$13+1,1))</f>
        <v>#N/A</v>
      </c>
      <c r="CZ130" s="61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69"/>
        <v>0</v>
      </c>
      <c r="DJ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1" t="e">
        <f t="shared" si="71"/>
        <v>#N/A</v>
      </c>
      <c r="DT130" s="61" t="e">
        <f ca="1">AVERAGE(OFFSET($DS$3,0,0,'Données projet'!$E$14+1,1))-AVERAGE(OFFSET($H$3,0,0,'Données projet'!$E$14+1,1))</f>
        <v>#N/A</v>
      </c>
      <c r="DU130" s="61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2"/>
        <v>0</v>
      </c>
      <c r="EE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1" t="e">
        <f t="shared" si="74"/>
        <v>#N/A</v>
      </c>
      <c r="EO130" s="61" t="e">
        <f ca="1">AVERAGE(OFFSET($EN$3,0,0,'Données projet'!$E$15+1,1))-AVERAGE(OFFSET($H$3,0,0,'Données projet'!$E$15+1,1))</f>
        <v>#N/A</v>
      </c>
      <c r="EP130" s="61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75"/>
        <v>0</v>
      </c>
      <c r="EZ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1" t="e">
        <f t="shared" si="77"/>
        <v>#N/A</v>
      </c>
      <c r="FJ130" s="61" t="e">
        <f ca="1">AVERAGE(OFFSET($FI$3,0,0,'Données projet'!$E$16+1,1))-AVERAGE(OFFSET($H$3,0,0,'Données projet'!$E$16+1,1))</f>
        <v>#N/A</v>
      </c>
      <c r="FK130" s="61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78"/>
        <v>0</v>
      </c>
      <c r="FU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1" t="e">
        <f t="shared" si="80"/>
        <v>#N/A</v>
      </c>
      <c r="GE130" s="61" t="e">
        <f ca="1">AVERAGE(OFFSET($GD$3,0,0,'Données projet'!$E$17+1,1))-AVERAGE(OFFSET($H$3,0,0,'Données projet'!$E$17+1,1))</f>
        <v>#N/A</v>
      </c>
      <c r="GF130" s="61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81"/>
        <v>0</v>
      </c>
      <c r="GP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1" t="e">
        <f t="shared" si="83"/>
        <v>#N/A</v>
      </c>
      <c r="GZ130" s="61" t="e">
        <f ca="1">AVERAGE(OFFSET($GY$3,0,0,'Données projet'!$E$18+1,1))-AVERAGE(OFFSET($H$3,0,0,'Données projet'!$E$18+1,1))</f>
        <v>#N/A</v>
      </c>
      <c r="HA130" s="61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84"/>
        <v>0</v>
      </c>
    </row>
    <row r="131" spans="1:218" s="5" customFormat="1" x14ac:dyDescent="0.45">
      <c r="A131" s="11">
        <f t="shared" si="85"/>
        <v>128</v>
      </c>
      <c r="B131" s="76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9">
        <f t="shared" si="56"/>
        <v>183.33333333333334</v>
      </c>
      <c r="I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-3.4106051316484809E-13</v>
      </c>
      <c r="O131" s="14">
        <f>N131*VLOOKUP('Données projet'!$B$9,Paramètres!$A$1:$I$88,3,0)*VLOOKUP('Données projet'!$B$9,Paramètres!$A$1:$I$88,5,0)</f>
        <v>-2.0395418687257919E-13</v>
      </c>
      <c r="P131" s="14" t="e">
        <f t="shared" si="87"/>
        <v>#NUM!</v>
      </c>
      <c r="Q131" s="22" t="e">
        <f t="shared" ref="Q131:Q153" si="108">(O131+P131)*0.475*44/12</f>
        <v>#NUM!</v>
      </c>
      <c r="R131" s="61" t="e">
        <f t="shared" ref="R131:R194" si="109">Q131+(I131+J131)*44/12</f>
        <v>#NUM!</v>
      </c>
      <c r="S131" s="61">
        <f ca="1">AVERAGE(OFFSET($R$3,0,0,'Données projet'!$E$9+1,1))-AVERAGE(OFFSET($H$3,0,0,'Données projet'!$E$9+1,1))</f>
        <v>445.53168057836308</v>
      </c>
      <c r="T131" s="61">
        <f t="shared" si="88"/>
        <v>326.78684646135241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127.57394445584927</v>
      </c>
      <c r="AA131" s="23">
        <f>EXP(-LN(2)/25)*AA130+(1-EXP(-LN(2)/25))/(LN(2)/25)*Calculateur!V131*Calculateur!X131*VLOOKUP('Données projet'!$B$9,Paramètres!$A$1:$I$88,3,0)*0.475*44/12</f>
        <v>7.8041339174305273</v>
      </c>
      <c r="AB131" s="23">
        <f>EXP(-LN(2)/2)*AB130+(1-EXP(-LN(2)/2))/(LN(2)/2)*V131*Y131*VLOOKUP('Données projet'!$B$9,Paramètres!$A$1:$I$88,3,0)*0.475*44/12</f>
        <v>1.2511924015385465E-9</v>
      </c>
      <c r="AC131" s="24">
        <f t="shared" si="57"/>
        <v>135.37807837453099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-6.8212102632969618E-13</v>
      </c>
      <c r="AJ131" s="14">
        <f>AI131*VLOOKUP('Données projet'!$B$10,Paramètres!$A$1:$I$88,3,0)*VLOOKUP('Données projet'!$B$10,Paramètres!$A$1:$I$88,5,0)</f>
        <v>-3.1923264032229784E-13</v>
      </c>
      <c r="AK131" s="14" t="e">
        <f t="shared" si="89"/>
        <v>#NUM!</v>
      </c>
      <c r="AL131" s="22" t="e">
        <f t="shared" si="58"/>
        <v>#NUM!</v>
      </c>
      <c r="AM131" s="61" t="e">
        <f t="shared" si="59"/>
        <v>#NUM!</v>
      </c>
      <c r="AN131" s="61">
        <f ca="1">AVERAGE(OFFSET($AM$3,0,0,'Données projet'!$E$10+1,1))-AVERAGE(OFFSET($H$3,0,0,'Données projet'!$E$10+1,1))</f>
        <v>375.77859820466693</v>
      </c>
      <c r="AO131" s="61">
        <f t="shared" si="90"/>
        <v>242.84781402593856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204.2475990929041</v>
      </c>
      <c r="AV131" s="23">
        <f>EXP(-LN(2)/25)*AV130+(1-EXP(-LN(2)/25))/(LN(2)/25)*Calculateur!AQ131*Calculateur!AS131*VLOOKUP('Données projet'!$B$9,Paramètres!$A$1:$I$88,3,0)*0.475*44/12</f>
        <v>18.775939959884379</v>
      </c>
      <c r="AW131" s="23">
        <f>EXP(-LN(2)/2)*AW130+(1-EXP(-LN(2)/2))/(LN(2)/2)*AQ131*AT131*VLOOKUP('Données projet'!$B$9,Paramètres!$A$1:$I$88,3,0)*0.475*44/12</f>
        <v>0</v>
      </c>
      <c r="AX131" s="23">
        <f t="shared" si="60"/>
        <v>223.02353905278846</v>
      </c>
      <c r="AY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4.666666666666667</v>
      </c>
      <c r="BD131" s="13">
        <f>IF('Données projet'!$A$88&gt;35,BD130+BC131-BL130,IF(A131&lt;'Données projet'!$A$88,$BA$205^A131,IF(A131='Données projet'!$A$88,'Données projet'!$B$88,BD130+BC131-BL130)))</f>
        <v>201.00000000000037</v>
      </c>
      <c r="BE131" s="14">
        <f>BD131*VLOOKUP('Données projet'!$B$11,Paramètres!$A$1:$I$88,3,0)*VLOOKUP('Données projet'!$B$11,Paramètres!$A$1:$I$88,5,0)</f>
        <v>203.81400000000036</v>
      </c>
      <c r="BF131" s="14">
        <f t="shared" si="91"/>
        <v>50.581445724851655</v>
      </c>
      <c r="BG131" s="22">
        <f t="shared" si="61"/>
        <v>443.07206797078396</v>
      </c>
      <c r="BH131" s="61">
        <f t="shared" si="62"/>
        <v>726.64670506935249</v>
      </c>
      <c r="BI131" s="61">
        <f ca="1">AVERAGE(OFFSET($BH$3,0,0,'Données projet'!$E$11+1,1))-AVERAGE(OFFSET($H$3,0,0,'Données projet'!$E$11+1,1))</f>
        <v>433.57989081194</v>
      </c>
      <c r="BJ131" s="61">
        <f t="shared" si="92"/>
        <v>182.52060621271355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24.280198415990988</v>
      </c>
      <c r="BQ131" s="23">
        <f>EXP(-LN(2)/25)*BQ130+(1-EXP(-LN(2)/25))/(LN(2)/25)*Calculateur!BL131*Calculateur!BN131*VLOOKUP('Données projet'!$B$9,Paramètres!$A$1:$I$88,3,0)*0.475*44/12</f>
        <v>4.2515156468249362</v>
      </c>
      <c r="BR131" s="23">
        <f>EXP(-LN(2)/2)*BR130+(1-EXP(-LN(2)/2))/(LN(2)/2)*BL131*BO131*VLOOKUP('Données projet'!$B$9,Paramètres!$A$1:$I$88,3,0)*0.475*44/12</f>
        <v>0</v>
      </c>
      <c r="BS131" s="24">
        <f t="shared" si="63"/>
        <v>28.531714062815922</v>
      </c>
      <c r="BT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1" t="e">
        <f t="shared" si="65"/>
        <v>#N/A</v>
      </c>
      <c r="CD131" s="61" t="e">
        <f ca="1">AVERAGE(OFFSET($CC$3,0,0,'Données projet'!$E$12+1,1))-AVERAGE(OFFSET($H$3,0,0,'Données projet'!$E$12+1,1))</f>
        <v>#N/A</v>
      </c>
      <c r="CE131" s="61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66"/>
        <v>0</v>
      </c>
      <c r="CO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1" t="e">
        <f t="shared" si="68"/>
        <v>#N/A</v>
      </c>
      <c r="CY131" s="61" t="e">
        <f ca="1">AVERAGE(OFFSET($CX$3,0,0,'Données projet'!$E$13+1,1))-AVERAGE(OFFSET($H$3,0,0,'Données projet'!$E$13+1,1))</f>
        <v>#N/A</v>
      </c>
      <c r="CZ131" s="61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69"/>
        <v>0</v>
      </c>
      <c r="DJ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1" t="e">
        <f t="shared" si="71"/>
        <v>#N/A</v>
      </c>
      <c r="DT131" s="61" t="e">
        <f ca="1">AVERAGE(OFFSET($DS$3,0,0,'Données projet'!$E$14+1,1))-AVERAGE(OFFSET($H$3,0,0,'Données projet'!$E$14+1,1))</f>
        <v>#N/A</v>
      </c>
      <c r="DU131" s="61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2"/>
        <v>0</v>
      </c>
      <c r="EE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1" t="e">
        <f t="shared" si="74"/>
        <v>#N/A</v>
      </c>
      <c r="EO131" s="61" t="e">
        <f ca="1">AVERAGE(OFFSET($EN$3,0,0,'Données projet'!$E$15+1,1))-AVERAGE(OFFSET($H$3,0,0,'Données projet'!$E$15+1,1))</f>
        <v>#N/A</v>
      </c>
      <c r="EP131" s="61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75"/>
        <v>0</v>
      </c>
      <c r="EZ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1" t="e">
        <f t="shared" si="77"/>
        <v>#N/A</v>
      </c>
      <c r="FJ131" s="61" t="e">
        <f ca="1">AVERAGE(OFFSET($FI$3,0,0,'Données projet'!$E$16+1,1))-AVERAGE(OFFSET($H$3,0,0,'Données projet'!$E$16+1,1))</f>
        <v>#N/A</v>
      </c>
      <c r="FK131" s="61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78"/>
        <v>0</v>
      </c>
      <c r="FU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1" t="e">
        <f t="shared" si="80"/>
        <v>#N/A</v>
      </c>
      <c r="GE131" s="61" t="e">
        <f ca="1">AVERAGE(OFFSET($GD$3,0,0,'Données projet'!$E$17+1,1))-AVERAGE(OFFSET($H$3,0,0,'Données projet'!$E$17+1,1))</f>
        <v>#N/A</v>
      </c>
      <c r="GF131" s="61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81"/>
        <v>0</v>
      </c>
      <c r="GP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1" t="e">
        <f t="shared" si="83"/>
        <v>#N/A</v>
      </c>
      <c r="GZ131" s="61" t="e">
        <f ca="1">AVERAGE(OFFSET($GY$3,0,0,'Données projet'!$E$18+1,1))-AVERAGE(OFFSET($H$3,0,0,'Données projet'!$E$18+1,1))</f>
        <v>#N/A</v>
      </c>
      <c r="HA131" s="61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84"/>
        <v>0</v>
      </c>
    </row>
    <row r="132" spans="1:218" s="5" customFormat="1" x14ac:dyDescent="0.45">
      <c r="A132" s="11">
        <f t="shared" si="85"/>
        <v>129</v>
      </c>
      <c r="B132" s="76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9">
        <f t="shared" ref="H132:H195" si="110">(B132+E132+F132)*44/12+(C132+D132)*0.475*44/12</f>
        <v>183.33333333333334</v>
      </c>
      <c r="I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-3.4106051316484809E-13</v>
      </c>
      <c r="O132" s="14">
        <f>N132*VLOOKUP('Données projet'!$B$9,Paramètres!$A$1:$I$88,3,0)*VLOOKUP('Données projet'!$B$9,Paramètres!$A$1:$I$88,5,0)</f>
        <v>-2.0395418687257919E-13</v>
      </c>
      <c r="P132" s="14" t="e">
        <f t="shared" si="87"/>
        <v>#NUM!</v>
      </c>
      <c r="Q132" s="22" t="e">
        <f t="shared" si="108"/>
        <v>#NUM!</v>
      </c>
      <c r="R132" s="61" t="e">
        <f t="shared" si="109"/>
        <v>#NUM!</v>
      </c>
      <c r="S132" s="61">
        <f ca="1">AVERAGE(OFFSET($R$3,0,0,'Données projet'!$E$9+1,1))-AVERAGE(OFFSET($H$3,0,0,'Données projet'!$E$9+1,1))</f>
        <v>445.53168057836308</v>
      </c>
      <c r="T132" s="61">
        <f t="shared" si="88"/>
        <v>326.78684646135241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125.07229721749285</v>
      </c>
      <c r="AA132" s="23">
        <f>EXP(-LN(2)/25)*AA131+(1-EXP(-LN(2)/25))/(LN(2)/25)*Calculateur!V132*Calculateur!X132*VLOOKUP('Données projet'!$B$9,Paramètres!$A$1:$I$88,3,0)*0.475*44/12</f>
        <v>7.5907294650568238</v>
      </c>
      <c r="AB132" s="23">
        <f>EXP(-LN(2)/2)*AB131+(1-EXP(-LN(2)/2))/(LN(2)/2)*V132*Y132*VLOOKUP('Données projet'!$B$9,Paramètres!$A$1:$I$88,3,0)*0.475*44/12</f>
        <v>8.8472663169698789E-10</v>
      </c>
      <c r="AC132" s="24">
        <f t="shared" ref="AC132:AC153" si="111">SUM(Z132:AB132)</f>
        <v>132.6630266834344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-6.8212102632969618E-13</v>
      </c>
      <c r="AJ132" s="14">
        <f>AI132*VLOOKUP('Données projet'!$B$10,Paramètres!$A$1:$I$88,3,0)*VLOOKUP('Données projet'!$B$10,Paramètres!$A$1:$I$88,5,0)</f>
        <v>-3.1923264032229784E-13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1" t="e">
        <f t="shared" ref="AM132:AM195" si="113">AL132+(AD132+AE132)*44/12</f>
        <v>#NUM!</v>
      </c>
      <c r="AN132" s="61">
        <f ca="1">AVERAGE(OFFSET($AM$3,0,0,'Données projet'!$E$10+1,1))-AVERAGE(OFFSET($H$3,0,0,'Données projet'!$E$10+1,1))</f>
        <v>375.77859820466693</v>
      </c>
      <c r="AO132" s="61">
        <f t="shared" si="90"/>
        <v>242.84781402593856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200.24242825342657</v>
      </c>
      <c r="AV132" s="23">
        <f>EXP(-LN(2)/25)*AV131+(1-EXP(-LN(2)/25))/(LN(2)/25)*Calculateur!AQ132*Calculateur!AS132*VLOOKUP('Données projet'!$B$9,Paramètres!$A$1:$I$88,3,0)*0.475*44/12</f>
        <v>18.26251089429757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4">SUM(AU132:AW132)</f>
        <v>218.50493914772414</v>
      </c>
      <c r="AY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4.666666666666667</v>
      </c>
      <c r="BD132" s="13">
        <f>IF('Données projet'!$A$88&gt;35,BD131+BC132-BL131,IF(A132&lt;'Données projet'!$A$88,$BA$205^A132,IF(A132='Données projet'!$A$88,'Données projet'!$B$88,BD131+BC132-BL131)))</f>
        <v>205.66666666666703</v>
      </c>
      <c r="BE132" s="14">
        <f>BD132*VLOOKUP('Données projet'!$B$11,Paramètres!$A$1:$I$88,3,0)*VLOOKUP('Données projet'!$B$11,Paramètres!$A$1:$I$88,5,0)</f>
        <v>208.54600000000036</v>
      </c>
      <c r="BF132" s="14">
        <f t="shared" si="91"/>
        <v>51.617721748537974</v>
      </c>
      <c r="BG132" s="22">
        <f t="shared" ref="BG132:BG153" si="115">(BE132+BF132)*0.475*44/12</f>
        <v>453.11848204537097</v>
      </c>
      <c r="BH132" s="61">
        <f t="shared" ref="BH132:BH195" si="116">BG132+(AY132+AZ132)*44/12</f>
        <v>736.86241070643632</v>
      </c>
      <c r="BI132" s="61">
        <f ca="1">AVERAGE(OFFSET($BH$3,0,0,'Données projet'!$E$11+1,1))-AVERAGE(OFFSET($H$3,0,0,'Données projet'!$E$11+1,1))</f>
        <v>433.57989081194</v>
      </c>
      <c r="BJ132" s="61">
        <f t="shared" si="92"/>
        <v>182.52060621271355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23.804078534512126</v>
      </c>
      <c r="BQ132" s="23">
        <f>EXP(-LN(2)/25)*BQ131+(1-EXP(-LN(2)/25))/(LN(2)/25)*Calculateur!BL132*Calculateur!BN132*VLOOKUP('Données projet'!$B$9,Paramètres!$A$1:$I$88,3,0)*0.475*44/12</f>
        <v>4.1352577278850173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17">SUM(BP132:BR132)</f>
        <v>27.939336262397141</v>
      </c>
      <c r="BT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1" t="e">
        <f t="shared" ref="CC132:CC195" si="119">CB132+(BT132+BU132)*44/12</f>
        <v>#N/A</v>
      </c>
      <c r="CD132" s="61" t="e">
        <f ca="1">AVERAGE(OFFSET($CC$3,0,0,'Données projet'!$E$12+1,1))-AVERAGE(OFFSET($H$3,0,0,'Données projet'!$E$12+1,1))</f>
        <v>#N/A</v>
      </c>
      <c r="CE132" s="61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0">SUM(CK132:CM132)</f>
        <v>0</v>
      </c>
      <c r="CO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1" t="e">
        <f t="shared" ref="CX132:CX195" si="122">CW132+(CO132+CP132)*44/12</f>
        <v>#N/A</v>
      </c>
      <c r="CY132" s="61" t="e">
        <f ca="1">AVERAGE(OFFSET($CX$3,0,0,'Données projet'!$E$13+1,1))-AVERAGE(OFFSET($H$3,0,0,'Données projet'!$E$13+1,1))</f>
        <v>#N/A</v>
      </c>
      <c r="CZ132" s="61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3">SUM(DF132:DH132)</f>
        <v>0</v>
      </c>
      <c r="DJ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1" t="e">
        <f t="shared" ref="DS132:DS195" si="125">DR132+(DJ132+DK132)*44/12</f>
        <v>#N/A</v>
      </c>
      <c r="DT132" s="61" t="e">
        <f ca="1">AVERAGE(OFFSET($DS$3,0,0,'Données projet'!$E$14+1,1))-AVERAGE(OFFSET($H$3,0,0,'Données projet'!$E$14+1,1))</f>
        <v>#N/A</v>
      </c>
      <c r="DU132" s="61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26">SUM(EA132:EC132)</f>
        <v>0</v>
      </c>
      <c r="EE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1" t="e">
        <f t="shared" ref="EN132:EN195" si="128">EM132+(EE132+EF132)*44/12</f>
        <v>#N/A</v>
      </c>
      <c r="EO132" s="61" t="e">
        <f ca="1">AVERAGE(OFFSET($EN$3,0,0,'Données projet'!$E$15+1,1))-AVERAGE(OFFSET($H$3,0,0,'Données projet'!$E$15+1,1))</f>
        <v>#N/A</v>
      </c>
      <c r="EP132" s="61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29">SUM(EV132:EX132)</f>
        <v>0</v>
      </c>
      <c r="EZ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1" t="e">
        <f t="shared" ref="FI132:FI195" si="131">FH132+(EZ132+FA132)*44/12</f>
        <v>#N/A</v>
      </c>
      <c r="FJ132" s="61" t="e">
        <f ca="1">AVERAGE(OFFSET($FI$3,0,0,'Données projet'!$E$16+1,1))-AVERAGE(OFFSET($H$3,0,0,'Données projet'!$E$16+1,1))</f>
        <v>#N/A</v>
      </c>
      <c r="FK132" s="61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32">SUM(FQ132:FS132)</f>
        <v>0</v>
      </c>
      <c r="FU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1" t="e">
        <f t="shared" ref="GD132:GD195" si="134">GC132+(FU132+FV132)*44/12</f>
        <v>#N/A</v>
      </c>
      <c r="GE132" s="61" t="e">
        <f ca="1">AVERAGE(OFFSET($GD$3,0,0,'Données projet'!$E$17+1,1))-AVERAGE(OFFSET($H$3,0,0,'Données projet'!$E$17+1,1))</f>
        <v>#N/A</v>
      </c>
      <c r="GF132" s="61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35">SUM(GL132:GN132)</f>
        <v>0</v>
      </c>
      <c r="GP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1" t="e">
        <f t="shared" ref="GY132:GY195" si="137">GX132+(GP132+GQ132)*44/12</f>
        <v>#N/A</v>
      </c>
      <c r="GZ132" s="61" t="e">
        <f ca="1">AVERAGE(OFFSET($GY$3,0,0,'Données projet'!$E$18+1,1))-AVERAGE(OFFSET($H$3,0,0,'Données projet'!$E$18+1,1))</f>
        <v>#N/A</v>
      </c>
      <c r="HA132" s="61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38">SUM(HG132:HI132)</f>
        <v>0</v>
      </c>
    </row>
    <row r="133" spans="1:218" s="5" customFormat="1" x14ac:dyDescent="0.45">
      <c r="A133" s="11">
        <f t="shared" ref="A133:A152" si="139">A132+1</f>
        <v>130</v>
      </c>
      <c r="B133" s="76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9">
        <f t="shared" si="110"/>
        <v>183.33333333333334</v>
      </c>
      <c r="I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-3.4106051316484809E-13</v>
      </c>
      <c r="O133" s="14">
        <f>N133*VLOOKUP('Données projet'!$B$9,Paramètres!$A$1:$I$88,3,0)*VLOOKUP('Données projet'!$B$9,Paramètres!$A$1:$I$88,5,0)</f>
        <v>-2.0395418687257919E-13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1" t="e">
        <f t="shared" si="109"/>
        <v>#NUM!</v>
      </c>
      <c r="S133" s="61">
        <f ca="1">AVERAGE(OFFSET($R$3,0,0,'Données projet'!$E$9+1,1))-AVERAGE(OFFSET($H$3,0,0,'Données projet'!$E$9+1,1))</f>
        <v>445.53168057836308</v>
      </c>
      <c r="T133" s="61">
        <f t="shared" ref="T133:T196" si="142">$T$3</f>
        <v>326.78684646135241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122.61970575562644</v>
      </c>
      <c r="AA133" s="23">
        <f>EXP(-LN(2)/25)*AA132+(1-EXP(-LN(2)/25))/(LN(2)/25)*Calculateur!V133*Calculateur!X133*VLOOKUP('Données projet'!$B$9,Paramètres!$A$1:$I$88,3,0)*0.475*44/12</f>
        <v>7.3831605686557316</v>
      </c>
      <c r="AB133" s="23">
        <f>EXP(-LN(2)/2)*AB132+(1-EXP(-LN(2)/2))/(LN(2)/2)*V133*Y133*VLOOKUP('Données projet'!$B$9,Paramètres!$A$1:$I$88,3,0)*0.475*44/12</f>
        <v>6.2559620076927323E-10</v>
      </c>
      <c r="AC133" s="24">
        <f t="shared" si="111"/>
        <v>130.00286632490776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-6.8212102632969618E-13</v>
      </c>
      <c r="AJ133" s="14">
        <f>AI133*VLOOKUP('Données projet'!$B$10,Paramètres!$A$1:$I$88,3,0)*VLOOKUP('Données projet'!$B$10,Paramètres!$A$1:$I$88,5,0)</f>
        <v>-3.1923264032229784E-13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1" t="e">
        <f t="shared" si="113"/>
        <v>#NUM!</v>
      </c>
      <c r="AN133" s="61">
        <f ca="1">AVERAGE(OFFSET($AM$3,0,0,'Données projet'!$E$10+1,1))-AVERAGE(OFFSET($H$3,0,0,'Données projet'!$E$10+1,1))</f>
        <v>375.77859820466693</v>
      </c>
      <c r="AO133" s="61">
        <f t="shared" ref="AO133:AO196" si="144">$AO$3</f>
        <v>242.84781402593856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196.31579637119819</v>
      </c>
      <c r="AV133" s="23">
        <f>EXP(-LN(2)/25)*AV132+(1-EXP(-LN(2)/25))/(LN(2)/25)*Calculateur!AQ133*Calculateur!AS133*VLOOKUP('Données projet'!$B$9,Paramètres!$A$1:$I$88,3,0)*0.475*44/12</f>
        <v>17.763121573509295</v>
      </c>
      <c r="AW133" s="23">
        <f>EXP(-LN(2)/2)*AW132+(1-EXP(-LN(2)/2))/(LN(2)/2)*AQ133*AT133*VLOOKUP('Données projet'!$B$9,Paramètres!$A$1:$I$88,3,0)*0.475*44/12</f>
        <v>0</v>
      </c>
      <c r="AX133" s="23">
        <f t="shared" si="114"/>
        <v>214.07891794470748</v>
      </c>
      <c r="AY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4.666666666666667</v>
      </c>
      <c r="BD133" s="13">
        <f>IF('Données projet'!$A$88&gt;35,BD132+BC133-BL132,IF(A133&lt;'Données projet'!$A$88,$BA$205^A133,IF(A133='Données projet'!$A$88,'Données projet'!$B$88,BD132+BC133-BL132)))</f>
        <v>210.33333333333368</v>
      </c>
      <c r="BE133" s="14">
        <f>BD133*VLOOKUP('Données projet'!$B$11,Paramètres!$A$1:$I$88,3,0)*VLOOKUP('Données projet'!$B$11,Paramètres!$A$1:$I$88,5,0)</f>
        <v>213.27800000000036</v>
      </c>
      <c r="BF133" s="14">
        <f t="shared" ref="BF133:BF153" si="145">EXP(-1.0587+0.8836*LN(BE133)+0.284)</f>
        <v>52.651264157556227</v>
      </c>
      <c r="BG133" s="22">
        <f t="shared" si="115"/>
        <v>463.16013507441102</v>
      </c>
      <c r="BH133" s="61">
        <f t="shared" si="116"/>
        <v>747.07041846784318</v>
      </c>
      <c r="BI133" s="61">
        <f ca="1">AVERAGE(OFFSET($BH$3,0,0,'Données projet'!$E$11+1,1))-AVERAGE(OFFSET($H$3,0,0,'Données projet'!$E$11+1,1))</f>
        <v>433.57989081194</v>
      </c>
      <c r="BJ133" s="61">
        <f t="shared" ref="BJ133:BJ196" si="146">$BJ$3</f>
        <v>182.52060621271355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23.337295073504613</v>
      </c>
      <c r="BQ133" s="23">
        <f>EXP(-LN(2)/25)*BQ132+(1-EXP(-LN(2)/25))/(LN(2)/25)*Calculateur!BL133*Calculateur!BN133*VLOOKUP('Données projet'!$B$9,Paramètres!$A$1:$I$88,3,0)*0.475*44/12</f>
        <v>4.0221788878522489</v>
      </c>
      <c r="BR133" s="23">
        <f>EXP(-LN(2)/2)*BR132+(1-EXP(-LN(2)/2))/(LN(2)/2)*BL133*BO133*VLOOKUP('Données projet'!$B$9,Paramètres!$A$1:$I$88,3,0)*0.475*44/12</f>
        <v>0</v>
      </c>
      <c r="BS133" s="24">
        <f t="shared" si="117"/>
        <v>27.359473961356862</v>
      </c>
      <c r="BT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1" t="e">
        <f t="shared" si="119"/>
        <v>#N/A</v>
      </c>
      <c r="CD133" s="61" t="e">
        <f ca="1">AVERAGE(OFFSET($CC$3,0,0,'Données projet'!$E$12+1,1))-AVERAGE(OFFSET($H$3,0,0,'Données projet'!$E$12+1,1))</f>
        <v>#N/A</v>
      </c>
      <c r="CE133" s="61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0"/>
        <v>0</v>
      </c>
      <c r="CO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1" t="e">
        <f t="shared" si="122"/>
        <v>#N/A</v>
      </c>
      <c r="CY133" s="61" t="e">
        <f ca="1">AVERAGE(OFFSET($CX$3,0,0,'Données projet'!$E$13+1,1))-AVERAGE(OFFSET($H$3,0,0,'Données projet'!$E$13+1,1))</f>
        <v>#N/A</v>
      </c>
      <c r="CZ133" s="61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3"/>
        <v>0</v>
      </c>
      <c r="DJ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1" t="e">
        <f t="shared" si="125"/>
        <v>#N/A</v>
      </c>
      <c r="DT133" s="61" t="e">
        <f ca="1">AVERAGE(OFFSET($DS$3,0,0,'Données projet'!$E$14+1,1))-AVERAGE(OFFSET($H$3,0,0,'Données projet'!$E$14+1,1))</f>
        <v>#N/A</v>
      </c>
      <c r="DU133" s="61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26"/>
        <v>0</v>
      </c>
      <c r="EE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1" t="e">
        <f t="shared" si="128"/>
        <v>#N/A</v>
      </c>
      <c r="EO133" s="61" t="e">
        <f ca="1">AVERAGE(OFFSET($EN$3,0,0,'Données projet'!$E$15+1,1))-AVERAGE(OFFSET($H$3,0,0,'Données projet'!$E$15+1,1))</f>
        <v>#N/A</v>
      </c>
      <c r="EP133" s="61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29"/>
        <v>0</v>
      </c>
      <c r="EZ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1" t="e">
        <f t="shared" si="131"/>
        <v>#N/A</v>
      </c>
      <c r="FJ133" s="61" t="e">
        <f ca="1">AVERAGE(OFFSET($FI$3,0,0,'Données projet'!$E$16+1,1))-AVERAGE(OFFSET($H$3,0,0,'Données projet'!$E$16+1,1))</f>
        <v>#N/A</v>
      </c>
      <c r="FK133" s="61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32"/>
        <v>0</v>
      </c>
      <c r="FU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1" t="e">
        <f t="shared" si="134"/>
        <v>#N/A</v>
      </c>
      <c r="GE133" s="61" t="e">
        <f ca="1">AVERAGE(OFFSET($GD$3,0,0,'Données projet'!$E$17+1,1))-AVERAGE(OFFSET($H$3,0,0,'Données projet'!$E$17+1,1))</f>
        <v>#N/A</v>
      </c>
      <c r="GF133" s="61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35"/>
        <v>0</v>
      </c>
      <c r="GP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1" t="e">
        <f t="shared" si="137"/>
        <v>#N/A</v>
      </c>
      <c r="GZ133" s="61" t="e">
        <f ca="1">AVERAGE(OFFSET($GY$3,0,0,'Données projet'!$E$18+1,1))-AVERAGE(OFFSET($H$3,0,0,'Données projet'!$E$18+1,1))</f>
        <v>#N/A</v>
      </c>
      <c r="HA133" s="61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38"/>
        <v>0</v>
      </c>
    </row>
    <row r="134" spans="1:218" s="5" customFormat="1" x14ac:dyDescent="0.45">
      <c r="A134" s="11">
        <f t="shared" si="139"/>
        <v>131</v>
      </c>
      <c r="B134" s="76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9">
        <f t="shared" si="110"/>
        <v>183.33333333333334</v>
      </c>
      <c r="I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-3.4106051316484809E-13</v>
      </c>
      <c r="O134" s="14">
        <f>N134*VLOOKUP('Données projet'!$B$9,Paramètres!$A$1:$I$88,3,0)*VLOOKUP('Données projet'!$B$9,Paramètres!$A$1:$I$88,5,0)</f>
        <v>-2.0395418687257919E-13</v>
      </c>
      <c r="P134" s="14" t="e">
        <f t="shared" si="141"/>
        <v>#NUM!</v>
      </c>
      <c r="Q134" s="22" t="e">
        <f t="shared" si="108"/>
        <v>#NUM!</v>
      </c>
      <c r="R134" s="61" t="e">
        <f t="shared" si="109"/>
        <v>#NUM!</v>
      </c>
      <c r="S134" s="61">
        <f ca="1">AVERAGE(OFFSET($R$3,0,0,'Données projet'!$E$9+1,1))-AVERAGE(OFFSET($H$3,0,0,'Données projet'!$E$9+1,1))</f>
        <v>445.53168057836308</v>
      </c>
      <c r="T134" s="61">
        <f t="shared" si="142"/>
        <v>326.78684646135241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120.21520811639415</v>
      </c>
      <c r="AA134" s="23">
        <f>EXP(-LN(2)/25)*AA133+(1-EXP(-LN(2)/25))/(LN(2)/25)*Calculateur!V134*Calculateur!X134*VLOOKUP('Données projet'!$B$9,Paramètres!$A$1:$I$88,3,0)*0.475*44/12</f>
        <v>7.1812676546423004</v>
      </c>
      <c r="AB134" s="23">
        <f>EXP(-LN(2)/2)*AB133+(1-EXP(-LN(2)/2))/(LN(2)/2)*V134*Y134*VLOOKUP('Données projet'!$B$9,Paramètres!$A$1:$I$88,3,0)*0.475*44/12</f>
        <v>4.4236331584849395E-10</v>
      </c>
      <c r="AC134" s="24">
        <f t="shared" si="111"/>
        <v>127.39647577147882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-6.8212102632969618E-13</v>
      </c>
      <c r="AJ134" s="14">
        <f>AI134*VLOOKUP('Données projet'!$B$10,Paramètres!$A$1:$I$88,3,0)*VLOOKUP('Données projet'!$B$10,Paramètres!$A$1:$I$88,5,0)</f>
        <v>-3.1923264032229784E-13</v>
      </c>
      <c r="AK134" s="14" t="e">
        <f t="shared" si="143"/>
        <v>#NUM!</v>
      </c>
      <c r="AL134" s="22" t="e">
        <f t="shared" si="112"/>
        <v>#NUM!</v>
      </c>
      <c r="AM134" s="61" t="e">
        <f t="shared" si="113"/>
        <v>#NUM!</v>
      </c>
      <c r="AN134" s="61">
        <f ca="1">AVERAGE(OFFSET($AM$3,0,0,'Données projet'!$E$10+1,1))-AVERAGE(OFFSET($H$3,0,0,'Données projet'!$E$10+1,1))</f>
        <v>375.77859820466693</v>
      </c>
      <c r="AO134" s="61">
        <f t="shared" si="144"/>
        <v>242.84781402593856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192.46616334517137</v>
      </c>
      <c r="AV134" s="23">
        <f>EXP(-LN(2)/25)*AV133+(1-EXP(-LN(2)/25))/(LN(2)/25)*Calculateur!AQ134*Calculateur!AS134*VLOOKUP('Données projet'!$B$9,Paramètres!$A$1:$I$88,3,0)*0.475*44/12</f>
        <v>17.277388079959717</v>
      </c>
      <c r="AW134" s="23">
        <f>EXP(-LN(2)/2)*AW133+(1-EXP(-LN(2)/2))/(LN(2)/2)*AQ134*AT134*VLOOKUP('Données projet'!$B$9,Paramètres!$A$1:$I$88,3,0)*0.475*44/12</f>
        <v>0</v>
      </c>
      <c r="AX134" s="23">
        <f t="shared" si="114"/>
        <v>209.74355142513107</v>
      </c>
      <c r="AY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4.666666666666667</v>
      </c>
      <c r="BD134" s="13">
        <f>IF('Données projet'!$A$88&gt;35,BD133+BC134-BL133,IF(A134&lt;'Données projet'!$A$88,$BA$205^A134,IF(A134='Données projet'!$A$88,'Données projet'!$B$88,BD133+BC134-BL133)))</f>
        <v>215.00000000000034</v>
      </c>
      <c r="BE134" s="14">
        <f>BD134*VLOOKUP('Données projet'!$B$11,Paramètres!$A$1:$I$88,3,0)*VLOOKUP('Données projet'!$B$11,Paramètres!$A$1:$I$88,5,0)</f>
        <v>218.01000000000036</v>
      </c>
      <c r="BF134" s="14">
        <f t="shared" si="145"/>
        <v>53.682140586224499</v>
      </c>
      <c r="BG134" s="22">
        <f t="shared" si="115"/>
        <v>473.19714485434162</v>
      </c>
      <c r="BH134" s="61">
        <f t="shared" si="116"/>
        <v>757.27089709744735</v>
      </c>
      <c r="BI134" s="61">
        <f ca="1">AVERAGE(OFFSET($BH$3,0,0,'Données projet'!$E$11+1,1))-AVERAGE(OFFSET($H$3,0,0,'Données projet'!$E$11+1,1))</f>
        <v>433.57989081194</v>
      </c>
      <c r="BJ134" s="61">
        <f t="shared" si="146"/>
        <v>182.52060621271355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22.879664951457659</v>
      </c>
      <c r="BQ134" s="23">
        <f>EXP(-LN(2)/25)*BQ133+(1-EXP(-LN(2)/25))/(LN(2)/25)*Calculateur!BL134*Calculateur!BN134*VLOOKUP('Données projet'!$B$9,Paramètres!$A$1:$I$88,3,0)*0.475*44/12</f>
        <v>3.9121921946467344</v>
      </c>
      <c r="BR134" s="23">
        <f>EXP(-LN(2)/2)*BR133+(1-EXP(-LN(2)/2))/(LN(2)/2)*BL134*BO134*VLOOKUP('Données projet'!$B$9,Paramètres!$A$1:$I$88,3,0)*0.475*44/12</f>
        <v>0</v>
      </c>
      <c r="BS134" s="24">
        <f t="shared" si="117"/>
        <v>26.791857146104395</v>
      </c>
      <c r="BT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1" t="e">
        <f t="shared" si="119"/>
        <v>#N/A</v>
      </c>
      <c r="CD134" s="61" t="e">
        <f ca="1">AVERAGE(OFFSET($CC$3,0,0,'Données projet'!$E$12+1,1))-AVERAGE(OFFSET($H$3,0,0,'Données projet'!$E$12+1,1))</f>
        <v>#N/A</v>
      </c>
      <c r="CE134" s="61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0"/>
        <v>0</v>
      </c>
      <c r="CO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1" t="e">
        <f t="shared" si="122"/>
        <v>#N/A</v>
      </c>
      <c r="CY134" s="61" t="e">
        <f ca="1">AVERAGE(OFFSET($CX$3,0,0,'Données projet'!$E$13+1,1))-AVERAGE(OFFSET($H$3,0,0,'Données projet'!$E$13+1,1))</f>
        <v>#N/A</v>
      </c>
      <c r="CZ134" s="61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3"/>
        <v>0</v>
      </c>
      <c r="DJ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1" t="e">
        <f t="shared" si="125"/>
        <v>#N/A</v>
      </c>
      <c r="DT134" s="61" t="e">
        <f ca="1">AVERAGE(OFFSET($DS$3,0,0,'Données projet'!$E$14+1,1))-AVERAGE(OFFSET($H$3,0,0,'Données projet'!$E$14+1,1))</f>
        <v>#N/A</v>
      </c>
      <c r="DU134" s="61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26"/>
        <v>0</v>
      </c>
      <c r="EE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1" t="e">
        <f t="shared" si="128"/>
        <v>#N/A</v>
      </c>
      <c r="EO134" s="61" t="e">
        <f ca="1">AVERAGE(OFFSET($EN$3,0,0,'Données projet'!$E$15+1,1))-AVERAGE(OFFSET($H$3,0,0,'Données projet'!$E$15+1,1))</f>
        <v>#N/A</v>
      </c>
      <c r="EP134" s="61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29"/>
        <v>0</v>
      </c>
      <c r="EZ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1" t="e">
        <f t="shared" si="131"/>
        <v>#N/A</v>
      </c>
      <c r="FJ134" s="61" t="e">
        <f ca="1">AVERAGE(OFFSET($FI$3,0,0,'Données projet'!$E$16+1,1))-AVERAGE(OFFSET($H$3,0,0,'Données projet'!$E$16+1,1))</f>
        <v>#N/A</v>
      </c>
      <c r="FK134" s="61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32"/>
        <v>0</v>
      </c>
      <c r="FU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1" t="e">
        <f t="shared" si="134"/>
        <v>#N/A</v>
      </c>
      <c r="GE134" s="61" t="e">
        <f ca="1">AVERAGE(OFFSET($GD$3,0,0,'Données projet'!$E$17+1,1))-AVERAGE(OFFSET($H$3,0,0,'Données projet'!$E$17+1,1))</f>
        <v>#N/A</v>
      </c>
      <c r="GF134" s="61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35"/>
        <v>0</v>
      </c>
      <c r="GP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1" t="e">
        <f t="shared" si="137"/>
        <v>#N/A</v>
      </c>
      <c r="GZ134" s="61" t="e">
        <f ca="1">AVERAGE(OFFSET($GY$3,0,0,'Données projet'!$E$18+1,1))-AVERAGE(OFFSET($H$3,0,0,'Données projet'!$E$18+1,1))</f>
        <v>#N/A</v>
      </c>
      <c r="HA134" s="61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38"/>
        <v>0</v>
      </c>
    </row>
    <row r="135" spans="1:218" s="5" customFormat="1" x14ac:dyDescent="0.45">
      <c r="A135" s="11">
        <f t="shared" si="139"/>
        <v>132</v>
      </c>
      <c r="B135" s="76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9">
        <f t="shared" si="110"/>
        <v>183.33333333333334</v>
      </c>
      <c r="I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-3.4106051316484809E-13</v>
      </c>
      <c r="O135" s="14">
        <f>N135*VLOOKUP('Données projet'!$B$9,Paramètres!$A$1:$I$88,3,0)*VLOOKUP('Données projet'!$B$9,Paramètres!$A$1:$I$88,5,0)</f>
        <v>-2.0395418687257919E-13</v>
      </c>
      <c r="P135" s="14" t="e">
        <f t="shared" si="141"/>
        <v>#NUM!</v>
      </c>
      <c r="Q135" s="22" t="e">
        <f t="shared" si="108"/>
        <v>#NUM!</v>
      </c>
      <c r="R135" s="61" t="e">
        <f t="shared" si="109"/>
        <v>#NUM!</v>
      </c>
      <c r="S135" s="61">
        <f ca="1">AVERAGE(OFFSET($R$3,0,0,'Données projet'!$E$9+1,1))-AVERAGE(OFFSET($H$3,0,0,'Données projet'!$E$9+1,1))</f>
        <v>445.53168057836308</v>
      </c>
      <c r="T135" s="61">
        <f t="shared" si="142"/>
        <v>326.78684646135241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117.85786120926846</v>
      </c>
      <c r="AA135" s="23">
        <f>EXP(-LN(2)/25)*AA134+(1-EXP(-LN(2)/25))/(LN(2)/25)*Calculateur!V135*Calculateur!X135*VLOOKUP('Données projet'!$B$9,Paramètres!$A$1:$I$88,3,0)*0.475*44/12</f>
        <v>6.9848955129796542</v>
      </c>
      <c r="AB135" s="23">
        <f>EXP(-LN(2)/2)*AB134+(1-EXP(-LN(2)/2))/(LN(2)/2)*V135*Y135*VLOOKUP('Données projet'!$B$9,Paramètres!$A$1:$I$88,3,0)*0.475*44/12</f>
        <v>3.1279810038463662E-10</v>
      </c>
      <c r="AC135" s="24">
        <f t="shared" si="111"/>
        <v>124.84275672256091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-6.8212102632969618E-13</v>
      </c>
      <c r="AJ135" s="14">
        <f>AI135*VLOOKUP('Données projet'!$B$10,Paramètres!$A$1:$I$88,3,0)*VLOOKUP('Données projet'!$B$10,Paramètres!$A$1:$I$88,5,0)</f>
        <v>-3.1923264032229784E-13</v>
      </c>
      <c r="AK135" s="14" t="e">
        <f t="shared" si="143"/>
        <v>#NUM!</v>
      </c>
      <c r="AL135" s="22" t="e">
        <f t="shared" si="112"/>
        <v>#NUM!</v>
      </c>
      <c r="AM135" s="61" t="e">
        <f t="shared" si="113"/>
        <v>#NUM!</v>
      </c>
      <c r="AN135" s="61">
        <f ca="1">AVERAGE(OFFSET($AM$3,0,0,'Données projet'!$E$10+1,1))-AVERAGE(OFFSET($H$3,0,0,'Données projet'!$E$10+1,1))</f>
        <v>375.77859820466693</v>
      </c>
      <c r="AO135" s="61">
        <f t="shared" si="144"/>
        <v>242.84781402593856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188.69201927474063</v>
      </c>
      <c r="AV135" s="23">
        <f>EXP(-LN(2)/25)*AV134+(1-EXP(-LN(2)/25))/(LN(2)/25)*Calculateur!AQ135*Calculateur!AS135*VLOOKUP('Données projet'!$B$9,Paramètres!$A$1:$I$88,3,0)*0.475*44/12</f>
        <v>16.804936994334867</v>
      </c>
      <c r="AW135" s="23">
        <f>EXP(-LN(2)/2)*AW134+(1-EXP(-LN(2)/2))/(LN(2)/2)*AQ135*AT135*VLOOKUP('Données projet'!$B$9,Paramètres!$A$1:$I$88,3,0)*0.475*44/12</f>
        <v>0</v>
      </c>
      <c r="AX135" s="23">
        <f t="shared" si="114"/>
        <v>205.4969562690755</v>
      </c>
      <c r="AY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4.666666666666667</v>
      </c>
      <c r="BD135" s="13">
        <f>IF('Données projet'!$A$88&gt;35,BD134+BC135-BL134,IF(A135&lt;'Données projet'!$A$88,$BA$205^A135,IF(A135='Données projet'!$A$88,'Données projet'!$B$88,BD134+BC135-BL134)))</f>
        <v>219.666666666667</v>
      </c>
      <c r="BE135" s="14">
        <f>BD135*VLOOKUP('Données projet'!$B$11,Paramètres!$A$1:$I$88,3,0)*VLOOKUP('Données projet'!$B$11,Paramètres!$A$1:$I$88,5,0)</f>
        <v>222.74200000000036</v>
      </c>
      <c r="BF135" s="14">
        <f t="shared" si="145"/>
        <v>54.710415565107915</v>
      </c>
      <c r="BG135" s="22">
        <f t="shared" si="115"/>
        <v>483.22962377589675</v>
      </c>
      <c r="BH135" s="61">
        <f t="shared" si="116"/>
        <v>767.46400904959592</v>
      </c>
      <c r="BI135" s="61">
        <f ca="1">AVERAGE(OFFSET($BH$3,0,0,'Données projet'!$E$11+1,1))-AVERAGE(OFFSET($H$3,0,0,'Données projet'!$E$11+1,1))</f>
        <v>433.57989081194</v>
      </c>
      <c r="BJ135" s="61">
        <f t="shared" si="146"/>
        <v>182.52060621271355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22.431008676977232</v>
      </c>
      <c r="BQ135" s="23">
        <f>EXP(-LN(2)/25)*BQ134+(1-EXP(-LN(2)/25))/(LN(2)/25)*Calculateur!BL135*Calculateur!BN135*VLOOKUP('Données projet'!$B$9,Paramètres!$A$1:$I$88,3,0)*0.475*44/12</f>
        <v>3.8052130933508734</v>
      </c>
      <c r="BR135" s="23">
        <f>EXP(-LN(2)/2)*BR134+(1-EXP(-LN(2)/2))/(LN(2)/2)*BL135*BO135*VLOOKUP('Données projet'!$B$9,Paramètres!$A$1:$I$88,3,0)*0.475*44/12</f>
        <v>0</v>
      </c>
      <c r="BS135" s="24">
        <f t="shared" si="117"/>
        <v>26.236221770328104</v>
      </c>
      <c r="BT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1" t="e">
        <f t="shared" si="119"/>
        <v>#N/A</v>
      </c>
      <c r="CD135" s="61" t="e">
        <f ca="1">AVERAGE(OFFSET($CC$3,0,0,'Données projet'!$E$12+1,1))-AVERAGE(OFFSET($H$3,0,0,'Données projet'!$E$12+1,1))</f>
        <v>#N/A</v>
      </c>
      <c r="CE135" s="61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0"/>
        <v>0</v>
      </c>
      <c r="CO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1" t="e">
        <f t="shared" si="122"/>
        <v>#N/A</v>
      </c>
      <c r="CY135" s="61" t="e">
        <f ca="1">AVERAGE(OFFSET($CX$3,0,0,'Données projet'!$E$13+1,1))-AVERAGE(OFFSET($H$3,0,0,'Données projet'!$E$13+1,1))</f>
        <v>#N/A</v>
      </c>
      <c r="CZ135" s="61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3"/>
        <v>0</v>
      </c>
      <c r="DJ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1" t="e">
        <f t="shared" si="125"/>
        <v>#N/A</v>
      </c>
      <c r="DT135" s="61" t="e">
        <f ca="1">AVERAGE(OFFSET($DS$3,0,0,'Données projet'!$E$14+1,1))-AVERAGE(OFFSET($H$3,0,0,'Données projet'!$E$14+1,1))</f>
        <v>#N/A</v>
      </c>
      <c r="DU135" s="61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26"/>
        <v>0</v>
      </c>
      <c r="EE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1" t="e">
        <f t="shared" si="128"/>
        <v>#N/A</v>
      </c>
      <c r="EO135" s="61" t="e">
        <f ca="1">AVERAGE(OFFSET($EN$3,0,0,'Données projet'!$E$15+1,1))-AVERAGE(OFFSET($H$3,0,0,'Données projet'!$E$15+1,1))</f>
        <v>#N/A</v>
      </c>
      <c r="EP135" s="61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29"/>
        <v>0</v>
      </c>
      <c r="EZ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1" t="e">
        <f t="shared" si="131"/>
        <v>#N/A</v>
      </c>
      <c r="FJ135" s="61" t="e">
        <f ca="1">AVERAGE(OFFSET($FI$3,0,0,'Données projet'!$E$16+1,1))-AVERAGE(OFFSET($H$3,0,0,'Données projet'!$E$16+1,1))</f>
        <v>#N/A</v>
      </c>
      <c r="FK135" s="61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32"/>
        <v>0</v>
      </c>
      <c r="FU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1" t="e">
        <f t="shared" si="134"/>
        <v>#N/A</v>
      </c>
      <c r="GE135" s="61" t="e">
        <f ca="1">AVERAGE(OFFSET($GD$3,0,0,'Données projet'!$E$17+1,1))-AVERAGE(OFFSET($H$3,0,0,'Données projet'!$E$17+1,1))</f>
        <v>#N/A</v>
      </c>
      <c r="GF135" s="61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35"/>
        <v>0</v>
      </c>
      <c r="GP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1" t="e">
        <f t="shared" si="137"/>
        <v>#N/A</v>
      </c>
      <c r="GZ135" s="61" t="e">
        <f ca="1">AVERAGE(OFFSET($GY$3,0,0,'Données projet'!$E$18+1,1))-AVERAGE(OFFSET($H$3,0,0,'Données projet'!$E$18+1,1))</f>
        <v>#N/A</v>
      </c>
      <c r="HA135" s="61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38"/>
        <v>0</v>
      </c>
    </row>
    <row r="136" spans="1:218" s="5" customFormat="1" x14ac:dyDescent="0.45">
      <c r="A136" s="11">
        <f t="shared" si="139"/>
        <v>133</v>
      </c>
      <c r="B136" s="76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9">
        <f t="shared" si="110"/>
        <v>183.33333333333334</v>
      </c>
      <c r="I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-3.4106051316484809E-13</v>
      </c>
      <c r="O136" s="14">
        <f>N136*VLOOKUP('Données projet'!$B$9,Paramètres!$A$1:$I$88,3,0)*VLOOKUP('Données projet'!$B$9,Paramètres!$A$1:$I$88,5,0)</f>
        <v>-2.0395418687257919E-13</v>
      </c>
      <c r="P136" s="14" t="e">
        <f t="shared" si="141"/>
        <v>#NUM!</v>
      </c>
      <c r="Q136" s="22" t="e">
        <f t="shared" si="108"/>
        <v>#NUM!</v>
      </c>
      <c r="R136" s="61" t="e">
        <f t="shared" si="109"/>
        <v>#NUM!</v>
      </c>
      <c r="S136" s="61">
        <f ca="1">AVERAGE(OFFSET($R$3,0,0,'Données projet'!$E$9+1,1))-AVERAGE(OFFSET($H$3,0,0,'Données projet'!$E$9+1,1))</f>
        <v>445.53168057836308</v>
      </c>
      <c r="T136" s="61">
        <f t="shared" si="142"/>
        <v>326.78684646135241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115.54674043715187</v>
      </c>
      <c r="AA136" s="23">
        <f>EXP(-LN(2)/25)*AA135+(1-EXP(-LN(2)/25))/(LN(2)/25)*Calculateur!V136*Calculateur!X136*VLOOKUP('Données projet'!$B$9,Paramètres!$A$1:$I$88,3,0)*0.475*44/12</f>
        <v>6.7938931778575347</v>
      </c>
      <c r="AB136" s="23">
        <f>EXP(-LN(2)/2)*AB135+(1-EXP(-LN(2)/2))/(LN(2)/2)*V136*Y136*VLOOKUP('Données projet'!$B$9,Paramètres!$A$1:$I$88,3,0)*0.475*44/12</f>
        <v>2.2118165792424697E-10</v>
      </c>
      <c r="AC136" s="24">
        <f t="shared" si="111"/>
        <v>122.34063361523059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-6.8212102632969618E-13</v>
      </c>
      <c r="AJ136" s="14">
        <f>AI136*VLOOKUP('Données projet'!$B$10,Paramètres!$A$1:$I$88,3,0)*VLOOKUP('Données projet'!$B$10,Paramètres!$A$1:$I$88,5,0)</f>
        <v>-3.1923264032229784E-13</v>
      </c>
      <c r="AK136" s="14" t="e">
        <f t="shared" si="143"/>
        <v>#NUM!</v>
      </c>
      <c r="AL136" s="22" t="e">
        <f t="shared" si="112"/>
        <v>#NUM!</v>
      </c>
      <c r="AM136" s="61" t="e">
        <f t="shared" si="113"/>
        <v>#NUM!</v>
      </c>
      <c r="AN136" s="61">
        <f ca="1">AVERAGE(OFFSET($AM$3,0,0,'Données projet'!$E$10+1,1))-AVERAGE(OFFSET($H$3,0,0,'Données projet'!$E$10+1,1))</f>
        <v>375.77859820466693</v>
      </c>
      <c r="AO136" s="61">
        <f t="shared" si="144"/>
        <v>242.84781402593856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184.99188386753045</v>
      </c>
      <c r="AV136" s="23">
        <f>EXP(-LN(2)/25)*AV135+(1-EXP(-LN(2)/25))/(LN(2)/25)*Calculateur!AQ136*Calculateur!AS136*VLOOKUP('Données projet'!$B$9,Paramètres!$A$1:$I$88,3,0)*0.475*44/12</f>
        <v>16.345405108491551</v>
      </c>
      <c r="AW136" s="23">
        <f>EXP(-LN(2)/2)*AW135+(1-EXP(-LN(2)/2))/(LN(2)/2)*AQ136*AT136*VLOOKUP('Données projet'!$B$9,Paramètres!$A$1:$I$88,3,0)*0.475*44/12</f>
        <v>0</v>
      </c>
      <c r="AX136" s="23">
        <f t="shared" si="114"/>
        <v>201.33728897602199</v>
      </c>
      <c r="AY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4.666666666666667</v>
      </c>
      <c r="BD136" s="13">
        <f>IF('Données projet'!$A$88&gt;35,BD135+BC136-BL135,IF(A136&lt;'Données projet'!$A$88,$BA$205^A136,IF(A136='Données projet'!$A$88,'Données projet'!$B$88,BD135+BC136-BL135)))</f>
        <v>224.33333333333366</v>
      </c>
      <c r="BE136" s="14">
        <f>BD136*VLOOKUP('Données projet'!$B$11,Paramètres!$A$1:$I$88,3,0)*VLOOKUP('Données projet'!$B$11,Paramètres!$A$1:$I$88,5,0)</f>
        <v>227.47400000000036</v>
      </c>
      <c r="BF136" s="14">
        <f t="shared" si="145"/>
        <v>55.736150726313028</v>
      </c>
      <c r="BG136" s="22">
        <f t="shared" si="115"/>
        <v>493.25767918166247</v>
      </c>
      <c r="BH136" s="61">
        <f t="shared" si="116"/>
        <v>777.64991086199586</v>
      </c>
      <c r="BI136" s="61">
        <f ca="1">AVERAGE(OFFSET($BH$3,0,0,'Données projet'!$E$11+1,1))-AVERAGE(OFFSET($H$3,0,0,'Données projet'!$E$11+1,1))</f>
        <v>433.57989081194</v>
      </c>
      <c r="BJ136" s="61">
        <f t="shared" si="146"/>
        <v>182.52060621271355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21.991150278386058</v>
      </c>
      <c r="BQ136" s="23">
        <f>EXP(-LN(2)/25)*BQ135+(1-EXP(-LN(2)/25))/(LN(2)/25)*Calculateur!BL136*Calculateur!BN136*VLOOKUP('Données projet'!$B$9,Paramètres!$A$1:$I$88,3,0)*0.475*44/12</f>
        <v>3.701159341205734</v>
      </c>
      <c r="BR136" s="23">
        <f>EXP(-LN(2)/2)*BR135+(1-EXP(-LN(2)/2))/(LN(2)/2)*BL136*BO136*VLOOKUP('Données projet'!$B$9,Paramètres!$A$1:$I$88,3,0)*0.475*44/12</f>
        <v>0</v>
      </c>
      <c r="BS136" s="24">
        <f t="shared" si="117"/>
        <v>25.692309619591793</v>
      </c>
      <c r="BT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1" t="e">
        <f t="shared" si="119"/>
        <v>#N/A</v>
      </c>
      <c r="CD136" s="61" t="e">
        <f ca="1">AVERAGE(OFFSET($CC$3,0,0,'Données projet'!$E$12+1,1))-AVERAGE(OFFSET($H$3,0,0,'Données projet'!$E$12+1,1))</f>
        <v>#N/A</v>
      </c>
      <c r="CE136" s="61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0"/>
        <v>0</v>
      </c>
      <c r="CO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1" t="e">
        <f t="shared" si="122"/>
        <v>#N/A</v>
      </c>
      <c r="CY136" s="61" t="e">
        <f ca="1">AVERAGE(OFFSET($CX$3,0,0,'Données projet'!$E$13+1,1))-AVERAGE(OFFSET($H$3,0,0,'Données projet'!$E$13+1,1))</f>
        <v>#N/A</v>
      </c>
      <c r="CZ136" s="61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3"/>
        <v>0</v>
      </c>
      <c r="DJ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1" t="e">
        <f t="shared" si="125"/>
        <v>#N/A</v>
      </c>
      <c r="DT136" s="61" t="e">
        <f ca="1">AVERAGE(OFFSET($DS$3,0,0,'Données projet'!$E$14+1,1))-AVERAGE(OFFSET($H$3,0,0,'Données projet'!$E$14+1,1))</f>
        <v>#N/A</v>
      </c>
      <c r="DU136" s="61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26"/>
        <v>0</v>
      </c>
      <c r="EE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1" t="e">
        <f t="shared" si="128"/>
        <v>#N/A</v>
      </c>
      <c r="EO136" s="61" t="e">
        <f ca="1">AVERAGE(OFFSET($EN$3,0,0,'Données projet'!$E$15+1,1))-AVERAGE(OFFSET($H$3,0,0,'Données projet'!$E$15+1,1))</f>
        <v>#N/A</v>
      </c>
      <c r="EP136" s="61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29"/>
        <v>0</v>
      </c>
      <c r="EZ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1" t="e">
        <f t="shared" si="131"/>
        <v>#N/A</v>
      </c>
      <c r="FJ136" s="61" t="e">
        <f ca="1">AVERAGE(OFFSET($FI$3,0,0,'Données projet'!$E$16+1,1))-AVERAGE(OFFSET($H$3,0,0,'Données projet'!$E$16+1,1))</f>
        <v>#N/A</v>
      </c>
      <c r="FK136" s="61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32"/>
        <v>0</v>
      </c>
      <c r="FU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1" t="e">
        <f t="shared" si="134"/>
        <v>#N/A</v>
      </c>
      <c r="GE136" s="61" t="e">
        <f ca="1">AVERAGE(OFFSET($GD$3,0,0,'Données projet'!$E$17+1,1))-AVERAGE(OFFSET($H$3,0,0,'Données projet'!$E$17+1,1))</f>
        <v>#N/A</v>
      </c>
      <c r="GF136" s="61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35"/>
        <v>0</v>
      </c>
      <c r="GP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1" t="e">
        <f t="shared" si="137"/>
        <v>#N/A</v>
      </c>
      <c r="GZ136" s="61" t="e">
        <f ca="1">AVERAGE(OFFSET($GY$3,0,0,'Données projet'!$E$18+1,1))-AVERAGE(OFFSET($H$3,0,0,'Données projet'!$E$18+1,1))</f>
        <v>#N/A</v>
      </c>
      <c r="HA136" s="61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38"/>
        <v>0</v>
      </c>
    </row>
    <row r="137" spans="1:218" s="5" customFormat="1" x14ac:dyDescent="0.45">
      <c r="A137" s="11">
        <f t="shared" si="139"/>
        <v>134</v>
      </c>
      <c r="B137" s="76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9">
        <f t="shared" si="110"/>
        <v>183.33333333333334</v>
      </c>
      <c r="I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-3.4106051316484809E-13</v>
      </c>
      <c r="O137" s="14">
        <f>N137*VLOOKUP('Données projet'!$B$9,Paramètres!$A$1:$I$88,3,0)*VLOOKUP('Données projet'!$B$9,Paramètres!$A$1:$I$88,5,0)</f>
        <v>-2.0395418687257919E-13</v>
      </c>
      <c r="P137" s="14" t="e">
        <f t="shared" si="141"/>
        <v>#NUM!</v>
      </c>
      <c r="Q137" s="22" t="e">
        <f t="shared" si="108"/>
        <v>#NUM!</v>
      </c>
      <c r="R137" s="61" t="e">
        <f t="shared" si="109"/>
        <v>#NUM!</v>
      </c>
      <c r="S137" s="61">
        <f ca="1">AVERAGE(OFFSET($R$3,0,0,'Données projet'!$E$9+1,1))-AVERAGE(OFFSET($H$3,0,0,'Données projet'!$E$9+1,1))</f>
        <v>445.53168057836308</v>
      </c>
      <c r="T137" s="61">
        <f t="shared" si="142"/>
        <v>326.78684646135241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113.28093933373201</v>
      </c>
      <c r="AA137" s="23">
        <f>EXP(-LN(2)/25)*AA136+(1-EXP(-LN(2)/25))/(LN(2)/25)*Calculateur!V137*Calculateur!X137*VLOOKUP('Données projet'!$B$9,Paramètres!$A$1:$I$88,3,0)*0.475*44/12</f>
        <v>6.6081138116337055</v>
      </c>
      <c r="AB137" s="23">
        <f>EXP(-LN(2)/2)*AB136+(1-EXP(-LN(2)/2))/(LN(2)/2)*V137*Y137*VLOOKUP('Données projet'!$B$9,Paramètres!$A$1:$I$88,3,0)*0.475*44/12</f>
        <v>1.5639905019231831E-10</v>
      </c>
      <c r="AC137" s="24">
        <f t="shared" si="111"/>
        <v>119.88905314552211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-6.8212102632969618E-13</v>
      </c>
      <c r="AJ137" s="14">
        <f>AI137*VLOOKUP('Données projet'!$B$10,Paramètres!$A$1:$I$88,3,0)*VLOOKUP('Données projet'!$B$10,Paramètres!$A$1:$I$88,5,0)</f>
        <v>-3.1923264032229784E-13</v>
      </c>
      <c r="AK137" s="14" t="e">
        <f t="shared" si="143"/>
        <v>#NUM!</v>
      </c>
      <c r="AL137" s="22" t="e">
        <f t="shared" si="112"/>
        <v>#NUM!</v>
      </c>
      <c r="AM137" s="61" t="e">
        <f t="shared" si="113"/>
        <v>#NUM!</v>
      </c>
      <c r="AN137" s="61">
        <f ca="1">AVERAGE(OFFSET($AM$3,0,0,'Données projet'!$E$10+1,1))-AVERAGE(OFFSET($H$3,0,0,'Données projet'!$E$10+1,1))</f>
        <v>375.77859820466693</v>
      </c>
      <c r="AO137" s="61">
        <f t="shared" si="144"/>
        <v>242.84781402593856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181.36430585879592</v>
      </c>
      <c r="AV137" s="23">
        <f>EXP(-LN(2)/25)*AV136+(1-EXP(-LN(2)/25))/(LN(2)/25)*Calculateur!AQ137*Calculateur!AS137*VLOOKUP('Données projet'!$B$9,Paramètres!$A$1:$I$88,3,0)*0.475*44/12</f>
        <v>15.898439146232352</v>
      </c>
      <c r="AW137" s="23">
        <f>EXP(-LN(2)/2)*AW136+(1-EXP(-LN(2)/2))/(LN(2)/2)*AQ137*AT137*VLOOKUP('Données projet'!$B$9,Paramètres!$A$1:$I$88,3,0)*0.475*44/12</f>
        <v>0</v>
      </c>
      <c r="AX137" s="23">
        <f t="shared" si="114"/>
        <v>197.26274500502828</v>
      </c>
      <c r="AY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4.666666666666667</v>
      </c>
      <c r="BD137" s="13">
        <f>IF('Données projet'!$A$88&gt;35,BD136+BC137-BL136,IF(A137&lt;'Données projet'!$A$88,$BA$205^A137,IF(A137='Données projet'!$A$88,'Données projet'!$B$88,BD136+BC137-BL136)))</f>
        <v>229.00000000000031</v>
      </c>
      <c r="BE137" s="14">
        <f>BD137*VLOOKUP('Données projet'!$B$11,Paramètres!$A$1:$I$88,3,0)*VLOOKUP('Données projet'!$B$11,Paramètres!$A$1:$I$88,5,0)</f>
        <v>232.20600000000036</v>
      </c>
      <c r="BF137" s="14">
        <f t="shared" si="145"/>
        <v>56.759404991217679</v>
      </c>
      <c r="BG137" s="22">
        <f t="shared" si="115"/>
        <v>503.28141369303813</v>
      </c>
      <c r="BH137" s="61">
        <f t="shared" si="116"/>
        <v>787.82875349774235</v>
      </c>
      <c r="BI137" s="61">
        <f ca="1">AVERAGE(OFFSET($BH$3,0,0,'Données projet'!$E$11+1,1))-AVERAGE(OFFSET($H$3,0,0,'Données projet'!$E$11+1,1))</f>
        <v>433.57989081194</v>
      </c>
      <c r="BJ137" s="61">
        <f t="shared" si="146"/>
        <v>182.52060621271355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21.559917234704127</v>
      </c>
      <c r="BQ137" s="23">
        <f>EXP(-LN(2)/25)*BQ136+(1-EXP(-LN(2)/25))/(LN(2)/25)*Calculateur!BL137*Calculateur!BN137*VLOOKUP('Données projet'!$B$9,Paramètres!$A$1:$I$88,3,0)*0.475*44/12</f>
        <v>3.5999509443849527</v>
      </c>
      <c r="BR137" s="23">
        <f>EXP(-LN(2)/2)*BR136+(1-EXP(-LN(2)/2))/(LN(2)/2)*BL137*BO137*VLOOKUP('Données projet'!$B$9,Paramètres!$A$1:$I$88,3,0)*0.475*44/12</f>
        <v>0</v>
      </c>
      <c r="BS137" s="24">
        <f t="shared" si="117"/>
        <v>25.159868179089081</v>
      </c>
      <c r="BT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1" t="e">
        <f t="shared" si="119"/>
        <v>#N/A</v>
      </c>
      <c r="CD137" s="61" t="e">
        <f ca="1">AVERAGE(OFFSET($CC$3,0,0,'Données projet'!$E$12+1,1))-AVERAGE(OFFSET($H$3,0,0,'Données projet'!$E$12+1,1))</f>
        <v>#N/A</v>
      </c>
      <c r="CE137" s="61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0"/>
        <v>0</v>
      </c>
      <c r="CO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1" t="e">
        <f t="shared" si="122"/>
        <v>#N/A</v>
      </c>
      <c r="CY137" s="61" t="e">
        <f ca="1">AVERAGE(OFFSET($CX$3,0,0,'Données projet'!$E$13+1,1))-AVERAGE(OFFSET($H$3,0,0,'Données projet'!$E$13+1,1))</f>
        <v>#N/A</v>
      </c>
      <c r="CZ137" s="61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3"/>
        <v>0</v>
      </c>
      <c r="DJ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1" t="e">
        <f t="shared" si="125"/>
        <v>#N/A</v>
      </c>
      <c r="DT137" s="61" t="e">
        <f ca="1">AVERAGE(OFFSET($DS$3,0,0,'Données projet'!$E$14+1,1))-AVERAGE(OFFSET($H$3,0,0,'Données projet'!$E$14+1,1))</f>
        <v>#N/A</v>
      </c>
      <c r="DU137" s="61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26"/>
        <v>0</v>
      </c>
      <c r="EE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1" t="e">
        <f t="shared" si="128"/>
        <v>#N/A</v>
      </c>
      <c r="EO137" s="61" t="e">
        <f ca="1">AVERAGE(OFFSET($EN$3,0,0,'Données projet'!$E$15+1,1))-AVERAGE(OFFSET($H$3,0,0,'Données projet'!$E$15+1,1))</f>
        <v>#N/A</v>
      </c>
      <c r="EP137" s="61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29"/>
        <v>0</v>
      </c>
      <c r="EZ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1" t="e">
        <f t="shared" si="131"/>
        <v>#N/A</v>
      </c>
      <c r="FJ137" s="61" t="e">
        <f ca="1">AVERAGE(OFFSET($FI$3,0,0,'Données projet'!$E$16+1,1))-AVERAGE(OFFSET($H$3,0,0,'Données projet'!$E$16+1,1))</f>
        <v>#N/A</v>
      </c>
      <c r="FK137" s="61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32"/>
        <v>0</v>
      </c>
      <c r="FU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1" t="e">
        <f t="shared" si="134"/>
        <v>#N/A</v>
      </c>
      <c r="GE137" s="61" t="e">
        <f ca="1">AVERAGE(OFFSET($GD$3,0,0,'Données projet'!$E$17+1,1))-AVERAGE(OFFSET($H$3,0,0,'Données projet'!$E$17+1,1))</f>
        <v>#N/A</v>
      </c>
      <c r="GF137" s="61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35"/>
        <v>0</v>
      </c>
      <c r="GP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1" t="e">
        <f t="shared" si="137"/>
        <v>#N/A</v>
      </c>
      <c r="GZ137" s="61" t="e">
        <f ca="1">AVERAGE(OFFSET($GY$3,0,0,'Données projet'!$E$18+1,1))-AVERAGE(OFFSET($H$3,0,0,'Données projet'!$E$18+1,1))</f>
        <v>#N/A</v>
      </c>
      <c r="HA137" s="61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38"/>
        <v>0</v>
      </c>
    </row>
    <row r="138" spans="1:218" s="5" customFormat="1" x14ac:dyDescent="0.45">
      <c r="A138" s="11">
        <f t="shared" si="139"/>
        <v>135</v>
      </c>
      <c r="B138" s="76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9">
        <f t="shared" si="110"/>
        <v>183.33333333333334</v>
      </c>
      <c r="I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-3.4106051316484809E-13</v>
      </c>
      <c r="O138" s="14">
        <f>N138*VLOOKUP('Données projet'!$B$9,Paramètres!$A$1:$I$88,3,0)*VLOOKUP('Données projet'!$B$9,Paramètres!$A$1:$I$88,5,0)</f>
        <v>-2.0395418687257919E-13</v>
      </c>
      <c r="P138" s="14" t="e">
        <f t="shared" si="141"/>
        <v>#NUM!</v>
      </c>
      <c r="Q138" s="22" t="e">
        <f t="shared" si="108"/>
        <v>#NUM!</v>
      </c>
      <c r="R138" s="61" t="e">
        <f t="shared" si="109"/>
        <v>#NUM!</v>
      </c>
      <c r="S138" s="61">
        <f ca="1">AVERAGE(OFFSET($R$3,0,0,'Données projet'!$E$9+1,1))-AVERAGE(OFFSET($H$3,0,0,'Données projet'!$E$9+1,1))</f>
        <v>445.53168057836308</v>
      </c>
      <c r="T138" s="61">
        <f t="shared" si="142"/>
        <v>326.78684646135241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111.059569207948</v>
      </c>
      <c r="AA138" s="23">
        <f>EXP(-LN(2)/25)*AA137+(1-EXP(-LN(2)/25))/(LN(2)/25)*Calculateur!V138*Calculateur!X138*VLOOKUP('Données projet'!$B$9,Paramètres!$A$1:$I$88,3,0)*0.475*44/12</f>
        <v>6.4274145919489793</v>
      </c>
      <c r="AB138" s="23">
        <f>EXP(-LN(2)/2)*AB137+(1-EXP(-LN(2)/2))/(LN(2)/2)*V138*Y138*VLOOKUP('Données projet'!$B$9,Paramètres!$A$1:$I$88,3,0)*0.475*44/12</f>
        <v>1.1059082896212349E-10</v>
      </c>
      <c r="AC138" s="24">
        <f t="shared" si="111"/>
        <v>117.48698380000756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-6.8212102632969618E-13</v>
      </c>
      <c r="AJ138" s="14">
        <f>AI138*VLOOKUP('Données projet'!$B$10,Paramètres!$A$1:$I$88,3,0)*VLOOKUP('Données projet'!$B$10,Paramètres!$A$1:$I$88,5,0)</f>
        <v>-3.1923264032229784E-13</v>
      </c>
      <c r="AK138" s="14" t="e">
        <f t="shared" si="143"/>
        <v>#NUM!</v>
      </c>
      <c r="AL138" s="22" t="e">
        <f t="shared" si="112"/>
        <v>#NUM!</v>
      </c>
      <c r="AM138" s="61" t="e">
        <f t="shared" si="113"/>
        <v>#NUM!</v>
      </c>
      <c r="AN138" s="61">
        <f ca="1">AVERAGE(OFFSET($AM$3,0,0,'Données projet'!$E$10+1,1))-AVERAGE(OFFSET($H$3,0,0,'Données projet'!$E$10+1,1))</f>
        <v>375.77859820466693</v>
      </c>
      <c r="AO138" s="61">
        <f t="shared" si="144"/>
        <v>242.84781402593856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177.80786244220855</v>
      </c>
      <c r="AV138" s="23">
        <f>EXP(-LN(2)/25)*AV137+(1-EXP(-LN(2)/25))/(LN(2)/25)*Calculateur!AQ138*Calculateur!AS138*VLOOKUP('Données projet'!$B$9,Paramètres!$A$1:$I$88,3,0)*0.475*44/12</f>
        <v>15.463695491716051</v>
      </c>
      <c r="AW138" s="23">
        <f>EXP(-LN(2)/2)*AW137+(1-EXP(-LN(2)/2))/(LN(2)/2)*AQ138*AT138*VLOOKUP('Données projet'!$B$9,Paramètres!$A$1:$I$88,3,0)*0.475*44/12</f>
        <v>0</v>
      </c>
      <c r="AX138" s="23">
        <f t="shared" si="114"/>
        <v>193.27155793392458</v>
      </c>
      <c r="AY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4.666666666666667</v>
      </c>
      <c r="BD138" s="13">
        <f>IF('Données projet'!$A$88&gt;35,BD137+BC138-BL137,IF(A138&lt;'Données projet'!$A$88,$BA$205^A138,IF(A138='Données projet'!$A$88,'Données projet'!$B$88,BD137+BC138-BL137)))</f>
        <v>233.66666666666697</v>
      </c>
      <c r="BE138" s="14">
        <f>BD138*VLOOKUP('Données projet'!$B$11,Paramètres!$A$1:$I$88,3,0)*VLOOKUP('Données projet'!$B$11,Paramètres!$A$1:$I$88,5,0)</f>
        <v>236.9380000000003</v>
      </c>
      <c r="BF138" s="14">
        <f t="shared" si="145"/>
        <v>57.780234742465524</v>
      </c>
      <c r="BG138" s="22">
        <f t="shared" si="115"/>
        <v>513.30092550979464</v>
      </c>
      <c r="BH138" s="61">
        <f t="shared" si="116"/>
        <v>798.00068265968184</v>
      </c>
      <c r="BI138" s="61">
        <f ca="1">AVERAGE(OFFSET($BH$3,0,0,'Données projet'!$E$11+1,1))-AVERAGE(OFFSET($H$3,0,0,'Données projet'!$E$11+1,1))</f>
        <v>433.57989081194</v>
      </c>
      <c r="BJ138" s="61">
        <f t="shared" si="146"/>
        <v>182.52060621271355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21.137140407982614</v>
      </c>
      <c r="BQ138" s="23">
        <f>EXP(-LN(2)/25)*BQ137+(1-EXP(-LN(2)/25))/(LN(2)/25)*Calculateur!BL138*Calculateur!BN138*VLOOKUP('Données projet'!$B$9,Paramètres!$A$1:$I$88,3,0)*0.475*44/12</f>
        <v>3.5015100964975536</v>
      </c>
      <c r="BR138" s="23">
        <f>EXP(-LN(2)/2)*BR137+(1-EXP(-LN(2)/2))/(LN(2)/2)*BL138*BO138*VLOOKUP('Données projet'!$B$9,Paramètres!$A$1:$I$88,3,0)*0.475*44/12</f>
        <v>0</v>
      </c>
      <c r="BS138" s="24">
        <f t="shared" si="117"/>
        <v>24.638650504480168</v>
      </c>
      <c r="BT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1" t="e">
        <f t="shared" si="119"/>
        <v>#N/A</v>
      </c>
      <c r="CD138" s="61" t="e">
        <f ca="1">AVERAGE(OFFSET($CC$3,0,0,'Données projet'!$E$12+1,1))-AVERAGE(OFFSET($H$3,0,0,'Données projet'!$E$12+1,1))</f>
        <v>#N/A</v>
      </c>
      <c r="CE138" s="61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0"/>
        <v>0</v>
      </c>
      <c r="CO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1" t="e">
        <f t="shared" si="122"/>
        <v>#N/A</v>
      </c>
      <c r="CY138" s="61" t="e">
        <f ca="1">AVERAGE(OFFSET($CX$3,0,0,'Données projet'!$E$13+1,1))-AVERAGE(OFFSET($H$3,0,0,'Données projet'!$E$13+1,1))</f>
        <v>#N/A</v>
      </c>
      <c r="CZ138" s="61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3"/>
        <v>0</v>
      </c>
      <c r="DJ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1" t="e">
        <f t="shared" si="125"/>
        <v>#N/A</v>
      </c>
      <c r="DT138" s="61" t="e">
        <f ca="1">AVERAGE(OFFSET($DS$3,0,0,'Données projet'!$E$14+1,1))-AVERAGE(OFFSET($H$3,0,0,'Données projet'!$E$14+1,1))</f>
        <v>#N/A</v>
      </c>
      <c r="DU138" s="61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26"/>
        <v>0</v>
      </c>
      <c r="EE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1" t="e">
        <f t="shared" si="128"/>
        <v>#N/A</v>
      </c>
      <c r="EO138" s="61" t="e">
        <f ca="1">AVERAGE(OFFSET($EN$3,0,0,'Données projet'!$E$15+1,1))-AVERAGE(OFFSET($H$3,0,0,'Données projet'!$E$15+1,1))</f>
        <v>#N/A</v>
      </c>
      <c r="EP138" s="61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29"/>
        <v>0</v>
      </c>
      <c r="EZ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1" t="e">
        <f t="shared" si="131"/>
        <v>#N/A</v>
      </c>
      <c r="FJ138" s="61" t="e">
        <f ca="1">AVERAGE(OFFSET($FI$3,0,0,'Données projet'!$E$16+1,1))-AVERAGE(OFFSET($H$3,0,0,'Données projet'!$E$16+1,1))</f>
        <v>#N/A</v>
      </c>
      <c r="FK138" s="61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32"/>
        <v>0</v>
      </c>
      <c r="FU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1" t="e">
        <f t="shared" si="134"/>
        <v>#N/A</v>
      </c>
      <c r="GE138" s="61" t="e">
        <f ca="1">AVERAGE(OFFSET($GD$3,0,0,'Données projet'!$E$17+1,1))-AVERAGE(OFFSET($H$3,0,0,'Données projet'!$E$17+1,1))</f>
        <v>#N/A</v>
      </c>
      <c r="GF138" s="61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35"/>
        <v>0</v>
      </c>
      <c r="GP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1" t="e">
        <f t="shared" si="137"/>
        <v>#N/A</v>
      </c>
      <c r="GZ138" s="61" t="e">
        <f ca="1">AVERAGE(OFFSET($GY$3,0,0,'Données projet'!$E$18+1,1))-AVERAGE(OFFSET($H$3,0,0,'Données projet'!$E$18+1,1))</f>
        <v>#N/A</v>
      </c>
      <c r="HA138" s="61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38"/>
        <v>0</v>
      </c>
    </row>
    <row r="139" spans="1:218" s="5" customFormat="1" x14ac:dyDescent="0.45">
      <c r="A139" s="11">
        <f t="shared" si="139"/>
        <v>136</v>
      </c>
      <c r="B139" s="76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9">
        <f t="shared" si="110"/>
        <v>183.33333333333334</v>
      </c>
      <c r="I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-3.4106051316484809E-13</v>
      </c>
      <c r="O139" s="14">
        <f>N139*VLOOKUP('Données projet'!$B$9,Paramètres!$A$1:$I$88,3,0)*VLOOKUP('Données projet'!$B$9,Paramètres!$A$1:$I$88,5,0)</f>
        <v>-2.0395418687257919E-13</v>
      </c>
      <c r="P139" s="14" t="e">
        <f t="shared" si="141"/>
        <v>#NUM!</v>
      </c>
      <c r="Q139" s="22" t="e">
        <f t="shared" si="108"/>
        <v>#NUM!</v>
      </c>
      <c r="R139" s="61" t="e">
        <f t="shared" si="109"/>
        <v>#NUM!</v>
      </c>
      <c r="S139" s="61">
        <f ca="1">AVERAGE(OFFSET($R$3,0,0,'Données projet'!$E$9+1,1))-AVERAGE(OFFSET($H$3,0,0,'Données projet'!$E$9+1,1))</f>
        <v>445.53168057836308</v>
      </c>
      <c r="T139" s="61">
        <f t="shared" si="142"/>
        <v>326.78684646135241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108.88175879542862</v>
      </c>
      <c r="AA139" s="23">
        <f>EXP(-LN(2)/25)*AA138+(1-EXP(-LN(2)/25))/(LN(2)/25)*Calculateur!V139*Calculateur!X139*VLOOKUP('Données projet'!$B$9,Paramètres!$A$1:$I$88,3,0)*0.475*44/12</f>
        <v>6.2516566019290911</v>
      </c>
      <c r="AB139" s="23">
        <f>EXP(-LN(2)/2)*AB138+(1-EXP(-LN(2)/2))/(LN(2)/2)*V139*Y139*VLOOKUP('Données projet'!$B$9,Paramètres!$A$1:$I$88,3,0)*0.475*44/12</f>
        <v>7.8199525096159154E-11</v>
      </c>
      <c r="AC139" s="24">
        <f t="shared" si="111"/>
        <v>115.13341539743591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-6.8212102632969618E-13</v>
      </c>
      <c r="AJ139" s="14">
        <f>AI139*VLOOKUP('Données projet'!$B$10,Paramètres!$A$1:$I$88,3,0)*VLOOKUP('Données projet'!$B$10,Paramètres!$A$1:$I$88,5,0)</f>
        <v>-3.1923264032229784E-13</v>
      </c>
      <c r="AK139" s="14" t="e">
        <f t="shared" si="143"/>
        <v>#NUM!</v>
      </c>
      <c r="AL139" s="22" t="e">
        <f t="shared" si="112"/>
        <v>#NUM!</v>
      </c>
      <c r="AM139" s="61" t="e">
        <f t="shared" si="113"/>
        <v>#NUM!</v>
      </c>
      <c r="AN139" s="61">
        <f ca="1">AVERAGE(OFFSET($AM$3,0,0,'Données projet'!$E$10+1,1))-AVERAGE(OFFSET($H$3,0,0,'Données projet'!$E$10+1,1))</f>
        <v>375.77859820466693</v>
      </c>
      <c r="AO139" s="61">
        <f t="shared" si="144"/>
        <v>242.84781402593856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174.32115871180417</v>
      </c>
      <c r="AV139" s="23">
        <f>EXP(-LN(2)/25)*AV138+(1-EXP(-LN(2)/25))/(LN(2)/25)*Calculateur!AQ139*Calculateur!AS139*VLOOKUP('Données projet'!$B$9,Paramètres!$A$1:$I$88,3,0)*0.475*44/12</f>
        <v>15.040839925294671</v>
      </c>
      <c r="AW139" s="23">
        <f>EXP(-LN(2)/2)*AW138+(1-EXP(-LN(2)/2))/(LN(2)/2)*AQ139*AT139*VLOOKUP('Données projet'!$B$9,Paramètres!$A$1:$I$88,3,0)*0.475*44/12</f>
        <v>0</v>
      </c>
      <c r="AX139" s="23">
        <f t="shared" si="114"/>
        <v>189.36199863709885</v>
      </c>
      <c r="AY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4.666666666666667</v>
      </c>
      <c r="BD139" s="13">
        <f>IF('Données projet'!$A$88&gt;35,BD138+BC139-BL138,IF(A139&lt;'Données projet'!$A$88,$BA$205^A139,IF(A139='Données projet'!$A$88,'Données projet'!$B$88,BD138+BC139-BL138)))</f>
        <v>238.33333333333363</v>
      </c>
      <c r="BE139" s="14">
        <f>BD139*VLOOKUP('Données projet'!$B$11,Paramètres!$A$1:$I$88,3,0)*VLOOKUP('Données projet'!$B$11,Paramètres!$A$1:$I$88,5,0)</f>
        <v>241.6700000000003</v>
      </c>
      <c r="BF139" s="14">
        <f t="shared" si="145"/>
        <v>58.798693981833758</v>
      </c>
      <c r="BG139" s="22">
        <f t="shared" si="115"/>
        <v>523.31630868502771</v>
      </c>
      <c r="BH139" s="61">
        <f t="shared" si="116"/>
        <v>808.16583907991298</v>
      </c>
      <c r="BI139" s="61">
        <f ca="1">AVERAGE(OFFSET($BH$3,0,0,'Données projet'!$E$11+1,1))-AVERAGE(OFFSET($H$3,0,0,'Données projet'!$E$11+1,1))</f>
        <v>433.57989081194</v>
      </c>
      <c r="BJ139" s="61">
        <f t="shared" si="146"/>
        <v>182.52060621271355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20.722653976964708</v>
      </c>
      <c r="BQ139" s="23">
        <f>EXP(-LN(2)/25)*BQ138+(1-EXP(-LN(2)/25))/(LN(2)/25)*Calculateur!BL139*Calculateur!BN139*VLOOKUP('Données projet'!$B$9,Paramètres!$A$1:$I$88,3,0)*0.475*44/12</f>
        <v>3.4057611187724151</v>
      </c>
      <c r="BR139" s="23">
        <f>EXP(-LN(2)/2)*BR138+(1-EXP(-LN(2)/2))/(LN(2)/2)*BL139*BO139*VLOOKUP('Données projet'!$B$9,Paramètres!$A$1:$I$88,3,0)*0.475*44/12</f>
        <v>0</v>
      </c>
      <c r="BS139" s="24">
        <f t="shared" si="117"/>
        <v>24.128415095737122</v>
      </c>
      <c r="BT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1" t="e">
        <f t="shared" si="119"/>
        <v>#N/A</v>
      </c>
      <c r="CD139" s="61" t="e">
        <f ca="1">AVERAGE(OFFSET($CC$3,0,0,'Données projet'!$E$12+1,1))-AVERAGE(OFFSET($H$3,0,0,'Données projet'!$E$12+1,1))</f>
        <v>#N/A</v>
      </c>
      <c r="CE139" s="61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0"/>
        <v>0</v>
      </c>
      <c r="CO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1" t="e">
        <f t="shared" si="122"/>
        <v>#N/A</v>
      </c>
      <c r="CY139" s="61" t="e">
        <f ca="1">AVERAGE(OFFSET($CX$3,0,0,'Données projet'!$E$13+1,1))-AVERAGE(OFFSET($H$3,0,0,'Données projet'!$E$13+1,1))</f>
        <v>#N/A</v>
      </c>
      <c r="CZ139" s="61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3"/>
        <v>0</v>
      </c>
      <c r="DJ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1" t="e">
        <f t="shared" si="125"/>
        <v>#N/A</v>
      </c>
      <c r="DT139" s="61" t="e">
        <f ca="1">AVERAGE(OFFSET($DS$3,0,0,'Données projet'!$E$14+1,1))-AVERAGE(OFFSET($H$3,0,0,'Données projet'!$E$14+1,1))</f>
        <v>#N/A</v>
      </c>
      <c r="DU139" s="61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26"/>
        <v>0</v>
      </c>
      <c r="EE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1" t="e">
        <f t="shared" si="128"/>
        <v>#N/A</v>
      </c>
      <c r="EO139" s="61" t="e">
        <f ca="1">AVERAGE(OFFSET($EN$3,0,0,'Données projet'!$E$15+1,1))-AVERAGE(OFFSET($H$3,0,0,'Données projet'!$E$15+1,1))</f>
        <v>#N/A</v>
      </c>
      <c r="EP139" s="61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29"/>
        <v>0</v>
      </c>
      <c r="EZ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1" t="e">
        <f t="shared" si="131"/>
        <v>#N/A</v>
      </c>
      <c r="FJ139" s="61" t="e">
        <f ca="1">AVERAGE(OFFSET($FI$3,0,0,'Données projet'!$E$16+1,1))-AVERAGE(OFFSET($H$3,0,0,'Données projet'!$E$16+1,1))</f>
        <v>#N/A</v>
      </c>
      <c r="FK139" s="61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32"/>
        <v>0</v>
      </c>
      <c r="FU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1" t="e">
        <f t="shared" si="134"/>
        <v>#N/A</v>
      </c>
      <c r="GE139" s="61" t="e">
        <f ca="1">AVERAGE(OFFSET($GD$3,0,0,'Données projet'!$E$17+1,1))-AVERAGE(OFFSET($H$3,0,0,'Données projet'!$E$17+1,1))</f>
        <v>#N/A</v>
      </c>
      <c r="GF139" s="61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35"/>
        <v>0</v>
      </c>
      <c r="GP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1" t="e">
        <f t="shared" si="137"/>
        <v>#N/A</v>
      </c>
      <c r="GZ139" s="61" t="e">
        <f ca="1">AVERAGE(OFFSET($GY$3,0,0,'Données projet'!$E$18+1,1))-AVERAGE(OFFSET($H$3,0,0,'Données projet'!$E$18+1,1))</f>
        <v>#N/A</v>
      </c>
      <c r="HA139" s="61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38"/>
        <v>0</v>
      </c>
    </row>
    <row r="140" spans="1:218" s="5" customFormat="1" x14ac:dyDescent="0.45">
      <c r="A140" s="11">
        <f t="shared" si="139"/>
        <v>137</v>
      </c>
      <c r="B140" s="76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9">
        <f t="shared" si="110"/>
        <v>183.33333333333334</v>
      </c>
      <c r="I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-3.4106051316484809E-13</v>
      </c>
      <c r="O140" s="14">
        <f>N140*VLOOKUP('Données projet'!$B$9,Paramètres!$A$1:$I$88,3,0)*VLOOKUP('Données projet'!$B$9,Paramètres!$A$1:$I$88,5,0)</f>
        <v>-2.0395418687257919E-13</v>
      </c>
      <c r="P140" s="14" t="e">
        <f t="shared" si="141"/>
        <v>#NUM!</v>
      </c>
      <c r="Q140" s="22" t="e">
        <f t="shared" si="108"/>
        <v>#NUM!</v>
      </c>
      <c r="R140" s="61" t="e">
        <f t="shared" si="109"/>
        <v>#NUM!</v>
      </c>
      <c r="S140" s="61">
        <f ca="1">AVERAGE(OFFSET($R$3,0,0,'Données projet'!$E$9+1,1))-AVERAGE(OFFSET($H$3,0,0,'Données projet'!$E$9+1,1))</f>
        <v>445.53168057836308</v>
      </c>
      <c r="T140" s="61">
        <f t="shared" si="142"/>
        <v>326.78684646135241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106.74665391676557</v>
      </c>
      <c r="AA140" s="23">
        <f>EXP(-LN(2)/25)*AA139+(1-EXP(-LN(2)/25))/(LN(2)/25)*Calculateur!V140*Calculateur!X140*VLOOKUP('Données projet'!$B$9,Paramètres!$A$1:$I$88,3,0)*0.475*44/12</f>
        <v>6.0807047233890081</v>
      </c>
      <c r="AB140" s="23">
        <f>EXP(-LN(2)/2)*AB139+(1-EXP(-LN(2)/2))/(LN(2)/2)*V140*Y140*VLOOKUP('Données projet'!$B$9,Paramètres!$A$1:$I$88,3,0)*0.475*44/12</f>
        <v>5.5295414481061743E-11</v>
      </c>
      <c r="AC140" s="24">
        <f t="shared" si="111"/>
        <v>112.82735864020987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-6.8212102632969618E-13</v>
      </c>
      <c r="AJ140" s="14">
        <f>AI140*VLOOKUP('Données projet'!$B$10,Paramètres!$A$1:$I$88,3,0)*VLOOKUP('Données projet'!$B$10,Paramètres!$A$1:$I$88,5,0)</f>
        <v>-3.1923264032229784E-13</v>
      </c>
      <c r="AK140" s="14" t="e">
        <f t="shared" si="143"/>
        <v>#NUM!</v>
      </c>
      <c r="AL140" s="22" t="e">
        <f t="shared" si="112"/>
        <v>#NUM!</v>
      </c>
      <c r="AM140" s="61" t="e">
        <f t="shared" si="113"/>
        <v>#NUM!</v>
      </c>
      <c r="AN140" s="61">
        <f ca="1">AVERAGE(OFFSET($AM$3,0,0,'Données projet'!$E$10+1,1))-AVERAGE(OFFSET($H$3,0,0,'Données projet'!$E$10+1,1))</f>
        <v>375.77859820466693</v>
      </c>
      <c r="AO140" s="61">
        <f t="shared" si="144"/>
        <v>242.84781402593856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170.90282711487376</v>
      </c>
      <c r="AV140" s="23">
        <f>EXP(-LN(2)/25)*AV139+(1-EXP(-LN(2)/25))/(LN(2)/25)*Calculateur!AQ140*Calculateur!AS140*VLOOKUP('Données projet'!$B$9,Paramètres!$A$1:$I$88,3,0)*0.475*44/12</f>
        <v>14.629547366574092</v>
      </c>
      <c r="AW140" s="23">
        <f>EXP(-LN(2)/2)*AW139+(1-EXP(-LN(2)/2))/(LN(2)/2)*AQ140*AT140*VLOOKUP('Données projet'!$B$9,Paramètres!$A$1:$I$88,3,0)*0.475*44/12</f>
        <v>0</v>
      </c>
      <c r="AX140" s="23">
        <f t="shared" si="114"/>
        <v>185.53237448144785</v>
      </c>
      <c r="AY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>
        <f>VLOOKUP(A140,'Données projet'!$A$87:$I$107,2,0)</f>
        <v>243</v>
      </c>
      <c r="BB140" s="13">
        <f>VLOOKUP(A140,'Données projet'!$A$87:$I$107,9,0)</f>
        <v>4.666666666666667</v>
      </c>
      <c r="BC140" s="13">
        <f t="array" ref="BC140">INDEX(BB:BB,MIN(IF(ISNUMBER(BB140:BB336),ROW(BB140:BB336),"")))</f>
        <v>4.666666666666667</v>
      </c>
      <c r="BD140" s="13">
        <f>IF('Données projet'!$A$88&gt;35,BD139+BC140-BL139,IF(A140&lt;'Données projet'!$A$88,$BA$205^A140,IF(A140='Données projet'!$A$88,'Données projet'!$B$88,BD139+BC140-BL139)))</f>
        <v>243.00000000000028</v>
      </c>
      <c r="BE140" s="14">
        <f>BD140*VLOOKUP('Données projet'!$B$11,Paramètres!$A$1:$I$88,3,0)*VLOOKUP('Données projet'!$B$11,Paramètres!$A$1:$I$88,5,0)</f>
        <v>246.4020000000003</v>
      </c>
      <c r="BF140" s="14">
        <f t="shared" si="145"/>
        <v>59.814834475385581</v>
      </c>
      <c r="BG140" s="22">
        <f t="shared" si="115"/>
        <v>533.32765337796366</v>
      </c>
      <c r="BH140" s="61">
        <f t="shared" si="116"/>
        <v>818.32435878688898</v>
      </c>
      <c r="BI140" s="61">
        <f ca="1">AVERAGE(OFFSET($BH$3,0,0,'Données projet'!$E$11+1,1))-AVERAGE(OFFSET($H$3,0,0,'Données projet'!$E$11+1,1))</f>
        <v>433.57989081194</v>
      </c>
      <c r="BJ140" s="61">
        <f t="shared" si="146"/>
        <v>182.52060621271355</v>
      </c>
      <c r="BK140" s="16">
        <f>IF(ISNA(VLOOKUP(A140,'Données projet'!$A$87:$I$107,3,0)),0,VLOOKUP(A140,'Données projet'!$A$87:$I$107,3,0))</f>
        <v>8</v>
      </c>
      <c r="BL140" s="16">
        <f>IF(ISNA(VLOOKUP(A140,'Données projet'!$A$87:$I$107,4,0)),0,VLOOKUP(A140,'Données projet'!$A$87:$I$107,4,0))</f>
        <v>40</v>
      </c>
      <c r="BM140" s="17">
        <f>IF(ISNA(VLOOKUP(A140,'Données projet'!$A$87:$I$107,5,0)),0%,VLOOKUP(A140,'Données projet'!$A$87:$I$107,5,0)*VLOOKUP('Données projet'!$B$11,Paramètres!$A$1:$I$88,7,0))</f>
        <v>0.38700000000000001</v>
      </c>
      <c r="BN140" s="17">
        <f>IF(ISNA(VLOOKUP(A140,'Données projet'!$A$87:$I$107,6,0)),0%,VLOOKUP(A140,'Données projet'!$A$87:$I$107,6,0)*VLOOKUP('Données projet'!$B$11,Paramètres!$A$1:$I$88,7,0))</f>
        <v>4.3000000000000003E-2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32.596355598629344</v>
      </c>
      <c r="BQ140" s="23">
        <f>EXP(-LN(2)/25)*BQ139+(1-EXP(-LN(2)/25))/(LN(2)/25)*Calculateur!BL140*Calculateur!BN140*VLOOKUP('Données projet'!$B$9,Paramètres!$A$1:$I$88,3,0)*0.475*44/12</f>
        <v>4.6717091741450805</v>
      </c>
      <c r="BR140" s="23">
        <f>EXP(-LN(2)/2)*BR139+(1-EXP(-LN(2)/2))/(LN(2)/2)*BL140*BO140*VLOOKUP('Données projet'!$B$9,Paramètres!$A$1:$I$88,3,0)*0.475*44/12</f>
        <v>0</v>
      </c>
      <c r="BS140" s="24">
        <f t="shared" si="117"/>
        <v>37.268064772774423</v>
      </c>
      <c r="BT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1" t="e">
        <f t="shared" si="119"/>
        <v>#N/A</v>
      </c>
      <c r="CD140" s="61" t="e">
        <f ca="1">AVERAGE(OFFSET($CC$3,0,0,'Données projet'!$E$12+1,1))-AVERAGE(OFFSET($H$3,0,0,'Données projet'!$E$12+1,1))</f>
        <v>#N/A</v>
      </c>
      <c r="CE140" s="61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0"/>
        <v>0</v>
      </c>
      <c r="CO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1" t="e">
        <f t="shared" si="122"/>
        <v>#N/A</v>
      </c>
      <c r="CY140" s="61" t="e">
        <f ca="1">AVERAGE(OFFSET($CX$3,0,0,'Données projet'!$E$13+1,1))-AVERAGE(OFFSET($H$3,0,0,'Données projet'!$E$13+1,1))</f>
        <v>#N/A</v>
      </c>
      <c r="CZ140" s="61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3"/>
        <v>0</v>
      </c>
      <c r="DJ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1" t="e">
        <f t="shared" si="125"/>
        <v>#N/A</v>
      </c>
      <c r="DT140" s="61" t="e">
        <f ca="1">AVERAGE(OFFSET($DS$3,0,0,'Données projet'!$E$14+1,1))-AVERAGE(OFFSET($H$3,0,0,'Données projet'!$E$14+1,1))</f>
        <v>#N/A</v>
      </c>
      <c r="DU140" s="61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26"/>
        <v>0</v>
      </c>
      <c r="EE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1" t="e">
        <f t="shared" si="128"/>
        <v>#N/A</v>
      </c>
      <c r="EO140" s="61" t="e">
        <f ca="1">AVERAGE(OFFSET($EN$3,0,0,'Données projet'!$E$15+1,1))-AVERAGE(OFFSET($H$3,0,0,'Données projet'!$E$15+1,1))</f>
        <v>#N/A</v>
      </c>
      <c r="EP140" s="61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29"/>
        <v>0</v>
      </c>
      <c r="EZ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1" t="e">
        <f t="shared" si="131"/>
        <v>#N/A</v>
      </c>
      <c r="FJ140" s="61" t="e">
        <f ca="1">AVERAGE(OFFSET($FI$3,0,0,'Données projet'!$E$16+1,1))-AVERAGE(OFFSET($H$3,0,0,'Données projet'!$E$16+1,1))</f>
        <v>#N/A</v>
      </c>
      <c r="FK140" s="61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32"/>
        <v>0</v>
      </c>
      <c r="FU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1" t="e">
        <f t="shared" si="134"/>
        <v>#N/A</v>
      </c>
      <c r="GE140" s="61" t="e">
        <f ca="1">AVERAGE(OFFSET($GD$3,0,0,'Données projet'!$E$17+1,1))-AVERAGE(OFFSET($H$3,0,0,'Données projet'!$E$17+1,1))</f>
        <v>#N/A</v>
      </c>
      <c r="GF140" s="61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35"/>
        <v>0</v>
      </c>
      <c r="GP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1" t="e">
        <f t="shared" si="137"/>
        <v>#N/A</v>
      </c>
      <c r="GZ140" s="61" t="e">
        <f ca="1">AVERAGE(OFFSET($GY$3,0,0,'Données projet'!$E$18+1,1))-AVERAGE(OFFSET($H$3,0,0,'Données projet'!$E$18+1,1))</f>
        <v>#N/A</v>
      </c>
      <c r="HA140" s="61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38"/>
        <v>0</v>
      </c>
    </row>
    <row r="141" spans="1:218" s="5" customFormat="1" x14ac:dyDescent="0.45">
      <c r="A141" s="11">
        <f t="shared" si="139"/>
        <v>138</v>
      </c>
      <c r="B141" s="76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9">
        <f t="shared" si="110"/>
        <v>183.33333333333334</v>
      </c>
      <c r="I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-3.4106051316484809E-13</v>
      </c>
      <c r="O141" s="14">
        <f>N141*VLOOKUP('Données projet'!$B$9,Paramètres!$A$1:$I$88,3,0)*VLOOKUP('Données projet'!$B$9,Paramètres!$A$1:$I$88,5,0)</f>
        <v>-2.0395418687257919E-13</v>
      </c>
      <c r="P141" s="14" t="e">
        <f t="shared" si="141"/>
        <v>#NUM!</v>
      </c>
      <c r="Q141" s="22" t="e">
        <f t="shared" si="108"/>
        <v>#NUM!</v>
      </c>
      <c r="R141" s="61" t="e">
        <f t="shared" si="109"/>
        <v>#NUM!</v>
      </c>
      <c r="S141" s="61">
        <f ca="1">AVERAGE(OFFSET($R$3,0,0,'Données projet'!$E$9+1,1))-AVERAGE(OFFSET($H$3,0,0,'Données projet'!$E$9+1,1))</f>
        <v>445.53168057836308</v>
      </c>
      <c r="T141" s="61">
        <f t="shared" si="142"/>
        <v>326.78684646135241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104.6534171424877</v>
      </c>
      <c r="AA141" s="23">
        <f>EXP(-LN(2)/25)*AA140+(1-EXP(-LN(2)/25))/(LN(2)/25)*Calculateur!V141*Calculateur!X141*VLOOKUP('Données projet'!$B$9,Paramètres!$A$1:$I$88,3,0)*0.475*44/12</f>
        <v>5.9144275329575722</v>
      </c>
      <c r="AB141" s="23">
        <f>EXP(-LN(2)/2)*AB140+(1-EXP(-LN(2)/2))/(LN(2)/2)*V141*Y141*VLOOKUP('Données projet'!$B$9,Paramètres!$A$1:$I$88,3,0)*0.475*44/12</f>
        <v>3.9099762548079577E-11</v>
      </c>
      <c r="AC141" s="24">
        <f t="shared" si="111"/>
        <v>110.56784467548437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-6.8212102632969618E-13</v>
      </c>
      <c r="AJ141" s="14">
        <f>AI141*VLOOKUP('Données projet'!$B$10,Paramètres!$A$1:$I$88,3,0)*VLOOKUP('Données projet'!$B$10,Paramètres!$A$1:$I$88,5,0)</f>
        <v>-3.1923264032229784E-13</v>
      </c>
      <c r="AK141" s="14" t="e">
        <f t="shared" si="143"/>
        <v>#NUM!</v>
      </c>
      <c r="AL141" s="22" t="e">
        <f t="shared" si="112"/>
        <v>#NUM!</v>
      </c>
      <c r="AM141" s="61" t="e">
        <f t="shared" si="113"/>
        <v>#NUM!</v>
      </c>
      <c r="AN141" s="61">
        <f ca="1">AVERAGE(OFFSET($AM$3,0,0,'Données projet'!$E$10+1,1))-AVERAGE(OFFSET($H$3,0,0,'Données projet'!$E$10+1,1))</f>
        <v>375.77859820466693</v>
      </c>
      <c r="AO141" s="61">
        <f t="shared" si="144"/>
        <v>242.84781402593856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167.55152691558274</v>
      </c>
      <c r="AV141" s="23">
        <f>EXP(-LN(2)/25)*AV140+(1-EXP(-LN(2)/25))/(LN(2)/25)*Calculateur!AQ141*Calculateur!AS141*VLOOKUP('Données projet'!$B$9,Paramètres!$A$1:$I$88,3,0)*0.475*44/12</f>
        <v>14.229501624500664</v>
      </c>
      <c r="AW141" s="23">
        <f>EXP(-LN(2)/2)*AW140+(1-EXP(-LN(2)/2))/(LN(2)/2)*AQ141*AT141*VLOOKUP('Données projet'!$B$9,Paramètres!$A$1:$I$88,3,0)*0.475*44/12</f>
        <v>0</v>
      </c>
      <c r="AX141" s="23">
        <f t="shared" si="114"/>
        <v>181.78102854008341</v>
      </c>
      <c r="AY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4.75</v>
      </c>
      <c r="BD141" s="13">
        <f>IF('Données projet'!$A$88&gt;35,BD140+BC141-BL140,IF(A141&lt;'Données projet'!$A$88,$BA$205^A141,IF(A141='Données projet'!$A$88,'Données projet'!$B$88,BD140+BC141-BL140)))</f>
        <v>207.75000000000028</v>
      </c>
      <c r="BE141" s="14">
        <f>BD141*VLOOKUP('Données projet'!$B$11,Paramètres!$A$1:$I$88,3,0)*VLOOKUP('Données projet'!$B$11,Paramètres!$A$1:$I$88,5,0)</f>
        <v>210.65850000000032</v>
      </c>
      <c r="BF141" s="14">
        <f t="shared" si="145"/>
        <v>52.079458285184707</v>
      </c>
      <c r="BG141" s="22">
        <f t="shared" si="115"/>
        <v>457.60194401336389</v>
      </c>
      <c r="BH141" s="61">
        <f t="shared" si="116"/>
        <v>742.74327127886977</v>
      </c>
      <c r="BI141" s="61">
        <f ca="1">AVERAGE(OFFSET($BH$3,0,0,'Données projet'!$E$11+1,1))-AVERAGE(OFFSET($H$3,0,0,'Données projet'!$E$11+1,1))</f>
        <v>433.57989081194</v>
      </c>
      <c r="BJ141" s="61">
        <f t="shared" si="146"/>
        <v>182.52060621271355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31.957160947153973</v>
      </c>
      <c r="BQ141" s="23">
        <f>EXP(-LN(2)/25)*BQ140+(1-EXP(-LN(2)/25))/(LN(2)/25)*Calculateur!BL141*Calculateur!BN141*VLOOKUP('Données projet'!$B$9,Paramètres!$A$1:$I$88,3,0)*0.475*44/12</f>
        <v>4.5439610411035751</v>
      </c>
      <c r="BR141" s="23">
        <f>EXP(-LN(2)/2)*BR140+(1-EXP(-LN(2)/2))/(LN(2)/2)*BL141*BO141*VLOOKUP('Données projet'!$B$9,Paramètres!$A$1:$I$88,3,0)*0.475*44/12</f>
        <v>0</v>
      </c>
      <c r="BS141" s="24">
        <f t="shared" si="117"/>
        <v>36.501121988257552</v>
      </c>
      <c r="BT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1" t="e">
        <f t="shared" si="119"/>
        <v>#N/A</v>
      </c>
      <c r="CD141" s="61" t="e">
        <f ca="1">AVERAGE(OFFSET($CC$3,0,0,'Données projet'!$E$12+1,1))-AVERAGE(OFFSET($H$3,0,0,'Données projet'!$E$12+1,1))</f>
        <v>#N/A</v>
      </c>
      <c r="CE141" s="61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0"/>
        <v>0</v>
      </c>
      <c r="CO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1" t="e">
        <f t="shared" si="122"/>
        <v>#N/A</v>
      </c>
      <c r="CY141" s="61" t="e">
        <f ca="1">AVERAGE(OFFSET($CX$3,0,0,'Données projet'!$E$13+1,1))-AVERAGE(OFFSET($H$3,0,0,'Données projet'!$E$13+1,1))</f>
        <v>#N/A</v>
      </c>
      <c r="CZ141" s="61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3"/>
        <v>0</v>
      </c>
      <c r="DJ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1" t="e">
        <f t="shared" si="125"/>
        <v>#N/A</v>
      </c>
      <c r="DT141" s="61" t="e">
        <f ca="1">AVERAGE(OFFSET($DS$3,0,0,'Données projet'!$E$14+1,1))-AVERAGE(OFFSET($H$3,0,0,'Données projet'!$E$14+1,1))</f>
        <v>#N/A</v>
      </c>
      <c r="DU141" s="61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26"/>
        <v>0</v>
      </c>
      <c r="EE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1" t="e">
        <f t="shared" si="128"/>
        <v>#N/A</v>
      </c>
      <c r="EO141" s="61" t="e">
        <f ca="1">AVERAGE(OFFSET($EN$3,0,0,'Données projet'!$E$15+1,1))-AVERAGE(OFFSET($H$3,0,0,'Données projet'!$E$15+1,1))</f>
        <v>#N/A</v>
      </c>
      <c r="EP141" s="61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29"/>
        <v>0</v>
      </c>
      <c r="EZ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1" t="e">
        <f t="shared" si="131"/>
        <v>#N/A</v>
      </c>
      <c r="FJ141" s="61" t="e">
        <f ca="1">AVERAGE(OFFSET($FI$3,0,0,'Données projet'!$E$16+1,1))-AVERAGE(OFFSET($H$3,0,0,'Données projet'!$E$16+1,1))</f>
        <v>#N/A</v>
      </c>
      <c r="FK141" s="61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32"/>
        <v>0</v>
      </c>
      <c r="FU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1" t="e">
        <f t="shared" si="134"/>
        <v>#N/A</v>
      </c>
      <c r="GE141" s="61" t="e">
        <f ca="1">AVERAGE(OFFSET($GD$3,0,0,'Données projet'!$E$17+1,1))-AVERAGE(OFFSET($H$3,0,0,'Données projet'!$E$17+1,1))</f>
        <v>#N/A</v>
      </c>
      <c r="GF141" s="61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35"/>
        <v>0</v>
      </c>
      <c r="GP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1" t="e">
        <f t="shared" si="137"/>
        <v>#N/A</v>
      </c>
      <c r="GZ141" s="61" t="e">
        <f ca="1">AVERAGE(OFFSET($GY$3,0,0,'Données projet'!$E$18+1,1))-AVERAGE(OFFSET($H$3,0,0,'Données projet'!$E$18+1,1))</f>
        <v>#N/A</v>
      </c>
      <c r="HA141" s="61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38"/>
        <v>0</v>
      </c>
    </row>
    <row r="142" spans="1:218" s="5" customFormat="1" x14ac:dyDescent="0.45">
      <c r="A142" s="11">
        <f t="shared" si="139"/>
        <v>139</v>
      </c>
      <c r="B142" s="76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9">
        <f t="shared" si="110"/>
        <v>183.33333333333334</v>
      </c>
      <c r="I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-3.4106051316484809E-13</v>
      </c>
      <c r="O142" s="14">
        <f>N142*VLOOKUP('Données projet'!$B$9,Paramètres!$A$1:$I$88,3,0)*VLOOKUP('Données projet'!$B$9,Paramètres!$A$1:$I$88,5,0)</f>
        <v>-2.0395418687257919E-13</v>
      </c>
      <c r="P142" s="14" t="e">
        <f t="shared" si="141"/>
        <v>#NUM!</v>
      </c>
      <c r="Q142" s="22" t="e">
        <f t="shared" si="108"/>
        <v>#NUM!</v>
      </c>
      <c r="R142" s="61" t="e">
        <f t="shared" si="109"/>
        <v>#NUM!</v>
      </c>
      <c r="S142" s="61">
        <f ca="1">AVERAGE(OFFSET($R$3,0,0,'Données projet'!$E$9+1,1))-AVERAGE(OFFSET($H$3,0,0,'Données projet'!$E$9+1,1))</f>
        <v>445.53168057836308</v>
      </c>
      <c r="T142" s="61">
        <f t="shared" si="142"/>
        <v>326.78684646135241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102.60122746460506</v>
      </c>
      <c r="AA142" s="23">
        <f>EXP(-LN(2)/25)*AA141+(1-EXP(-LN(2)/25))/(LN(2)/25)*Calculateur!V142*Calculateur!X142*VLOOKUP('Données projet'!$B$9,Paramètres!$A$1:$I$88,3,0)*0.475*44/12</f>
        <v>5.7526972010426212</v>
      </c>
      <c r="AB142" s="23">
        <f>EXP(-LN(2)/2)*AB141+(1-EXP(-LN(2)/2))/(LN(2)/2)*V142*Y142*VLOOKUP('Données projet'!$B$9,Paramètres!$A$1:$I$88,3,0)*0.475*44/12</f>
        <v>2.7647707240530872E-11</v>
      </c>
      <c r="AC142" s="24">
        <f t="shared" si="111"/>
        <v>108.35392466567534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-6.8212102632969618E-13</v>
      </c>
      <c r="AJ142" s="14">
        <f>AI142*VLOOKUP('Données projet'!$B$10,Paramètres!$A$1:$I$88,3,0)*VLOOKUP('Données projet'!$B$10,Paramètres!$A$1:$I$88,5,0)</f>
        <v>-3.1923264032229784E-13</v>
      </c>
      <c r="AK142" s="14" t="e">
        <f t="shared" si="143"/>
        <v>#NUM!</v>
      </c>
      <c r="AL142" s="22" t="e">
        <f t="shared" si="112"/>
        <v>#NUM!</v>
      </c>
      <c r="AM142" s="61" t="e">
        <f t="shared" si="113"/>
        <v>#NUM!</v>
      </c>
      <c r="AN142" s="61">
        <f ca="1">AVERAGE(OFFSET($AM$3,0,0,'Données projet'!$E$10+1,1))-AVERAGE(OFFSET($H$3,0,0,'Données projet'!$E$10+1,1))</f>
        <v>375.77859820466693</v>
      </c>
      <c r="AO142" s="61">
        <f t="shared" si="144"/>
        <v>242.84781402593856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164.26594366910854</v>
      </c>
      <c r="AV142" s="23">
        <f>EXP(-LN(2)/25)*AV141+(1-EXP(-LN(2)/25))/(LN(2)/25)*Calculateur!AQ142*Calculateur!AS142*VLOOKUP('Données projet'!$B$9,Paramètres!$A$1:$I$88,3,0)*0.475*44/12</f>
        <v>13.840395154281724</v>
      </c>
      <c r="AW142" s="23">
        <f>EXP(-LN(2)/2)*AW141+(1-EXP(-LN(2)/2))/(LN(2)/2)*AQ142*AT142*VLOOKUP('Données projet'!$B$9,Paramètres!$A$1:$I$88,3,0)*0.475*44/12</f>
        <v>0</v>
      </c>
      <c r="AX142" s="23">
        <f t="shared" si="114"/>
        <v>178.10633882339027</v>
      </c>
      <c r="AY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4.75</v>
      </c>
      <c r="BD142" s="13">
        <f>IF('Données projet'!$A$88&gt;35,BD141+BC142-BL141,IF(A142&lt;'Données projet'!$A$88,$BA$205^A142,IF(A142='Données projet'!$A$88,'Données projet'!$B$88,BD141+BC142-BL141)))</f>
        <v>212.50000000000028</v>
      </c>
      <c r="BE142" s="14">
        <f>BD142*VLOOKUP('Données projet'!$B$11,Paramètres!$A$1:$I$88,3,0)*VLOOKUP('Données projet'!$B$11,Paramètres!$A$1:$I$88,5,0)</f>
        <v>215.47500000000031</v>
      </c>
      <c r="BF142" s="14">
        <f t="shared" si="145"/>
        <v>53.130212916952701</v>
      </c>
      <c r="BG142" s="22">
        <f t="shared" si="115"/>
        <v>467.82074583035978</v>
      </c>
      <c r="BH142" s="61">
        <f t="shared" si="116"/>
        <v>753.10418608656073</v>
      </c>
      <c r="BI142" s="61">
        <f ca="1">AVERAGE(OFFSET($BH$3,0,0,'Données projet'!$E$11+1,1))-AVERAGE(OFFSET($H$3,0,0,'Données projet'!$E$11+1,1))</f>
        <v>433.57989081194</v>
      </c>
      <c r="BJ142" s="61">
        <f t="shared" si="146"/>
        <v>182.52060621271355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31.330500512923791</v>
      </c>
      <c r="BQ142" s="23">
        <f>EXP(-LN(2)/25)*BQ141+(1-EXP(-LN(2)/25))/(LN(2)/25)*Calculateur!BL142*Calculateur!BN142*VLOOKUP('Données projet'!$B$9,Paramètres!$A$1:$I$88,3,0)*0.475*44/12</f>
        <v>4.4197061874780719</v>
      </c>
      <c r="BR142" s="23">
        <f>EXP(-LN(2)/2)*BR141+(1-EXP(-LN(2)/2))/(LN(2)/2)*BL142*BO142*VLOOKUP('Données projet'!$B$9,Paramètres!$A$1:$I$88,3,0)*0.475*44/12</f>
        <v>0</v>
      </c>
      <c r="BS142" s="24">
        <f t="shared" si="117"/>
        <v>35.750206700401861</v>
      </c>
      <c r="BT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1" t="e">
        <f t="shared" si="119"/>
        <v>#N/A</v>
      </c>
      <c r="CD142" s="61" t="e">
        <f ca="1">AVERAGE(OFFSET($CC$3,0,0,'Données projet'!$E$12+1,1))-AVERAGE(OFFSET($H$3,0,0,'Données projet'!$E$12+1,1))</f>
        <v>#N/A</v>
      </c>
      <c r="CE142" s="61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0"/>
        <v>0</v>
      </c>
      <c r="CO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1" t="e">
        <f t="shared" si="122"/>
        <v>#N/A</v>
      </c>
      <c r="CY142" s="61" t="e">
        <f ca="1">AVERAGE(OFFSET($CX$3,0,0,'Données projet'!$E$13+1,1))-AVERAGE(OFFSET($H$3,0,0,'Données projet'!$E$13+1,1))</f>
        <v>#N/A</v>
      </c>
      <c r="CZ142" s="61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3"/>
        <v>0</v>
      </c>
      <c r="DJ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1" t="e">
        <f t="shared" si="125"/>
        <v>#N/A</v>
      </c>
      <c r="DT142" s="61" t="e">
        <f ca="1">AVERAGE(OFFSET($DS$3,0,0,'Données projet'!$E$14+1,1))-AVERAGE(OFFSET($H$3,0,0,'Données projet'!$E$14+1,1))</f>
        <v>#N/A</v>
      </c>
      <c r="DU142" s="61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26"/>
        <v>0</v>
      </c>
      <c r="EE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1" t="e">
        <f t="shared" si="128"/>
        <v>#N/A</v>
      </c>
      <c r="EO142" s="61" t="e">
        <f ca="1">AVERAGE(OFFSET($EN$3,0,0,'Données projet'!$E$15+1,1))-AVERAGE(OFFSET($H$3,0,0,'Données projet'!$E$15+1,1))</f>
        <v>#N/A</v>
      </c>
      <c r="EP142" s="61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29"/>
        <v>0</v>
      </c>
      <c r="EZ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1" t="e">
        <f t="shared" si="131"/>
        <v>#N/A</v>
      </c>
      <c r="FJ142" s="61" t="e">
        <f ca="1">AVERAGE(OFFSET($FI$3,0,0,'Données projet'!$E$16+1,1))-AVERAGE(OFFSET($H$3,0,0,'Données projet'!$E$16+1,1))</f>
        <v>#N/A</v>
      </c>
      <c r="FK142" s="61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32"/>
        <v>0</v>
      </c>
      <c r="FU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1" t="e">
        <f t="shared" si="134"/>
        <v>#N/A</v>
      </c>
      <c r="GE142" s="61" t="e">
        <f ca="1">AVERAGE(OFFSET($GD$3,0,0,'Données projet'!$E$17+1,1))-AVERAGE(OFFSET($H$3,0,0,'Données projet'!$E$17+1,1))</f>
        <v>#N/A</v>
      </c>
      <c r="GF142" s="61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35"/>
        <v>0</v>
      </c>
      <c r="GP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1" t="e">
        <f t="shared" si="137"/>
        <v>#N/A</v>
      </c>
      <c r="GZ142" s="61" t="e">
        <f ca="1">AVERAGE(OFFSET($GY$3,0,0,'Données projet'!$E$18+1,1))-AVERAGE(OFFSET($H$3,0,0,'Données projet'!$E$18+1,1))</f>
        <v>#N/A</v>
      </c>
      <c r="HA142" s="61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38"/>
        <v>0</v>
      </c>
    </row>
    <row r="143" spans="1:218" s="5" customFormat="1" x14ac:dyDescent="0.45">
      <c r="A143" s="11">
        <f t="shared" si="139"/>
        <v>140</v>
      </c>
      <c r="B143" s="76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9">
        <f t="shared" si="110"/>
        <v>183.33333333333334</v>
      </c>
      <c r="I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-3.4106051316484809E-13</v>
      </c>
      <c r="O143" s="14">
        <f>N143*VLOOKUP('Données projet'!$B$9,Paramètres!$A$1:$I$88,3,0)*VLOOKUP('Données projet'!$B$9,Paramètres!$A$1:$I$88,5,0)</f>
        <v>-2.0395418687257919E-13</v>
      </c>
      <c r="P143" s="14" t="e">
        <f t="shared" si="141"/>
        <v>#NUM!</v>
      </c>
      <c r="Q143" s="22" t="e">
        <f t="shared" si="108"/>
        <v>#NUM!</v>
      </c>
      <c r="R143" s="61" t="e">
        <f t="shared" si="109"/>
        <v>#NUM!</v>
      </c>
      <c r="S143" s="61">
        <f ca="1">AVERAGE(OFFSET($R$3,0,0,'Données projet'!$E$9+1,1))-AVERAGE(OFFSET($H$3,0,0,'Données projet'!$E$9+1,1))</f>
        <v>445.53168057836308</v>
      </c>
      <c r="T143" s="61">
        <f t="shared" si="142"/>
        <v>326.78684646135241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100.58927997459359</v>
      </c>
      <c r="AA143" s="23">
        <f>EXP(-LN(2)/25)*AA142+(1-EXP(-LN(2)/25))/(LN(2)/25)*Calculateur!V143*Calculateur!X143*VLOOKUP('Données projet'!$B$9,Paramètres!$A$1:$I$88,3,0)*0.475*44/12</f>
        <v>5.5953893935589125</v>
      </c>
      <c r="AB143" s="23">
        <f>EXP(-LN(2)/2)*AB142+(1-EXP(-LN(2)/2))/(LN(2)/2)*V143*Y143*VLOOKUP('Données projet'!$B$9,Paramètres!$A$1:$I$88,3,0)*0.475*44/12</f>
        <v>1.9549881274039789E-11</v>
      </c>
      <c r="AC143" s="24">
        <f t="shared" si="111"/>
        <v>106.18466936817207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-6.8212102632969618E-13</v>
      </c>
      <c r="AJ143" s="14">
        <f>AI143*VLOOKUP('Données projet'!$B$10,Paramètres!$A$1:$I$88,3,0)*VLOOKUP('Données projet'!$B$10,Paramètres!$A$1:$I$88,5,0)</f>
        <v>-3.1923264032229784E-13</v>
      </c>
      <c r="AK143" s="14" t="e">
        <f t="shared" si="143"/>
        <v>#NUM!</v>
      </c>
      <c r="AL143" s="22" t="e">
        <f t="shared" si="112"/>
        <v>#NUM!</v>
      </c>
      <c r="AM143" s="61" t="e">
        <f t="shared" si="113"/>
        <v>#NUM!</v>
      </c>
      <c r="AN143" s="61">
        <f ca="1">AVERAGE(OFFSET($AM$3,0,0,'Données projet'!$E$10+1,1))-AVERAGE(OFFSET($H$3,0,0,'Données projet'!$E$10+1,1))</f>
        <v>375.77859820466693</v>
      </c>
      <c r="AO143" s="61">
        <f t="shared" si="144"/>
        <v>242.84781402593856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161.04478870608978</v>
      </c>
      <c r="AV143" s="23">
        <f>EXP(-LN(2)/25)*AV142+(1-EXP(-LN(2)/25))/(LN(2)/25)*Calculateur!AQ143*Calculateur!AS143*VLOOKUP('Données projet'!$B$9,Paramètres!$A$1:$I$88,3,0)*0.475*44/12</f>
        <v>13.461928820953142</v>
      </c>
      <c r="AW143" s="23">
        <f>EXP(-LN(2)/2)*AW142+(1-EXP(-LN(2)/2))/(LN(2)/2)*AQ143*AT143*VLOOKUP('Données projet'!$B$9,Paramètres!$A$1:$I$88,3,0)*0.475*44/12</f>
        <v>0</v>
      </c>
      <c r="AX143" s="23">
        <f t="shared" si="114"/>
        <v>174.50671752704292</v>
      </c>
      <c r="AY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4.75</v>
      </c>
      <c r="BD143" s="13">
        <f>IF('Données projet'!$A$88&gt;35,BD142+BC143-BL142,IF(A143&lt;'Données projet'!$A$88,$BA$205^A143,IF(A143='Données projet'!$A$88,'Données projet'!$B$88,BD142+BC143-BL142)))</f>
        <v>217.25000000000028</v>
      </c>
      <c r="BE143" s="14">
        <f>BD143*VLOOKUP('Données projet'!$B$11,Paramètres!$A$1:$I$88,3,0)*VLOOKUP('Données projet'!$B$11,Paramètres!$A$1:$I$88,5,0)</f>
        <v>220.29150000000027</v>
      </c>
      <c r="BF143" s="14">
        <f t="shared" si="145"/>
        <v>54.178236922054012</v>
      </c>
      <c r="BG143" s="22">
        <f t="shared" si="115"/>
        <v>478.0347918059112</v>
      </c>
      <c r="BH143" s="61">
        <f t="shared" si="116"/>
        <v>763.45787971013556</v>
      </c>
      <c r="BI143" s="61">
        <f ca="1">AVERAGE(OFFSET($BH$3,0,0,'Données projet'!$E$11+1,1))-AVERAGE(OFFSET($H$3,0,0,'Données projet'!$E$11+1,1))</f>
        <v>433.57989081194</v>
      </c>
      <c r="BJ143" s="61">
        <f t="shared" si="146"/>
        <v>182.52060621271355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30.71612850758374</v>
      </c>
      <c r="BQ143" s="23">
        <f>EXP(-LN(2)/25)*BQ142+(1-EXP(-LN(2)/25))/(LN(2)/25)*Calculateur!BL143*Calculateur!BN143*VLOOKUP('Données projet'!$B$9,Paramètres!$A$1:$I$88,3,0)*0.475*44/12</f>
        <v>4.298849089359237</v>
      </c>
      <c r="BR143" s="23">
        <f>EXP(-LN(2)/2)*BR142+(1-EXP(-LN(2)/2))/(LN(2)/2)*BL143*BO143*VLOOKUP('Données projet'!$B$9,Paramètres!$A$1:$I$88,3,0)*0.475*44/12</f>
        <v>0</v>
      </c>
      <c r="BS143" s="24">
        <f t="shared" si="117"/>
        <v>35.014977596942977</v>
      </c>
      <c r="BT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1" t="e">
        <f t="shared" si="119"/>
        <v>#N/A</v>
      </c>
      <c r="CD143" s="61" t="e">
        <f ca="1">AVERAGE(OFFSET($CC$3,0,0,'Données projet'!$E$12+1,1))-AVERAGE(OFFSET($H$3,0,0,'Données projet'!$E$12+1,1))</f>
        <v>#N/A</v>
      </c>
      <c r="CE143" s="61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0"/>
        <v>0</v>
      </c>
      <c r="CO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1" t="e">
        <f t="shared" si="122"/>
        <v>#N/A</v>
      </c>
      <c r="CY143" s="61" t="e">
        <f ca="1">AVERAGE(OFFSET($CX$3,0,0,'Données projet'!$E$13+1,1))-AVERAGE(OFFSET($H$3,0,0,'Données projet'!$E$13+1,1))</f>
        <v>#N/A</v>
      </c>
      <c r="CZ143" s="61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3"/>
        <v>0</v>
      </c>
      <c r="DJ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1" t="e">
        <f t="shared" si="125"/>
        <v>#N/A</v>
      </c>
      <c r="DT143" s="61" t="e">
        <f ca="1">AVERAGE(OFFSET($DS$3,0,0,'Données projet'!$E$14+1,1))-AVERAGE(OFFSET($H$3,0,0,'Données projet'!$E$14+1,1))</f>
        <v>#N/A</v>
      </c>
      <c r="DU143" s="61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26"/>
        <v>0</v>
      </c>
      <c r="EE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1" t="e">
        <f t="shared" si="128"/>
        <v>#N/A</v>
      </c>
      <c r="EO143" s="61" t="e">
        <f ca="1">AVERAGE(OFFSET($EN$3,0,0,'Données projet'!$E$15+1,1))-AVERAGE(OFFSET($H$3,0,0,'Données projet'!$E$15+1,1))</f>
        <v>#N/A</v>
      </c>
      <c r="EP143" s="61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29"/>
        <v>0</v>
      </c>
      <c r="EZ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1" t="e">
        <f t="shared" si="131"/>
        <v>#N/A</v>
      </c>
      <c r="FJ143" s="61" t="e">
        <f ca="1">AVERAGE(OFFSET($FI$3,0,0,'Données projet'!$E$16+1,1))-AVERAGE(OFFSET($H$3,0,0,'Données projet'!$E$16+1,1))</f>
        <v>#N/A</v>
      </c>
      <c r="FK143" s="61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32"/>
        <v>0</v>
      </c>
      <c r="FU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1" t="e">
        <f t="shared" si="134"/>
        <v>#N/A</v>
      </c>
      <c r="GE143" s="61" t="e">
        <f ca="1">AVERAGE(OFFSET($GD$3,0,0,'Données projet'!$E$17+1,1))-AVERAGE(OFFSET($H$3,0,0,'Données projet'!$E$17+1,1))</f>
        <v>#N/A</v>
      </c>
      <c r="GF143" s="61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35"/>
        <v>0</v>
      </c>
      <c r="GP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1" t="e">
        <f t="shared" si="137"/>
        <v>#N/A</v>
      </c>
      <c r="GZ143" s="61" t="e">
        <f ca="1">AVERAGE(OFFSET($GY$3,0,0,'Données projet'!$E$18+1,1))-AVERAGE(OFFSET($H$3,0,0,'Données projet'!$E$18+1,1))</f>
        <v>#N/A</v>
      </c>
      <c r="HA143" s="61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38"/>
        <v>0</v>
      </c>
    </row>
    <row r="144" spans="1:218" s="5" customFormat="1" x14ac:dyDescent="0.45">
      <c r="A144" s="11">
        <f t="shared" si="139"/>
        <v>141</v>
      </c>
      <c r="B144" s="76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9">
        <f t="shared" si="110"/>
        <v>183.33333333333334</v>
      </c>
      <c r="I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-3.4106051316484809E-13</v>
      </c>
      <c r="O144" s="14">
        <f>N144*VLOOKUP('Données projet'!$B$9,Paramètres!$A$1:$I$88,3,0)*VLOOKUP('Données projet'!$B$9,Paramètres!$A$1:$I$88,5,0)</f>
        <v>-2.0395418687257919E-13</v>
      </c>
      <c r="P144" s="14" t="e">
        <f t="shared" si="141"/>
        <v>#NUM!</v>
      </c>
      <c r="Q144" s="22" t="e">
        <f t="shared" si="108"/>
        <v>#NUM!</v>
      </c>
      <c r="R144" s="61" t="e">
        <f t="shared" si="109"/>
        <v>#NUM!</v>
      </c>
      <c r="S144" s="61">
        <f ca="1">AVERAGE(OFFSET($R$3,0,0,'Données projet'!$E$9+1,1))-AVERAGE(OFFSET($H$3,0,0,'Données projet'!$E$9+1,1))</f>
        <v>445.53168057836308</v>
      </c>
      <c r="T144" s="61">
        <f t="shared" si="142"/>
        <v>326.78684646135241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98.616785547694448</v>
      </c>
      <c r="AA144" s="23">
        <f>EXP(-LN(2)/25)*AA143+(1-EXP(-LN(2)/25))/(LN(2)/25)*Calculateur!V144*Calculateur!X144*VLOOKUP('Données projet'!$B$9,Paramètres!$A$1:$I$88,3,0)*0.475*44/12</f>
        <v>5.4423831763433039</v>
      </c>
      <c r="AB144" s="23">
        <f>EXP(-LN(2)/2)*AB143+(1-EXP(-LN(2)/2))/(LN(2)/2)*V144*Y144*VLOOKUP('Données projet'!$B$9,Paramètres!$A$1:$I$88,3,0)*0.475*44/12</f>
        <v>1.3823853620265436E-11</v>
      </c>
      <c r="AC144" s="24">
        <f t="shared" si="111"/>
        <v>104.05916872405157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-6.8212102632969618E-13</v>
      </c>
      <c r="AJ144" s="14">
        <f>AI144*VLOOKUP('Données projet'!$B$10,Paramètres!$A$1:$I$88,3,0)*VLOOKUP('Données projet'!$B$10,Paramètres!$A$1:$I$88,5,0)</f>
        <v>-3.1923264032229784E-13</v>
      </c>
      <c r="AK144" s="14" t="e">
        <f t="shared" si="143"/>
        <v>#NUM!</v>
      </c>
      <c r="AL144" s="22" t="e">
        <f t="shared" si="112"/>
        <v>#NUM!</v>
      </c>
      <c r="AM144" s="61" t="e">
        <f t="shared" si="113"/>
        <v>#NUM!</v>
      </c>
      <c r="AN144" s="61">
        <f ca="1">AVERAGE(OFFSET($AM$3,0,0,'Données projet'!$E$10+1,1))-AVERAGE(OFFSET($H$3,0,0,'Données projet'!$E$10+1,1))</f>
        <v>375.77859820466693</v>
      </c>
      <c r="AO144" s="61">
        <f t="shared" si="144"/>
        <v>242.84781402593856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157.8867986271853</v>
      </c>
      <c r="AV144" s="23">
        <f>EXP(-LN(2)/25)*AV143+(1-EXP(-LN(2)/25))/(LN(2)/25)*Calculateur!AQ144*Calculateur!AS144*VLOOKUP('Données projet'!$B$9,Paramètres!$A$1:$I$88,3,0)*0.475*44/12</f>
        <v>13.09381166941211</v>
      </c>
      <c r="AW144" s="23">
        <f>EXP(-LN(2)/2)*AW143+(1-EXP(-LN(2)/2))/(LN(2)/2)*AQ144*AT144*VLOOKUP('Données projet'!$B$9,Paramètres!$A$1:$I$88,3,0)*0.475*44/12</f>
        <v>0</v>
      </c>
      <c r="AX144" s="23">
        <f t="shared" si="114"/>
        <v>170.9806102965974</v>
      </c>
      <c r="AY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4.75</v>
      </c>
      <c r="BD144" s="13">
        <f>IF('Données projet'!$A$88&gt;35,BD143+BC144-BL143,IF(A144&lt;'Données projet'!$A$88,$BA$205^A144,IF(A144='Données projet'!$A$88,'Données projet'!$B$88,BD143+BC144-BL143)))</f>
        <v>222.00000000000028</v>
      </c>
      <c r="BE144" s="14">
        <f>BD144*VLOOKUP('Données projet'!$B$11,Paramètres!$A$1:$I$88,3,0)*VLOOKUP('Données projet'!$B$11,Paramètres!$A$1:$I$88,5,0)</f>
        <v>225.10800000000029</v>
      </c>
      <c r="BF144" s="14">
        <f t="shared" si="145"/>
        <v>55.22359687888968</v>
      </c>
      <c r="BG144" s="22">
        <f t="shared" si="115"/>
        <v>488.2441978974</v>
      </c>
      <c r="BH144" s="61">
        <f t="shared" si="116"/>
        <v>773.80451087516008</v>
      </c>
      <c r="BI144" s="61">
        <f ca="1">AVERAGE(OFFSET($BH$3,0,0,'Données projet'!$E$11+1,1))-AVERAGE(OFFSET($H$3,0,0,'Données projet'!$E$11+1,1))</f>
        <v>433.57989081194</v>
      </c>
      <c r="BJ144" s="61">
        <f t="shared" si="146"/>
        <v>182.52060621271355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30.113803962538487</v>
      </c>
      <c r="BQ144" s="23">
        <f>EXP(-LN(2)/25)*BQ143+(1-EXP(-LN(2)/25))/(LN(2)/25)*Calculateur!BL144*Calculateur!BN144*VLOOKUP('Données projet'!$B$9,Paramètres!$A$1:$I$88,3,0)*0.475*44/12</f>
        <v>4.1812968349440602</v>
      </c>
      <c r="BR144" s="23">
        <f>EXP(-LN(2)/2)*BR143+(1-EXP(-LN(2)/2))/(LN(2)/2)*BL144*BO144*VLOOKUP('Données projet'!$B$9,Paramètres!$A$1:$I$88,3,0)*0.475*44/12</f>
        <v>0</v>
      </c>
      <c r="BS144" s="24">
        <f t="shared" si="117"/>
        <v>34.295100797482547</v>
      </c>
      <c r="BT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1" t="e">
        <f t="shared" si="119"/>
        <v>#N/A</v>
      </c>
      <c r="CD144" s="61" t="e">
        <f ca="1">AVERAGE(OFFSET($CC$3,0,0,'Données projet'!$E$12+1,1))-AVERAGE(OFFSET($H$3,0,0,'Données projet'!$E$12+1,1))</f>
        <v>#N/A</v>
      </c>
      <c r="CE144" s="61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0"/>
        <v>0</v>
      </c>
      <c r="CO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1" t="e">
        <f t="shared" si="122"/>
        <v>#N/A</v>
      </c>
      <c r="CY144" s="61" t="e">
        <f ca="1">AVERAGE(OFFSET($CX$3,0,0,'Données projet'!$E$13+1,1))-AVERAGE(OFFSET($H$3,0,0,'Données projet'!$E$13+1,1))</f>
        <v>#N/A</v>
      </c>
      <c r="CZ144" s="61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3"/>
        <v>0</v>
      </c>
      <c r="DJ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1" t="e">
        <f t="shared" si="125"/>
        <v>#N/A</v>
      </c>
      <c r="DT144" s="61" t="e">
        <f ca="1">AVERAGE(OFFSET($DS$3,0,0,'Données projet'!$E$14+1,1))-AVERAGE(OFFSET($H$3,0,0,'Données projet'!$E$14+1,1))</f>
        <v>#N/A</v>
      </c>
      <c r="DU144" s="61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26"/>
        <v>0</v>
      </c>
      <c r="EE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1" t="e">
        <f t="shared" si="128"/>
        <v>#N/A</v>
      </c>
      <c r="EO144" s="61" t="e">
        <f ca="1">AVERAGE(OFFSET($EN$3,0,0,'Données projet'!$E$15+1,1))-AVERAGE(OFFSET($H$3,0,0,'Données projet'!$E$15+1,1))</f>
        <v>#N/A</v>
      </c>
      <c r="EP144" s="61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29"/>
        <v>0</v>
      </c>
      <c r="EZ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1" t="e">
        <f t="shared" si="131"/>
        <v>#N/A</v>
      </c>
      <c r="FJ144" s="61" t="e">
        <f ca="1">AVERAGE(OFFSET($FI$3,0,0,'Données projet'!$E$16+1,1))-AVERAGE(OFFSET($H$3,0,0,'Données projet'!$E$16+1,1))</f>
        <v>#N/A</v>
      </c>
      <c r="FK144" s="61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32"/>
        <v>0</v>
      </c>
      <c r="FU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1" t="e">
        <f t="shared" si="134"/>
        <v>#N/A</v>
      </c>
      <c r="GE144" s="61" t="e">
        <f ca="1">AVERAGE(OFFSET($GD$3,0,0,'Données projet'!$E$17+1,1))-AVERAGE(OFFSET($H$3,0,0,'Données projet'!$E$17+1,1))</f>
        <v>#N/A</v>
      </c>
      <c r="GF144" s="61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35"/>
        <v>0</v>
      </c>
      <c r="GP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1" t="e">
        <f t="shared" si="137"/>
        <v>#N/A</v>
      </c>
      <c r="GZ144" s="61" t="e">
        <f ca="1">AVERAGE(OFFSET($GY$3,0,0,'Données projet'!$E$18+1,1))-AVERAGE(OFFSET($H$3,0,0,'Données projet'!$E$18+1,1))</f>
        <v>#N/A</v>
      </c>
      <c r="HA144" s="61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38"/>
        <v>0</v>
      </c>
    </row>
    <row r="145" spans="1:218" s="5" customFormat="1" x14ac:dyDescent="0.45">
      <c r="A145" s="11">
        <f t="shared" si="139"/>
        <v>142</v>
      </c>
      <c r="B145" s="76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9">
        <f t="shared" si="110"/>
        <v>183.33333333333334</v>
      </c>
      <c r="I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-3.4106051316484809E-13</v>
      </c>
      <c r="O145" s="14">
        <f>N145*VLOOKUP('Données projet'!$B$9,Paramètres!$A$1:$I$88,3,0)*VLOOKUP('Données projet'!$B$9,Paramètres!$A$1:$I$88,5,0)</f>
        <v>-2.0395418687257919E-13</v>
      </c>
      <c r="P145" s="14" t="e">
        <f t="shared" si="141"/>
        <v>#NUM!</v>
      </c>
      <c r="Q145" s="22" t="e">
        <f t="shared" si="108"/>
        <v>#NUM!</v>
      </c>
      <c r="R145" s="61" t="e">
        <f t="shared" si="109"/>
        <v>#NUM!</v>
      </c>
      <c r="S145" s="61">
        <f ca="1">AVERAGE(OFFSET($R$3,0,0,'Données projet'!$E$9+1,1))-AVERAGE(OFFSET($H$3,0,0,'Données projet'!$E$9+1,1))</f>
        <v>445.53168057836308</v>
      </c>
      <c r="T145" s="61">
        <f t="shared" si="142"/>
        <v>326.78684646135241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96.682970533403989</v>
      </c>
      <c r="AA145" s="23">
        <f>EXP(-LN(2)/25)*AA144+(1-EXP(-LN(2)/25))/(LN(2)/25)*Calculateur!V145*Calculateur!X145*VLOOKUP('Données projet'!$B$9,Paramètres!$A$1:$I$88,3,0)*0.475*44/12</f>
        <v>5.2935609221837039</v>
      </c>
      <c r="AB145" s="23">
        <f>EXP(-LN(2)/2)*AB144+(1-EXP(-LN(2)/2))/(LN(2)/2)*V145*Y145*VLOOKUP('Données projet'!$B$9,Paramètres!$A$1:$I$88,3,0)*0.475*44/12</f>
        <v>9.7749406370198943E-12</v>
      </c>
      <c r="AC145" s="24">
        <f t="shared" si="111"/>
        <v>101.97653145559747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-6.8212102632969618E-13</v>
      </c>
      <c r="AJ145" s="14">
        <f>AI145*VLOOKUP('Données projet'!$B$10,Paramètres!$A$1:$I$88,3,0)*VLOOKUP('Données projet'!$B$10,Paramètres!$A$1:$I$88,5,0)</f>
        <v>-3.1923264032229784E-13</v>
      </c>
      <c r="AK145" s="14" t="e">
        <f t="shared" si="143"/>
        <v>#NUM!</v>
      </c>
      <c r="AL145" s="22" t="e">
        <f t="shared" si="112"/>
        <v>#NUM!</v>
      </c>
      <c r="AM145" s="61" t="e">
        <f t="shared" si="113"/>
        <v>#NUM!</v>
      </c>
      <c r="AN145" s="61">
        <f ca="1">AVERAGE(OFFSET($AM$3,0,0,'Données projet'!$E$10+1,1))-AVERAGE(OFFSET($H$3,0,0,'Données projet'!$E$10+1,1))</f>
        <v>375.77859820466693</v>
      </c>
      <c r="AO145" s="61">
        <f t="shared" si="144"/>
        <v>242.84781402593856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154.79073480754437</v>
      </c>
      <c r="AV145" s="23">
        <f>EXP(-LN(2)/25)*AV144+(1-EXP(-LN(2)/25))/(LN(2)/25)*Calculateur!AQ145*Calculateur!AS145*VLOOKUP('Données projet'!$B$9,Paramètres!$A$1:$I$88,3,0)*0.475*44/12</f>
        <v>12.735760700738407</v>
      </c>
      <c r="AW145" s="23">
        <f>EXP(-LN(2)/2)*AW144+(1-EXP(-LN(2)/2))/(LN(2)/2)*AQ145*AT145*VLOOKUP('Données projet'!$B$9,Paramètres!$A$1:$I$88,3,0)*0.475*44/12</f>
        <v>0</v>
      </c>
      <c r="AX145" s="23">
        <f t="shared" si="114"/>
        <v>167.52649550828278</v>
      </c>
      <c r="AY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4.75</v>
      </c>
      <c r="BD145" s="13">
        <f>IF('Données projet'!$A$88&gt;35,BD144+BC145-BL144,IF(A145&lt;'Données projet'!$A$88,$BA$205^A145,IF(A145='Données projet'!$A$88,'Données projet'!$B$88,BD144+BC145-BL144)))</f>
        <v>226.75000000000028</v>
      </c>
      <c r="BE145" s="14">
        <f>BD145*VLOOKUP('Données projet'!$B$11,Paramètres!$A$1:$I$88,3,0)*VLOOKUP('Données projet'!$B$11,Paramètres!$A$1:$I$88,5,0)</f>
        <v>229.92450000000031</v>
      </c>
      <c r="BF145" s="14">
        <f t="shared" si="145"/>
        <v>56.266356354029675</v>
      </c>
      <c r="BG145" s="22">
        <f t="shared" si="115"/>
        <v>498.44907481660215</v>
      </c>
      <c r="BH145" s="61">
        <f t="shared" si="116"/>
        <v>784.14423231966123</v>
      </c>
      <c r="BI145" s="61">
        <f ca="1">AVERAGE(OFFSET($BH$3,0,0,'Données projet'!$E$11+1,1))-AVERAGE(OFFSET($H$3,0,0,'Données projet'!$E$11+1,1))</f>
        <v>433.57989081194</v>
      </c>
      <c r="BJ145" s="61">
        <f t="shared" si="146"/>
        <v>182.52060621271355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29.523290634439874</v>
      </c>
      <c r="BQ145" s="23">
        <f>EXP(-LN(2)/25)*BQ144+(1-EXP(-LN(2)/25))/(LN(2)/25)*Calculateur!BL145*Calculateur!BN145*VLOOKUP('Données projet'!$B$9,Paramètres!$A$1:$I$88,3,0)*0.475*44/12</f>
        <v>4.0669590531076709</v>
      </c>
      <c r="BR145" s="23">
        <f>EXP(-LN(2)/2)*BR144+(1-EXP(-LN(2)/2))/(LN(2)/2)*BL145*BO145*VLOOKUP('Données projet'!$B$9,Paramètres!$A$1:$I$88,3,0)*0.475*44/12</f>
        <v>0</v>
      </c>
      <c r="BS145" s="24">
        <f t="shared" si="117"/>
        <v>33.590249687547548</v>
      </c>
      <c r="BT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1" t="e">
        <f t="shared" si="119"/>
        <v>#N/A</v>
      </c>
      <c r="CD145" s="61" t="e">
        <f ca="1">AVERAGE(OFFSET($CC$3,0,0,'Données projet'!$E$12+1,1))-AVERAGE(OFFSET($H$3,0,0,'Données projet'!$E$12+1,1))</f>
        <v>#N/A</v>
      </c>
      <c r="CE145" s="61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0"/>
        <v>0</v>
      </c>
      <c r="CO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1" t="e">
        <f t="shared" si="122"/>
        <v>#N/A</v>
      </c>
      <c r="CY145" s="61" t="e">
        <f ca="1">AVERAGE(OFFSET($CX$3,0,0,'Données projet'!$E$13+1,1))-AVERAGE(OFFSET($H$3,0,0,'Données projet'!$E$13+1,1))</f>
        <v>#N/A</v>
      </c>
      <c r="CZ145" s="61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3"/>
        <v>0</v>
      </c>
      <c r="DJ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1" t="e">
        <f t="shared" si="125"/>
        <v>#N/A</v>
      </c>
      <c r="DT145" s="61" t="e">
        <f ca="1">AVERAGE(OFFSET($DS$3,0,0,'Données projet'!$E$14+1,1))-AVERAGE(OFFSET($H$3,0,0,'Données projet'!$E$14+1,1))</f>
        <v>#N/A</v>
      </c>
      <c r="DU145" s="61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26"/>
        <v>0</v>
      </c>
      <c r="EE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1" t="e">
        <f t="shared" si="128"/>
        <v>#N/A</v>
      </c>
      <c r="EO145" s="61" t="e">
        <f ca="1">AVERAGE(OFFSET($EN$3,0,0,'Données projet'!$E$15+1,1))-AVERAGE(OFFSET($H$3,0,0,'Données projet'!$E$15+1,1))</f>
        <v>#N/A</v>
      </c>
      <c r="EP145" s="61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29"/>
        <v>0</v>
      </c>
      <c r="EZ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1" t="e">
        <f t="shared" si="131"/>
        <v>#N/A</v>
      </c>
      <c r="FJ145" s="61" t="e">
        <f ca="1">AVERAGE(OFFSET($FI$3,0,0,'Données projet'!$E$16+1,1))-AVERAGE(OFFSET($H$3,0,0,'Données projet'!$E$16+1,1))</f>
        <v>#N/A</v>
      </c>
      <c r="FK145" s="61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32"/>
        <v>0</v>
      </c>
      <c r="FU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1" t="e">
        <f t="shared" si="134"/>
        <v>#N/A</v>
      </c>
      <c r="GE145" s="61" t="e">
        <f ca="1">AVERAGE(OFFSET($GD$3,0,0,'Données projet'!$E$17+1,1))-AVERAGE(OFFSET($H$3,0,0,'Données projet'!$E$17+1,1))</f>
        <v>#N/A</v>
      </c>
      <c r="GF145" s="61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35"/>
        <v>0</v>
      </c>
      <c r="GP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1" t="e">
        <f t="shared" si="137"/>
        <v>#N/A</v>
      </c>
      <c r="GZ145" s="61" t="e">
        <f ca="1">AVERAGE(OFFSET($GY$3,0,0,'Données projet'!$E$18+1,1))-AVERAGE(OFFSET($H$3,0,0,'Données projet'!$E$18+1,1))</f>
        <v>#N/A</v>
      </c>
      <c r="HA145" s="61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38"/>
        <v>0</v>
      </c>
    </row>
    <row r="146" spans="1:218" s="5" customFormat="1" x14ac:dyDescent="0.45">
      <c r="A146" s="11">
        <f t="shared" si="139"/>
        <v>143</v>
      </c>
      <c r="B146" s="76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9">
        <f t="shared" si="110"/>
        <v>183.33333333333334</v>
      </c>
      <c r="I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-3.4106051316484809E-13</v>
      </c>
      <c r="O146" s="14">
        <f>N146*VLOOKUP('Données projet'!$B$9,Paramètres!$A$1:$I$88,3,0)*VLOOKUP('Données projet'!$B$9,Paramètres!$A$1:$I$88,5,0)</f>
        <v>-2.0395418687257919E-13</v>
      </c>
      <c r="P146" s="14" t="e">
        <f t="shared" si="141"/>
        <v>#NUM!</v>
      </c>
      <c r="Q146" s="22" t="e">
        <f t="shared" si="108"/>
        <v>#NUM!</v>
      </c>
      <c r="R146" s="61" t="e">
        <f t="shared" si="109"/>
        <v>#NUM!</v>
      </c>
      <c r="S146" s="61">
        <f ca="1">AVERAGE(OFFSET($R$3,0,0,'Données projet'!$E$9+1,1))-AVERAGE(OFFSET($H$3,0,0,'Données projet'!$E$9+1,1))</f>
        <v>445.53168057836308</v>
      </c>
      <c r="T146" s="61">
        <f t="shared" si="142"/>
        <v>326.78684646135241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94.787076452033077</v>
      </c>
      <c r="AA146" s="23">
        <f>EXP(-LN(2)/25)*AA145+(1-EXP(-LN(2)/25))/(LN(2)/25)*Calculateur!V146*Calculateur!X146*VLOOKUP('Données projet'!$B$9,Paramètres!$A$1:$I$88,3,0)*0.475*44/12</f>
        <v>5.14880822039032</v>
      </c>
      <c r="AB146" s="23">
        <f>EXP(-LN(2)/2)*AB145+(1-EXP(-LN(2)/2))/(LN(2)/2)*V146*Y146*VLOOKUP('Données projet'!$B$9,Paramètres!$A$1:$I$88,3,0)*0.475*44/12</f>
        <v>6.9119268101327179E-12</v>
      </c>
      <c r="AC146" s="24">
        <f t="shared" si="111"/>
        <v>99.935884672430305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-6.8212102632969618E-13</v>
      </c>
      <c r="AJ146" s="14">
        <f>AI146*VLOOKUP('Données projet'!$B$10,Paramètres!$A$1:$I$88,3,0)*VLOOKUP('Données projet'!$B$10,Paramètres!$A$1:$I$88,5,0)</f>
        <v>-3.1923264032229784E-13</v>
      </c>
      <c r="AK146" s="14" t="e">
        <f t="shared" si="143"/>
        <v>#NUM!</v>
      </c>
      <c r="AL146" s="22" t="e">
        <f t="shared" si="112"/>
        <v>#NUM!</v>
      </c>
      <c r="AM146" s="61" t="e">
        <f t="shared" si="113"/>
        <v>#NUM!</v>
      </c>
      <c r="AN146" s="61">
        <f ca="1">AVERAGE(OFFSET($AM$3,0,0,'Données projet'!$E$10+1,1))-AVERAGE(OFFSET($H$3,0,0,'Données projet'!$E$10+1,1))</f>
        <v>375.77859820466693</v>
      </c>
      <c r="AO146" s="61">
        <f t="shared" si="144"/>
        <v>242.84781402593856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151.75538291099414</v>
      </c>
      <c r="AV146" s="23">
        <f>EXP(-LN(2)/25)*AV145+(1-EXP(-LN(2)/25))/(LN(2)/25)*Calculateur!AQ146*Calculateur!AS146*VLOOKUP('Données projet'!$B$9,Paramètres!$A$1:$I$88,3,0)*0.475*44/12</f>
        <v>12.387500654632168</v>
      </c>
      <c r="AW146" s="23">
        <f>EXP(-LN(2)/2)*AW145+(1-EXP(-LN(2)/2))/(LN(2)/2)*AQ146*AT146*VLOOKUP('Données projet'!$B$9,Paramètres!$A$1:$I$88,3,0)*0.475*44/12</f>
        <v>0</v>
      </c>
      <c r="AX146" s="23">
        <f t="shared" si="114"/>
        <v>164.14288356562631</v>
      </c>
      <c r="AY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4.75</v>
      </c>
      <c r="BD146" s="13">
        <f>IF('Données projet'!$A$88&gt;35,BD145+BC146-BL145,IF(A146&lt;'Données projet'!$A$88,$BA$205^A146,IF(A146='Données projet'!$A$88,'Données projet'!$B$88,BD145+BC146-BL145)))</f>
        <v>231.50000000000028</v>
      </c>
      <c r="BE146" s="14">
        <f>BD146*VLOOKUP('Données projet'!$B$11,Paramètres!$A$1:$I$88,3,0)*VLOOKUP('Données projet'!$B$11,Paramètres!$A$1:$I$88,5,0)</f>
        <v>234.7410000000003</v>
      </c>
      <c r="BF146" s="14">
        <f t="shared" si="145"/>
        <v>57.306576098652165</v>
      </c>
      <c r="BG146" s="22">
        <f t="shared" si="115"/>
        <v>508.64952837181971</v>
      </c>
      <c r="BH146" s="61">
        <f t="shared" si="116"/>
        <v>794.47719114913116</v>
      </c>
      <c r="BI146" s="61">
        <f ca="1">AVERAGE(OFFSET($BH$3,0,0,'Données projet'!$E$11+1,1))-AVERAGE(OFFSET($H$3,0,0,'Données projet'!$E$11+1,1))</f>
        <v>433.57989081194</v>
      </c>
      <c r="BJ146" s="61">
        <f t="shared" si="146"/>
        <v>182.52060621271355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28.944356912527709</v>
      </c>
      <c r="BQ146" s="23">
        <f>EXP(-LN(2)/25)*BQ145+(1-EXP(-LN(2)/25))/(LN(2)/25)*Calculateur!BL146*Calculateur!BN146*VLOOKUP('Données projet'!$B$9,Paramètres!$A$1:$I$88,3,0)*0.475*44/12</f>
        <v>3.9557478439283602</v>
      </c>
      <c r="BR146" s="23">
        <f>EXP(-LN(2)/2)*BR145+(1-EXP(-LN(2)/2))/(LN(2)/2)*BL146*BO146*VLOOKUP('Données projet'!$B$9,Paramètres!$A$1:$I$88,3,0)*0.475*44/12</f>
        <v>0</v>
      </c>
      <c r="BS146" s="24">
        <f t="shared" si="117"/>
        <v>32.900104756456066</v>
      </c>
      <c r="BT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1" t="e">
        <f t="shared" si="119"/>
        <v>#N/A</v>
      </c>
      <c r="CD146" s="61" t="e">
        <f ca="1">AVERAGE(OFFSET($CC$3,0,0,'Données projet'!$E$12+1,1))-AVERAGE(OFFSET($H$3,0,0,'Données projet'!$E$12+1,1))</f>
        <v>#N/A</v>
      </c>
      <c r="CE146" s="61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0"/>
        <v>0</v>
      </c>
      <c r="CO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1" t="e">
        <f t="shared" si="122"/>
        <v>#N/A</v>
      </c>
      <c r="CY146" s="61" t="e">
        <f ca="1">AVERAGE(OFFSET($CX$3,0,0,'Données projet'!$E$13+1,1))-AVERAGE(OFFSET($H$3,0,0,'Données projet'!$E$13+1,1))</f>
        <v>#N/A</v>
      </c>
      <c r="CZ146" s="61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3"/>
        <v>0</v>
      </c>
      <c r="DJ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1" t="e">
        <f t="shared" si="125"/>
        <v>#N/A</v>
      </c>
      <c r="DT146" s="61" t="e">
        <f ca="1">AVERAGE(OFFSET($DS$3,0,0,'Données projet'!$E$14+1,1))-AVERAGE(OFFSET($H$3,0,0,'Données projet'!$E$14+1,1))</f>
        <v>#N/A</v>
      </c>
      <c r="DU146" s="61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26"/>
        <v>0</v>
      </c>
      <c r="EE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1" t="e">
        <f t="shared" si="128"/>
        <v>#N/A</v>
      </c>
      <c r="EO146" s="61" t="e">
        <f ca="1">AVERAGE(OFFSET($EN$3,0,0,'Données projet'!$E$15+1,1))-AVERAGE(OFFSET($H$3,0,0,'Données projet'!$E$15+1,1))</f>
        <v>#N/A</v>
      </c>
      <c r="EP146" s="61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29"/>
        <v>0</v>
      </c>
      <c r="EZ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1" t="e">
        <f t="shared" si="131"/>
        <v>#N/A</v>
      </c>
      <c r="FJ146" s="61" t="e">
        <f ca="1">AVERAGE(OFFSET($FI$3,0,0,'Données projet'!$E$16+1,1))-AVERAGE(OFFSET($H$3,0,0,'Données projet'!$E$16+1,1))</f>
        <v>#N/A</v>
      </c>
      <c r="FK146" s="61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32"/>
        <v>0</v>
      </c>
      <c r="FU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1" t="e">
        <f t="shared" si="134"/>
        <v>#N/A</v>
      </c>
      <c r="GE146" s="61" t="e">
        <f ca="1">AVERAGE(OFFSET($GD$3,0,0,'Données projet'!$E$17+1,1))-AVERAGE(OFFSET($H$3,0,0,'Données projet'!$E$17+1,1))</f>
        <v>#N/A</v>
      </c>
      <c r="GF146" s="61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35"/>
        <v>0</v>
      </c>
      <c r="GP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1" t="e">
        <f t="shared" si="137"/>
        <v>#N/A</v>
      </c>
      <c r="GZ146" s="61" t="e">
        <f ca="1">AVERAGE(OFFSET($GY$3,0,0,'Données projet'!$E$18+1,1))-AVERAGE(OFFSET($H$3,0,0,'Données projet'!$E$18+1,1))</f>
        <v>#N/A</v>
      </c>
      <c r="HA146" s="61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38"/>
        <v>0</v>
      </c>
    </row>
    <row r="147" spans="1:218" s="5" customFormat="1" x14ac:dyDescent="0.45">
      <c r="A147" s="11">
        <f t="shared" si="139"/>
        <v>144</v>
      </c>
      <c r="B147" s="76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9">
        <f t="shared" si="110"/>
        <v>183.33333333333334</v>
      </c>
      <c r="I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-3.4106051316484809E-13</v>
      </c>
      <c r="O147" s="14">
        <f>N147*VLOOKUP('Données projet'!$B$9,Paramètres!$A$1:$I$88,3,0)*VLOOKUP('Données projet'!$B$9,Paramètres!$A$1:$I$88,5,0)</f>
        <v>-2.0395418687257919E-13</v>
      </c>
      <c r="P147" s="14" t="e">
        <f t="shared" si="141"/>
        <v>#NUM!</v>
      </c>
      <c r="Q147" s="22" t="e">
        <f t="shared" si="108"/>
        <v>#NUM!</v>
      </c>
      <c r="R147" s="61" t="e">
        <f t="shared" si="109"/>
        <v>#NUM!</v>
      </c>
      <c r="S147" s="61">
        <f ca="1">AVERAGE(OFFSET($R$3,0,0,'Données projet'!$E$9+1,1))-AVERAGE(OFFSET($H$3,0,0,'Données projet'!$E$9+1,1))</f>
        <v>445.53168057836308</v>
      </c>
      <c r="T147" s="61">
        <f t="shared" si="142"/>
        <v>326.78684646135241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92.928359697216649</v>
      </c>
      <c r="AA147" s="23">
        <f>EXP(-LN(2)/25)*AA146+(1-EXP(-LN(2)/25))/(LN(2)/25)*Calculateur!V147*Calculateur!X147*VLOOKUP('Données projet'!$B$9,Paramètres!$A$1:$I$88,3,0)*0.475*44/12</f>
        <v>5.0080137888396905</v>
      </c>
      <c r="AB147" s="23">
        <f>EXP(-LN(2)/2)*AB146+(1-EXP(-LN(2)/2))/(LN(2)/2)*V147*Y147*VLOOKUP('Données projet'!$B$9,Paramètres!$A$1:$I$88,3,0)*0.475*44/12</f>
        <v>4.8874703185099471E-12</v>
      </c>
      <c r="AC147" s="24">
        <f t="shared" si="111"/>
        <v>97.936373486061228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-6.8212102632969618E-13</v>
      </c>
      <c r="AJ147" s="14">
        <f>AI147*VLOOKUP('Données projet'!$B$10,Paramètres!$A$1:$I$88,3,0)*VLOOKUP('Données projet'!$B$10,Paramètres!$A$1:$I$88,5,0)</f>
        <v>-3.1923264032229784E-13</v>
      </c>
      <c r="AK147" s="14" t="e">
        <f t="shared" si="143"/>
        <v>#NUM!</v>
      </c>
      <c r="AL147" s="22" t="e">
        <f t="shared" si="112"/>
        <v>#NUM!</v>
      </c>
      <c r="AM147" s="61" t="e">
        <f t="shared" si="113"/>
        <v>#NUM!</v>
      </c>
      <c r="AN147" s="61">
        <f ca="1">AVERAGE(OFFSET($AM$3,0,0,'Données projet'!$E$10+1,1))-AVERAGE(OFFSET($H$3,0,0,'Données projet'!$E$10+1,1))</f>
        <v>375.77859820466693</v>
      </c>
      <c r="AO147" s="61">
        <f t="shared" si="144"/>
        <v>242.84781402593856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148.77955241375341</v>
      </c>
      <c r="AV147" s="23">
        <f>EXP(-LN(2)/25)*AV146+(1-EXP(-LN(2)/25))/(LN(2)/25)*Calculateur!AQ147*Calculateur!AS147*VLOOKUP('Données projet'!$B$9,Paramètres!$A$1:$I$88,3,0)*0.475*44/12</f>
        <v>12.048763797800904</v>
      </c>
      <c r="AW147" s="23">
        <f>EXP(-LN(2)/2)*AW146+(1-EXP(-LN(2)/2))/(LN(2)/2)*AQ147*AT147*VLOOKUP('Données projet'!$B$9,Paramètres!$A$1:$I$88,3,0)*0.475*44/12</f>
        <v>0</v>
      </c>
      <c r="AX147" s="23">
        <f t="shared" si="114"/>
        <v>160.82831621155432</v>
      </c>
      <c r="AY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4.75</v>
      </c>
      <c r="BD147" s="13">
        <f>IF('Données projet'!$A$88&gt;35,BD146+BC147-BL146,IF(A147&lt;'Données projet'!$A$88,$BA$205^A147,IF(A147='Données projet'!$A$88,'Données projet'!$B$88,BD146+BC147-BL146)))</f>
        <v>236.25000000000028</v>
      </c>
      <c r="BE147" s="14">
        <f>BD147*VLOOKUP('Données projet'!$B$11,Paramètres!$A$1:$I$88,3,0)*VLOOKUP('Données projet'!$B$11,Paramètres!$A$1:$I$88,5,0)</f>
        <v>239.55750000000032</v>
      </c>
      <c r="BF147" s="14">
        <f t="shared" si="145"/>
        <v>58.344314228405146</v>
      </c>
      <c r="BG147" s="22">
        <f t="shared" si="115"/>
        <v>518.84565978113949</v>
      </c>
      <c r="BH147" s="61">
        <f t="shared" si="116"/>
        <v>804.80352916243237</v>
      </c>
      <c r="BI147" s="61">
        <f ca="1">AVERAGE(OFFSET($BH$3,0,0,'Données projet'!$E$11+1,1))-AVERAGE(OFFSET($H$3,0,0,'Données projet'!$E$11+1,1))</f>
        <v>433.57989081194</v>
      </c>
      <c r="BJ147" s="61">
        <f t="shared" si="146"/>
        <v>182.52060621271355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28.376775727787539</v>
      </c>
      <c r="BQ147" s="23">
        <f>EXP(-LN(2)/25)*BQ146+(1-EXP(-LN(2)/25))/(LN(2)/25)*Calculateur!BL147*Calculateur!BN147*VLOOKUP('Données projet'!$B$9,Paramètres!$A$1:$I$88,3,0)*0.475*44/12</f>
        <v>3.8475777111124012</v>
      </c>
      <c r="BR147" s="23">
        <f>EXP(-LN(2)/2)*BR146+(1-EXP(-LN(2)/2))/(LN(2)/2)*BL147*BO147*VLOOKUP('Données projet'!$B$9,Paramètres!$A$1:$I$88,3,0)*0.475*44/12</f>
        <v>0</v>
      </c>
      <c r="BS147" s="24">
        <f t="shared" si="117"/>
        <v>32.224353438899939</v>
      </c>
      <c r="BT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1" t="e">
        <f t="shared" si="119"/>
        <v>#N/A</v>
      </c>
      <c r="CD147" s="61" t="e">
        <f ca="1">AVERAGE(OFFSET($CC$3,0,0,'Données projet'!$E$12+1,1))-AVERAGE(OFFSET($H$3,0,0,'Données projet'!$E$12+1,1))</f>
        <v>#N/A</v>
      </c>
      <c r="CE147" s="61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0"/>
        <v>0</v>
      </c>
      <c r="CO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1" t="e">
        <f t="shared" si="122"/>
        <v>#N/A</v>
      </c>
      <c r="CY147" s="61" t="e">
        <f ca="1">AVERAGE(OFFSET($CX$3,0,0,'Données projet'!$E$13+1,1))-AVERAGE(OFFSET($H$3,0,0,'Données projet'!$E$13+1,1))</f>
        <v>#N/A</v>
      </c>
      <c r="CZ147" s="61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3"/>
        <v>0</v>
      </c>
      <c r="DJ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1" t="e">
        <f t="shared" si="125"/>
        <v>#N/A</v>
      </c>
      <c r="DT147" s="61" t="e">
        <f ca="1">AVERAGE(OFFSET($DS$3,0,0,'Données projet'!$E$14+1,1))-AVERAGE(OFFSET($H$3,0,0,'Données projet'!$E$14+1,1))</f>
        <v>#N/A</v>
      </c>
      <c r="DU147" s="61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26"/>
        <v>0</v>
      </c>
      <c r="EE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1" t="e">
        <f t="shared" si="128"/>
        <v>#N/A</v>
      </c>
      <c r="EO147" s="61" t="e">
        <f ca="1">AVERAGE(OFFSET($EN$3,0,0,'Données projet'!$E$15+1,1))-AVERAGE(OFFSET($H$3,0,0,'Données projet'!$E$15+1,1))</f>
        <v>#N/A</v>
      </c>
      <c r="EP147" s="61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29"/>
        <v>0</v>
      </c>
      <c r="EZ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1" t="e">
        <f t="shared" si="131"/>
        <v>#N/A</v>
      </c>
      <c r="FJ147" s="61" t="e">
        <f ca="1">AVERAGE(OFFSET($FI$3,0,0,'Données projet'!$E$16+1,1))-AVERAGE(OFFSET($H$3,0,0,'Données projet'!$E$16+1,1))</f>
        <v>#N/A</v>
      </c>
      <c r="FK147" s="61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32"/>
        <v>0</v>
      </c>
      <c r="FU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1" t="e">
        <f t="shared" si="134"/>
        <v>#N/A</v>
      </c>
      <c r="GE147" s="61" t="e">
        <f ca="1">AVERAGE(OFFSET($GD$3,0,0,'Données projet'!$E$17+1,1))-AVERAGE(OFFSET($H$3,0,0,'Données projet'!$E$17+1,1))</f>
        <v>#N/A</v>
      </c>
      <c r="GF147" s="61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35"/>
        <v>0</v>
      </c>
      <c r="GP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1" t="e">
        <f t="shared" si="137"/>
        <v>#N/A</v>
      </c>
      <c r="GZ147" s="61" t="e">
        <f ca="1">AVERAGE(OFFSET($GY$3,0,0,'Données projet'!$E$18+1,1))-AVERAGE(OFFSET($H$3,0,0,'Données projet'!$E$18+1,1))</f>
        <v>#N/A</v>
      </c>
      <c r="HA147" s="61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38"/>
        <v>0</v>
      </c>
    </row>
    <row r="148" spans="1:218" s="5" customFormat="1" x14ac:dyDescent="0.45">
      <c r="A148" s="11">
        <f t="shared" si="139"/>
        <v>145</v>
      </c>
      <c r="B148" s="76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9">
        <f t="shared" si="110"/>
        <v>183.33333333333334</v>
      </c>
      <c r="I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-3.4106051316484809E-13</v>
      </c>
      <c r="O148" s="14">
        <f>N148*VLOOKUP('Données projet'!$B$9,Paramètres!$A$1:$I$88,3,0)*VLOOKUP('Données projet'!$B$9,Paramètres!$A$1:$I$88,5,0)</f>
        <v>-2.0395418687257919E-13</v>
      </c>
      <c r="P148" s="14" t="e">
        <f t="shared" si="141"/>
        <v>#NUM!</v>
      </c>
      <c r="Q148" s="22" t="e">
        <f t="shared" si="108"/>
        <v>#NUM!</v>
      </c>
      <c r="R148" s="61" t="e">
        <f t="shared" si="109"/>
        <v>#NUM!</v>
      </c>
      <c r="S148" s="61">
        <f ca="1">AVERAGE(OFFSET($R$3,0,0,'Données projet'!$E$9+1,1))-AVERAGE(OFFSET($H$3,0,0,'Données projet'!$E$9+1,1))</f>
        <v>445.53168057836308</v>
      </c>
      <c r="T148" s="61">
        <f t="shared" si="142"/>
        <v>326.78684646135241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91.106091244256888</v>
      </c>
      <c r="AA148" s="23">
        <f>EXP(-LN(2)/25)*AA147+(1-EXP(-LN(2)/25))/(LN(2)/25)*Calculateur!V148*Calculateur!X148*VLOOKUP('Données projet'!$B$9,Paramètres!$A$1:$I$88,3,0)*0.475*44/12</f>
        <v>4.8710693884238703</v>
      </c>
      <c r="AB148" s="23">
        <f>EXP(-LN(2)/2)*AB147+(1-EXP(-LN(2)/2))/(LN(2)/2)*V148*Y148*VLOOKUP('Données projet'!$B$9,Paramètres!$A$1:$I$88,3,0)*0.475*44/12</f>
        <v>3.455963405066359E-12</v>
      </c>
      <c r="AC148" s="24">
        <f t="shared" si="111"/>
        <v>95.977160632684217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-6.8212102632969618E-13</v>
      </c>
      <c r="AJ148" s="14">
        <f>AI148*VLOOKUP('Données projet'!$B$10,Paramètres!$A$1:$I$88,3,0)*VLOOKUP('Données projet'!$B$10,Paramètres!$A$1:$I$88,5,0)</f>
        <v>-3.1923264032229784E-13</v>
      </c>
      <c r="AK148" s="14" t="e">
        <f t="shared" si="143"/>
        <v>#NUM!</v>
      </c>
      <c r="AL148" s="22" t="e">
        <f t="shared" si="112"/>
        <v>#NUM!</v>
      </c>
      <c r="AM148" s="61" t="e">
        <f t="shared" si="113"/>
        <v>#NUM!</v>
      </c>
      <c r="AN148" s="61">
        <f ca="1">AVERAGE(OFFSET($AM$3,0,0,'Données projet'!$E$10+1,1))-AVERAGE(OFFSET($H$3,0,0,'Données projet'!$E$10+1,1))</f>
        <v>375.77859820466693</v>
      </c>
      <c r="AO148" s="61">
        <f t="shared" si="144"/>
        <v>242.84781402593856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145.86207613748618</v>
      </c>
      <c r="AV148" s="23">
        <f>EXP(-LN(2)/25)*AV147+(1-EXP(-LN(2)/25))/(LN(2)/25)*Calculateur!AQ148*Calculateur!AS148*VLOOKUP('Données projet'!$B$9,Paramètres!$A$1:$I$88,3,0)*0.475*44/12</f>
        <v>11.719289718133087</v>
      </c>
      <c r="AW148" s="23">
        <f>EXP(-LN(2)/2)*AW147+(1-EXP(-LN(2)/2))/(LN(2)/2)*AQ148*AT148*VLOOKUP('Données projet'!$B$9,Paramètres!$A$1:$I$88,3,0)*0.475*44/12</f>
        <v>0</v>
      </c>
      <c r="AX148" s="23">
        <f t="shared" si="114"/>
        <v>157.58136585561928</v>
      </c>
      <c r="AY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4.75</v>
      </c>
      <c r="BD148" s="13">
        <f>IF('Données projet'!$A$88&gt;35,BD147+BC148-BL147,IF(A148&lt;'Données projet'!$A$88,$BA$205^A148,IF(A148='Données projet'!$A$88,'Données projet'!$B$88,BD147+BC148-BL147)))</f>
        <v>241.00000000000028</v>
      </c>
      <c r="BE148" s="14">
        <f>BD148*VLOOKUP('Données projet'!$B$11,Paramètres!$A$1:$I$88,3,0)*VLOOKUP('Données projet'!$B$11,Paramètres!$A$1:$I$88,5,0)</f>
        <v>244.37400000000028</v>
      </c>
      <c r="BF148" s="14">
        <f t="shared" si="145"/>
        <v>59.379626388393902</v>
      </c>
      <c r="BG148" s="22">
        <f t="shared" si="115"/>
        <v>529.03756595978655</v>
      </c>
      <c r="BH148" s="61">
        <f t="shared" si="116"/>
        <v>815.12338315158013</v>
      </c>
      <c r="BI148" s="61">
        <f ca="1">AVERAGE(OFFSET($BH$3,0,0,'Données projet'!$E$11+1,1))-AVERAGE(OFFSET($H$3,0,0,'Données projet'!$E$11+1,1))</f>
        <v>433.57989081194</v>
      </c>
      <c r="BJ148" s="61">
        <f t="shared" si="146"/>
        <v>182.52060621271355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27.820324463889783</v>
      </c>
      <c r="BQ148" s="23">
        <f>EXP(-LN(2)/25)*BQ147+(1-EXP(-LN(2)/25))/(LN(2)/25)*Calculateur!BL148*Calculateur!BN148*VLOOKUP('Données projet'!$B$9,Paramètres!$A$1:$I$88,3,0)*0.475*44/12</f>
        <v>3.7423654962667143</v>
      </c>
      <c r="BR148" s="23">
        <f>EXP(-LN(2)/2)*BR147+(1-EXP(-LN(2)/2))/(LN(2)/2)*BL148*BO148*VLOOKUP('Données projet'!$B$9,Paramètres!$A$1:$I$88,3,0)*0.475*44/12</f>
        <v>0</v>
      </c>
      <c r="BS148" s="24">
        <f t="shared" si="117"/>
        <v>31.562689960156497</v>
      </c>
      <c r="BT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1" t="e">
        <f t="shared" si="119"/>
        <v>#N/A</v>
      </c>
      <c r="CD148" s="61" t="e">
        <f ca="1">AVERAGE(OFFSET($CC$3,0,0,'Données projet'!$E$12+1,1))-AVERAGE(OFFSET($H$3,0,0,'Données projet'!$E$12+1,1))</f>
        <v>#N/A</v>
      </c>
      <c r="CE148" s="61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0"/>
        <v>0</v>
      </c>
      <c r="CO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1" t="e">
        <f t="shared" si="122"/>
        <v>#N/A</v>
      </c>
      <c r="CY148" s="61" t="e">
        <f ca="1">AVERAGE(OFFSET($CX$3,0,0,'Données projet'!$E$13+1,1))-AVERAGE(OFFSET($H$3,0,0,'Données projet'!$E$13+1,1))</f>
        <v>#N/A</v>
      </c>
      <c r="CZ148" s="61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3"/>
        <v>0</v>
      </c>
      <c r="DJ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1" t="e">
        <f t="shared" si="125"/>
        <v>#N/A</v>
      </c>
      <c r="DT148" s="61" t="e">
        <f ca="1">AVERAGE(OFFSET($DS$3,0,0,'Données projet'!$E$14+1,1))-AVERAGE(OFFSET($H$3,0,0,'Données projet'!$E$14+1,1))</f>
        <v>#N/A</v>
      </c>
      <c r="DU148" s="61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26"/>
        <v>0</v>
      </c>
      <c r="EE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1" t="e">
        <f t="shared" si="128"/>
        <v>#N/A</v>
      </c>
      <c r="EO148" s="61" t="e">
        <f ca="1">AVERAGE(OFFSET($EN$3,0,0,'Données projet'!$E$15+1,1))-AVERAGE(OFFSET($H$3,0,0,'Données projet'!$E$15+1,1))</f>
        <v>#N/A</v>
      </c>
      <c r="EP148" s="61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29"/>
        <v>0</v>
      </c>
      <c r="EZ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1" t="e">
        <f t="shared" si="131"/>
        <v>#N/A</v>
      </c>
      <c r="FJ148" s="61" t="e">
        <f ca="1">AVERAGE(OFFSET($FI$3,0,0,'Données projet'!$E$16+1,1))-AVERAGE(OFFSET($H$3,0,0,'Données projet'!$E$16+1,1))</f>
        <v>#N/A</v>
      </c>
      <c r="FK148" s="61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32"/>
        <v>0</v>
      </c>
      <c r="FU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1" t="e">
        <f t="shared" si="134"/>
        <v>#N/A</v>
      </c>
      <c r="GE148" s="61" t="e">
        <f ca="1">AVERAGE(OFFSET($GD$3,0,0,'Données projet'!$E$17+1,1))-AVERAGE(OFFSET($H$3,0,0,'Données projet'!$E$17+1,1))</f>
        <v>#N/A</v>
      </c>
      <c r="GF148" s="61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35"/>
        <v>0</v>
      </c>
      <c r="GP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1" t="e">
        <f t="shared" si="137"/>
        <v>#N/A</v>
      </c>
      <c r="GZ148" s="61" t="e">
        <f ca="1">AVERAGE(OFFSET($GY$3,0,0,'Données projet'!$E$18+1,1))-AVERAGE(OFFSET($H$3,0,0,'Données projet'!$E$18+1,1))</f>
        <v>#N/A</v>
      </c>
      <c r="HA148" s="61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38"/>
        <v>0</v>
      </c>
    </row>
    <row r="149" spans="1:218" s="5" customFormat="1" x14ac:dyDescent="0.45">
      <c r="A149" s="11">
        <f t="shared" si="139"/>
        <v>146</v>
      </c>
      <c r="B149" s="76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9">
        <f t="shared" si="110"/>
        <v>183.33333333333334</v>
      </c>
      <c r="I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-3.4106051316484809E-13</v>
      </c>
      <c r="O149" s="14">
        <f>N149*VLOOKUP('Données projet'!$B$9,Paramètres!$A$1:$I$88,3,0)*VLOOKUP('Données projet'!$B$9,Paramètres!$A$1:$I$88,5,0)</f>
        <v>-2.0395418687257919E-13</v>
      </c>
      <c r="P149" s="14" t="e">
        <f t="shared" si="141"/>
        <v>#NUM!</v>
      </c>
      <c r="Q149" s="22" t="e">
        <f t="shared" si="108"/>
        <v>#NUM!</v>
      </c>
      <c r="R149" s="61" t="e">
        <f t="shared" si="109"/>
        <v>#NUM!</v>
      </c>
      <c r="S149" s="61">
        <f ca="1">AVERAGE(OFFSET($R$3,0,0,'Données projet'!$E$9+1,1))-AVERAGE(OFFSET($H$3,0,0,'Données projet'!$E$9+1,1))</f>
        <v>445.53168057836308</v>
      </c>
      <c r="T149" s="61">
        <f t="shared" si="142"/>
        <v>326.78684646135241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89.319556364185658</v>
      </c>
      <c r="AA149" s="23">
        <f>EXP(-LN(2)/25)*AA148+(1-EXP(-LN(2)/25))/(LN(2)/25)*Calculateur!V149*Calculateur!X149*VLOOKUP('Données projet'!$B$9,Paramètres!$A$1:$I$88,3,0)*0.475*44/12</f>
        <v>4.7378697398390131</v>
      </c>
      <c r="AB149" s="23">
        <f>EXP(-LN(2)/2)*AB148+(1-EXP(-LN(2)/2))/(LN(2)/2)*V149*Y149*VLOOKUP('Données projet'!$B$9,Paramètres!$A$1:$I$88,3,0)*0.475*44/12</f>
        <v>2.4437351592549736E-12</v>
      </c>
      <c r="AC149" s="24">
        <f t="shared" si="111"/>
        <v>94.057426104027115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-6.8212102632969618E-13</v>
      </c>
      <c r="AJ149" s="14">
        <f>AI149*VLOOKUP('Données projet'!$B$10,Paramètres!$A$1:$I$88,3,0)*VLOOKUP('Données projet'!$B$10,Paramètres!$A$1:$I$88,5,0)</f>
        <v>-3.1923264032229784E-13</v>
      </c>
      <c r="AK149" s="14" t="e">
        <f t="shared" si="143"/>
        <v>#NUM!</v>
      </c>
      <c r="AL149" s="22" t="e">
        <f t="shared" si="112"/>
        <v>#NUM!</v>
      </c>
      <c r="AM149" s="61" t="e">
        <f t="shared" si="113"/>
        <v>#NUM!</v>
      </c>
      <c r="AN149" s="61">
        <f ca="1">AVERAGE(OFFSET($AM$3,0,0,'Données projet'!$E$10+1,1))-AVERAGE(OFFSET($H$3,0,0,'Données projet'!$E$10+1,1))</f>
        <v>375.77859820466693</v>
      </c>
      <c r="AO149" s="61">
        <f t="shared" si="144"/>
        <v>242.84781402593856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143.00180979151176</v>
      </c>
      <c r="AV149" s="23">
        <f>EXP(-LN(2)/25)*AV148+(1-EXP(-LN(2)/25))/(LN(2)/25)*Calculateur!AQ149*Calculateur!AS149*VLOOKUP('Données projet'!$B$9,Paramètres!$A$1:$I$88,3,0)*0.475*44/12</f>
        <v>11.398825124500076</v>
      </c>
      <c r="AW149" s="23">
        <f>EXP(-LN(2)/2)*AW148+(1-EXP(-LN(2)/2))/(LN(2)/2)*AQ149*AT149*VLOOKUP('Données projet'!$B$9,Paramètres!$A$1:$I$88,3,0)*0.475*44/12</f>
        <v>0</v>
      </c>
      <c r="AX149" s="23">
        <f t="shared" si="114"/>
        <v>154.40063491601182</v>
      </c>
      <c r="AY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4.75</v>
      </c>
      <c r="BD149" s="13">
        <f>IF('Données projet'!$A$88&gt;35,BD148+BC149-BL148,IF(A149&lt;'Données projet'!$A$88,$BA$205^A149,IF(A149='Données projet'!$A$88,'Données projet'!$B$88,BD148+BC149-BL148)))</f>
        <v>245.75000000000028</v>
      </c>
      <c r="BE149" s="14">
        <f>BD149*VLOOKUP('Données projet'!$B$11,Paramètres!$A$1:$I$88,3,0)*VLOOKUP('Données projet'!$B$11,Paramètres!$A$1:$I$88,5,0)</f>
        <v>249.1905000000003</v>
      </c>
      <c r="BF149" s="14">
        <f t="shared" si="145"/>
        <v>60.412565904794612</v>
      </c>
      <c r="BG149" s="22">
        <f t="shared" si="115"/>
        <v>539.22533978418448</v>
      </c>
      <c r="BH149" s="61">
        <f t="shared" si="116"/>
        <v>825.43688517801513</v>
      </c>
      <c r="BI149" s="61">
        <f ca="1">AVERAGE(OFFSET($BH$3,0,0,'Données projet'!$E$11+1,1))-AVERAGE(OFFSET($H$3,0,0,'Données projet'!$E$11+1,1))</f>
        <v>433.57989081194</v>
      </c>
      <c r="BJ149" s="61">
        <f t="shared" si="146"/>
        <v>182.52060621271355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27.274784869875305</v>
      </c>
      <c r="BQ149" s="23">
        <f>EXP(-LN(2)/25)*BQ148+(1-EXP(-LN(2)/25))/(LN(2)/25)*Calculateur!BL149*Calculateur!BN149*VLOOKUP('Données projet'!$B$9,Paramètres!$A$1:$I$88,3,0)*0.475*44/12</f>
        <v>3.6400303149688527</v>
      </c>
      <c r="BR149" s="23">
        <f>EXP(-LN(2)/2)*BR148+(1-EXP(-LN(2)/2))/(LN(2)/2)*BL149*BO149*VLOOKUP('Données projet'!$B$9,Paramètres!$A$1:$I$88,3,0)*0.475*44/12</f>
        <v>0</v>
      </c>
      <c r="BS149" s="24">
        <f t="shared" si="117"/>
        <v>30.914815184844159</v>
      </c>
      <c r="BT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1" t="e">
        <f t="shared" si="119"/>
        <v>#N/A</v>
      </c>
      <c r="CD149" s="61" t="e">
        <f ca="1">AVERAGE(OFFSET($CC$3,0,0,'Données projet'!$E$12+1,1))-AVERAGE(OFFSET($H$3,0,0,'Données projet'!$E$12+1,1))</f>
        <v>#N/A</v>
      </c>
      <c r="CE149" s="61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0"/>
        <v>0</v>
      </c>
      <c r="CO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1" t="e">
        <f t="shared" si="122"/>
        <v>#N/A</v>
      </c>
      <c r="CY149" s="61" t="e">
        <f ca="1">AVERAGE(OFFSET($CX$3,0,0,'Données projet'!$E$13+1,1))-AVERAGE(OFFSET($H$3,0,0,'Données projet'!$E$13+1,1))</f>
        <v>#N/A</v>
      </c>
      <c r="CZ149" s="61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3"/>
        <v>0</v>
      </c>
      <c r="DJ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1" t="e">
        <f t="shared" si="125"/>
        <v>#N/A</v>
      </c>
      <c r="DT149" s="61" t="e">
        <f ca="1">AVERAGE(OFFSET($DS$3,0,0,'Données projet'!$E$14+1,1))-AVERAGE(OFFSET($H$3,0,0,'Données projet'!$E$14+1,1))</f>
        <v>#N/A</v>
      </c>
      <c r="DU149" s="61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26"/>
        <v>0</v>
      </c>
      <c r="EE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1" t="e">
        <f t="shared" si="128"/>
        <v>#N/A</v>
      </c>
      <c r="EO149" s="61" t="e">
        <f ca="1">AVERAGE(OFFSET($EN$3,0,0,'Données projet'!$E$15+1,1))-AVERAGE(OFFSET($H$3,0,0,'Données projet'!$E$15+1,1))</f>
        <v>#N/A</v>
      </c>
      <c r="EP149" s="61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29"/>
        <v>0</v>
      </c>
      <c r="EZ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1" t="e">
        <f t="shared" si="131"/>
        <v>#N/A</v>
      </c>
      <c r="FJ149" s="61" t="e">
        <f ca="1">AVERAGE(OFFSET($FI$3,0,0,'Données projet'!$E$16+1,1))-AVERAGE(OFFSET($H$3,0,0,'Données projet'!$E$16+1,1))</f>
        <v>#N/A</v>
      </c>
      <c r="FK149" s="61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32"/>
        <v>0</v>
      </c>
      <c r="FU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1" t="e">
        <f t="shared" si="134"/>
        <v>#N/A</v>
      </c>
      <c r="GE149" s="61" t="e">
        <f ca="1">AVERAGE(OFFSET($GD$3,0,0,'Données projet'!$E$17+1,1))-AVERAGE(OFFSET($H$3,0,0,'Données projet'!$E$17+1,1))</f>
        <v>#N/A</v>
      </c>
      <c r="GF149" s="61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35"/>
        <v>0</v>
      </c>
      <c r="GP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1" t="e">
        <f t="shared" si="137"/>
        <v>#N/A</v>
      </c>
      <c r="GZ149" s="61" t="e">
        <f ca="1">AVERAGE(OFFSET($GY$3,0,0,'Données projet'!$E$18+1,1))-AVERAGE(OFFSET($H$3,0,0,'Données projet'!$E$18+1,1))</f>
        <v>#N/A</v>
      </c>
      <c r="HA149" s="61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38"/>
        <v>0</v>
      </c>
    </row>
    <row r="150" spans="1:218" s="5" customFormat="1" x14ac:dyDescent="0.45">
      <c r="A150" s="11">
        <f t="shared" si="139"/>
        <v>147</v>
      </c>
      <c r="B150" s="76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9">
        <f t="shared" si="110"/>
        <v>183.33333333333334</v>
      </c>
      <c r="I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-3.4106051316484809E-13</v>
      </c>
      <c r="O150" s="14">
        <f>N150*VLOOKUP('Données projet'!$B$9,Paramètres!$A$1:$I$88,3,0)*VLOOKUP('Données projet'!$B$9,Paramètres!$A$1:$I$88,5,0)</f>
        <v>-2.0395418687257919E-13</v>
      </c>
      <c r="P150" s="14" t="e">
        <f t="shared" si="141"/>
        <v>#NUM!</v>
      </c>
      <c r="Q150" s="22" t="e">
        <f t="shared" si="108"/>
        <v>#NUM!</v>
      </c>
      <c r="R150" s="61" t="e">
        <f t="shared" si="109"/>
        <v>#NUM!</v>
      </c>
      <c r="S150" s="61">
        <f ca="1">AVERAGE(OFFSET($R$3,0,0,'Données projet'!$E$9+1,1))-AVERAGE(OFFSET($H$3,0,0,'Données projet'!$E$9+1,1))</f>
        <v>445.53168057836308</v>
      </c>
      <c r="T150" s="61">
        <f t="shared" si="142"/>
        <v>326.78684646135241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87.568054343433957</v>
      </c>
      <c r="AA150" s="23">
        <f>EXP(-LN(2)/25)*AA149+(1-EXP(-LN(2)/25))/(LN(2)/25)*Calculateur!V150*Calculateur!X150*VLOOKUP('Données projet'!$B$9,Paramètres!$A$1:$I$88,3,0)*0.475*44/12</f>
        <v>4.6083124426493738</v>
      </c>
      <c r="AB150" s="23">
        <f>EXP(-LN(2)/2)*AB149+(1-EXP(-LN(2)/2))/(LN(2)/2)*V150*Y150*VLOOKUP('Données projet'!$B$9,Paramètres!$A$1:$I$88,3,0)*0.475*44/12</f>
        <v>1.7279817025331795E-12</v>
      </c>
      <c r="AC150" s="24">
        <f t="shared" si="111"/>
        <v>92.176366786085069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-6.8212102632969618E-13</v>
      </c>
      <c r="AJ150" s="14">
        <f>AI150*VLOOKUP('Données projet'!$B$10,Paramètres!$A$1:$I$88,3,0)*VLOOKUP('Données projet'!$B$10,Paramètres!$A$1:$I$88,5,0)</f>
        <v>-3.1923264032229784E-13</v>
      </c>
      <c r="AK150" s="14" t="e">
        <f t="shared" si="143"/>
        <v>#NUM!</v>
      </c>
      <c r="AL150" s="22" t="e">
        <f t="shared" si="112"/>
        <v>#NUM!</v>
      </c>
      <c r="AM150" s="61" t="e">
        <f t="shared" si="113"/>
        <v>#NUM!</v>
      </c>
      <c r="AN150" s="61">
        <f ca="1">AVERAGE(OFFSET($AM$3,0,0,'Données projet'!$E$10+1,1))-AVERAGE(OFFSET($H$3,0,0,'Données projet'!$E$10+1,1))</f>
        <v>375.77859820466693</v>
      </c>
      <c r="AO150" s="61">
        <f t="shared" si="144"/>
        <v>242.84781402593856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140.19763152399167</v>
      </c>
      <c r="AV150" s="23">
        <f>EXP(-LN(2)/25)*AV149+(1-EXP(-LN(2)/25))/(LN(2)/25)*Calculateur!AQ150*Calculateur!AS150*VLOOKUP('Données projet'!$B$9,Paramètres!$A$1:$I$88,3,0)*0.475*44/12</f>
        <v>11.08712365203246</v>
      </c>
      <c r="AW150" s="23">
        <f>EXP(-LN(2)/2)*AW149+(1-EXP(-LN(2)/2))/(LN(2)/2)*AQ150*AT150*VLOOKUP('Données projet'!$B$9,Paramètres!$A$1:$I$88,3,0)*0.475*44/12</f>
        <v>0</v>
      </c>
      <c r="AX150" s="23">
        <f t="shared" si="114"/>
        <v>151.28475517602413</v>
      </c>
      <c r="AY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4.75</v>
      </c>
      <c r="BD150" s="13">
        <f>IF('Données projet'!$A$88&gt;35,BD149+BC150-BL149,IF(A150&lt;'Données projet'!$A$88,$BA$205^A150,IF(A150='Données projet'!$A$88,'Données projet'!$B$88,BD149+BC150-BL149)))</f>
        <v>250.50000000000028</v>
      </c>
      <c r="BE150" s="14">
        <f>BD150*VLOOKUP('Données projet'!$B$11,Paramètres!$A$1:$I$88,3,0)*VLOOKUP('Données projet'!$B$11,Paramètres!$A$1:$I$88,5,0)</f>
        <v>254.00700000000029</v>
      </c>
      <c r="BF150" s="14">
        <f t="shared" si="145"/>
        <v>61.443183924413752</v>
      </c>
      <c r="BG150" s="22">
        <f t="shared" si="115"/>
        <v>549.40907033502106</v>
      </c>
      <c r="BH150" s="61">
        <f t="shared" si="116"/>
        <v>835.74416282766947</v>
      </c>
      <c r="BI150" s="61">
        <f ca="1">AVERAGE(OFFSET($BH$3,0,0,'Données projet'!$E$11+1,1))-AVERAGE(OFFSET($H$3,0,0,'Données projet'!$E$11+1,1))</f>
        <v>433.57989081194</v>
      </c>
      <c r="BJ150" s="61">
        <f t="shared" si="146"/>
        <v>182.52060621271355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26.739942974553156</v>
      </c>
      <c r="BQ150" s="23">
        <f>EXP(-LN(2)/25)*BQ149+(1-EXP(-LN(2)/25))/(LN(2)/25)*Calculateur!BL150*Calculateur!BN150*VLOOKUP('Données projet'!$B$9,Paramètres!$A$1:$I$88,3,0)*0.475*44/12</f>
        <v>3.5404934945851547</v>
      </c>
      <c r="BR150" s="23">
        <f>EXP(-LN(2)/2)*BR149+(1-EXP(-LN(2)/2))/(LN(2)/2)*BL150*BO150*VLOOKUP('Données projet'!$B$9,Paramètres!$A$1:$I$88,3,0)*0.475*44/12</f>
        <v>0</v>
      </c>
      <c r="BS150" s="24">
        <f t="shared" si="117"/>
        <v>30.280436469138309</v>
      </c>
      <c r="BT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1" t="e">
        <f t="shared" si="119"/>
        <v>#N/A</v>
      </c>
      <c r="CD150" s="61" t="e">
        <f ca="1">AVERAGE(OFFSET($CC$3,0,0,'Données projet'!$E$12+1,1))-AVERAGE(OFFSET($H$3,0,0,'Données projet'!$E$12+1,1))</f>
        <v>#N/A</v>
      </c>
      <c r="CE150" s="61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0"/>
        <v>0</v>
      </c>
      <c r="CO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1" t="e">
        <f t="shared" si="122"/>
        <v>#N/A</v>
      </c>
      <c r="CY150" s="61" t="e">
        <f ca="1">AVERAGE(OFFSET($CX$3,0,0,'Données projet'!$E$13+1,1))-AVERAGE(OFFSET($H$3,0,0,'Données projet'!$E$13+1,1))</f>
        <v>#N/A</v>
      </c>
      <c r="CZ150" s="61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3"/>
        <v>0</v>
      </c>
      <c r="DJ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1" t="e">
        <f t="shared" si="125"/>
        <v>#N/A</v>
      </c>
      <c r="DT150" s="61" t="e">
        <f ca="1">AVERAGE(OFFSET($DS$3,0,0,'Données projet'!$E$14+1,1))-AVERAGE(OFFSET($H$3,0,0,'Données projet'!$E$14+1,1))</f>
        <v>#N/A</v>
      </c>
      <c r="DU150" s="61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26"/>
        <v>0</v>
      </c>
      <c r="EE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1" t="e">
        <f t="shared" si="128"/>
        <v>#N/A</v>
      </c>
      <c r="EO150" s="61" t="e">
        <f ca="1">AVERAGE(OFFSET($EN$3,0,0,'Données projet'!$E$15+1,1))-AVERAGE(OFFSET($H$3,0,0,'Données projet'!$E$15+1,1))</f>
        <v>#N/A</v>
      </c>
      <c r="EP150" s="61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29"/>
        <v>0</v>
      </c>
      <c r="EZ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1" t="e">
        <f t="shared" si="131"/>
        <v>#N/A</v>
      </c>
      <c r="FJ150" s="61" t="e">
        <f ca="1">AVERAGE(OFFSET($FI$3,0,0,'Données projet'!$E$16+1,1))-AVERAGE(OFFSET($H$3,0,0,'Données projet'!$E$16+1,1))</f>
        <v>#N/A</v>
      </c>
      <c r="FK150" s="61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32"/>
        <v>0</v>
      </c>
      <c r="FU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1" t="e">
        <f t="shared" si="134"/>
        <v>#N/A</v>
      </c>
      <c r="GE150" s="61" t="e">
        <f ca="1">AVERAGE(OFFSET($GD$3,0,0,'Données projet'!$E$17+1,1))-AVERAGE(OFFSET($H$3,0,0,'Données projet'!$E$17+1,1))</f>
        <v>#N/A</v>
      </c>
      <c r="GF150" s="61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35"/>
        <v>0</v>
      </c>
      <c r="GP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1" t="e">
        <f t="shared" si="137"/>
        <v>#N/A</v>
      </c>
      <c r="GZ150" s="61" t="e">
        <f ca="1">AVERAGE(OFFSET($GY$3,0,0,'Données projet'!$E$18+1,1))-AVERAGE(OFFSET($H$3,0,0,'Données projet'!$E$18+1,1))</f>
        <v>#N/A</v>
      </c>
      <c r="HA150" s="61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38"/>
        <v>0</v>
      </c>
    </row>
    <row r="151" spans="1:218" s="5" customFormat="1" x14ac:dyDescent="0.45">
      <c r="A151" s="11">
        <f t="shared" si="139"/>
        <v>148</v>
      </c>
      <c r="B151" s="76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9">
        <f t="shared" si="110"/>
        <v>183.33333333333334</v>
      </c>
      <c r="I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-3.4106051316484809E-13</v>
      </c>
      <c r="O151" s="14">
        <f>N151*VLOOKUP('Données projet'!$B$9,Paramètres!$A$1:$I$88,3,0)*VLOOKUP('Données projet'!$B$9,Paramètres!$A$1:$I$88,5,0)</f>
        <v>-2.0395418687257919E-13</v>
      </c>
      <c r="P151" s="14" t="e">
        <f t="shared" si="141"/>
        <v>#NUM!</v>
      </c>
      <c r="Q151" s="22" t="e">
        <f t="shared" si="108"/>
        <v>#NUM!</v>
      </c>
      <c r="R151" s="61" t="e">
        <f t="shared" si="109"/>
        <v>#NUM!</v>
      </c>
      <c r="S151" s="61">
        <f ca="1">AVERAGE(OFFSET($R$3,0,0,'Données projet'!$E$9+1,1))-AVERAGE(OFFSET($H$3,0,0,'Données projet'!$E$9+1,1))</f>
        <v>445.53168057836308</v>
      </c>
      <c r="T151" s="61">
        <f t="shared" si="142"/>
        <v>326.78684646135241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85.850898208998444</v>
      </c>
      <c r="AA151" s="23">
        <f>EXP(-LN(2)/25)*AA150+(1-EXP(-LN(2)/25))/(LN(2)/25)*Calculateur!V151*Calculateur!X151*VLOOKUP('Données projet'!$B$9,Paramètres!$A$1:$I$88,3,0)*0.475*44/12</f>
        <v>4.4822978965645079</v>
      </c>
      <c r="AB151" s="23">
        <f>EXP(-LN(2)/2)*AB150+(1-EXP(-LN(2)/2))/(LN(2)/2)*V151*Y151*VLOOKUP('Données projet'!$B$9,Paramètres!$A$1:$I$88,3,0)*0.475*44/12</f>
        <v>1.2218675796274868E-12</v>
      </c>
      <c r="AC151" s="24">
        <f t="shared" si="111"/>
        <v>90.33319610556417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-6.8212102632969618E-13</v>
      </c>
      <c r="AJ151" s="14">
        <f>AI151*VLOOKUP('Données projet'!$B$10,Paramètres!$A$1:$I$88,3,0)*VLOOKUP('Données projet'!$B$10,Paramètres!$A$1:$I$88,5,0)</f>
        <v>-3.1923264032229784E-13</v>
      </c>
      <c r="AK151" s="14" t="e">
        <f t="shared" si="143"/>
        <v>#NUM!</v>
      </c>
      <c r="AL151" s="22" t="e">
        <f t="shared" si="112"/>
        <v>#NUM!</v>
      </c>
      <c r="AM151" s="61" t="e">
        <f t="shared" si="113"/>
        <v>#NUM!</v>
      </c>
      <c r="AN151" s="61">
        <f ca="1">AVERAGE(OFFSET($AM$3,0,0,'Données projet'!$E$10+1,1))-AVERAGE(OFFSET($H$3,0,0,'Données projet'!$E$10+1,1))</f>
        <v>375.77859820466693</v>
      </c>
      <c r="AO151" s="61">
        <f t="shared" si="144"/>
        <v>242.84781402593856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137.4484414819178</v>
      </c>
      <c r="AV151" s="23">
        <f>EXP(-LN(2)/25)*AV150+(1-EXP(-LN(2)/25))/(LN(2)/25)*Calculateur!AQ151*Calculateur!AS151*VLOOKUP('Données projet'!$B$9,Paramètres!$A$1:$I$88,3,0)*0.475*44/12</f>
        <v>10.78394567272114</v>
      </c>
      <c r="AW151" s="23">
        <f>EXP(-LN(2)/2)*AW150+(1-EXP(-LN(2)/2))/(LN(2)/2)*AQ151*AT151*VLOOKUP('Données projet'!$B$9,Paramètres!$A$1:$I$88,3,0)*0.475*44/12</f>
        <v>0</v>
      </c>
      <c r="AX151" s="23">
        <f t="shared" si="114"/>
        <v>148.23238715463893</v>
      </c>
      <c r="AY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4.75</v>
      </c>
      <c r="BD151" s="13">
        <f>IF('Données projet'!$A$88&gt;35,BD150+BC151-BL150,IF(A151&lt;'Données projet'!$A$88,$BA$205^A151,IF(A151='Données projet'!$A$88,'Données projet'!$B$88,BD150+BC151-BL150)))</f>
        <v>255.25000000000028</v>
      </c>
      <c r="BE151" s="14">
        <f>BD151*VLOOKUP('Données projet'!$B$11,Paramètres!$A$1:$I$88,3,0)*VLOOKUP('Données projet'!$B$11,Paramètres!$A$1:$I$88,5,0)</f>
        <v>258.82350000000031</v>
      </c>
      <c r="BF151" s="14">
        <f t="shared" si="145"/>
        <v>62.471529543363204</v>
      </c>
      <c r="BG151" s="22">
        <f t="shared" si="115"/>
        <v>559.58884312135808</v>
      </c>
      <c r="BH151" s="61">
        <f t="shared" si="116"/>
        <v>846.04533944686978</v>
      </c>
      <c r="BI151" s="61">
        <f ca="1">AVERAGE(OFFSET($BH$3,0,0,'Données projet'!$E$11+1,1))-AVERAGE(OFFSET($H$3,0,0,'Données projet'!$E$11+1,1))</f>
        <v>433.57989081194</v>
      </c>
      <c r="BJ151" s="61">
        <f t="shared" si="146"/>
        <v>182.52060621271355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26.215589002576927</v>
      </c>
      <c r="BQ151" s="23">
        <f>EXP(-LN(2)/25)*BQ150+(1-EXP(-LN(2)/25))/(LN(2)/25)*Calculateur!BL151*Calculateur!BN151*VLOOKUP('Données projet'!$B$9,Paramètres!$A$1:$I$88,3,0)*0.475*44/12</f>
        <v>3.4436785137892625</v>
      </c>
      <c r="BR151" s="23">
        <f>EXP(-LN(2)/2)*BR150+(1-EXP(-LN(2)/2))/(LN(2)/2)*BL151*BO151*VLOOKUP('Données projet'!$B$9,Paramètres!$A$1:$I$88,3,0)*0.475*44/12</f>
        <v>0</v>
      </c>
      <c r="BS151" s="24">
        <f t="shared" si="117"/>
        <v>29.659267516366189</v>
      </c>
      <c r="BT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1" t="e">
        <f t="shared" si="119"/>
        <v>#N/A</v>
      </c>
      <c r="CD151" s="61" t="e">
        <f ca="1">AVERAGE(OFFSET($CC$3,0,0,'Données projet'!$E$12+1,1))-AVERAGE(OFFSET($H$3,0,0,'Données projet'!$E$12+1,1))</f>
        <v>#N/A</v>
      </c>
      <c r="CE151" s="61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0"/>
        <v>0</v>
      </c>
      <c r="CO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1" t="e">
        <f t="shared" si="122"/>
        <v>#N/A</v>
      </c>
      <c r="CY151" s="61" t="e">
        <f ca="1">AVERAGE(OFFSET($CX$3,0,0,'Données projet'!$E$13+1,1))-AVERAGE(OFFSET($H$3,0,0,'Données projet'!$E$13+1,1))</f>
        <v>#N/A</v>
      </c>
      <c r="CZ151" s="61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3"/>
        <v>0</v>
      </c>
      <c r="DJ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1" t="e">
        <f t="shared" si="125"/>
        <v>#N/A</v>
      </c>
      <c r="DT151" s="61" t="e">
        <f ca="1">AVERAGE(OFFSET($DS$3,0,0,'Données projet'!$E$14+1,1))-AVERAGE(OFFSET($H$3,0,0,'Données projet'!$E$14+1,1))</f>
        <v>#N/A</v>
      </c>
      <c r="DU151" s="61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26"/>
        <v>0</v>
      </c>
      <c r="EE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1" t="e">
        <f t="shared" si="128"/>
        <v>#N/A</v>
      </c>
      <c r="EO151" s="61" t="e">
        <f ca="1">AVERAGE(OFFSET($EN$3,0,0,'Données projet'!$E$15+1,1))-AVERAGE(OFFSET($H$3,0,0,'Données projet'!$E$15+1,1))</f>
        <v>#N/A</v>
      </c>
      <c r="EP151" s="61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29"/>
        <v>0</v>
      </c>
      <c r="EZ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1" t="e">
        <f t="shared" si="131"/>
        <v>#N/A</v>
      </c>
      <c r="FJ151" s="61" t="e">
        <f ca="1">AVERAGE(OFFSET($FI$3,0,0,'Données projet'!$E$16+1,1))-AVERAGE(OFFSET($H$3,0,0,'Données projet'!$E$16+1,1))</f>
        <v>#N/A</v>
      </c>
      <c r="FK151" s="61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32"/>
        <v>0</v>
      </c>
      <c r="FU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1" t="e">
        <f t="shared" si="134"/>
        <v>#N/A</v>
      </c>
      <c r="GE151" s="61" t="e">
        <f ca="1">AVERAGE(OFFSET($GD$3,0,0,'Données projet'!$E$17+1,1))-AVERAGE(OFFSET($H$3,0,0,'Données projet'!$E$17+1,1))</f>
        <v>#N/A</v>
      </c>
      <c r="GF151" s="61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35"/>
        <v>0</v>
      </c>
      <c r="GP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1" t="e">
        <f t="shared" si="137"/>
        <v>#N/A</v>
      </c>
      <c r="GZ151" s="61" t="e">
        <f ca="1">AVERAGE(OFFSET($GY$3,0,0,'Données projet'!$E$18+1,1))-AVERAGE(OFFSET($H$3,0,0,'Données projet'!$E$18+1,1))</f>
        <v>#N/A</v>
      </c>
      <c r="HA151" s="61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38"/>
        <v>0</v>
      </c>
    </row>
    <row r="152" spans="1:218" s="5" customFormat="1" x14ac:dyDescent="0.45">
      <c r="A152" s="11">
        <f t="shared" si="139"/>
        <v>149</v>
      </c>
      <c r="B152" s="76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9">
        <f t="shared" si="110"/>
        <v>183.33333333333334</v>
      </c>
      <c r="I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-3.4106051316484809E-13</v>
      </c>
      <c r="O152" s="14">
        <f>N152*VLOOKUP('Données projet'!$B$9,Paramètres!$A$1:$I$88,3,0)*VLOOKUP('Données projet'!$B$9,Paramètres!$A$1:$I$88,5,0)</f>
        <v>-2.0395418687257919E-13</v>
      </c>
      <c r="P152" s="14" t="e">
        <f t="shared" si="141"/>
        <v>#NUM!</v>
      </c>
      <c r="Q152" s="22" t="e">
        <f t="shared" si="108"/>
        <v>#NUM!</v>
      </c>
      <c r="R152" s="61" t="e">
        <f t="shared" si="109"/>
        <v>#NUM!</v>
      </c>
      <c r="S152" s="61">
        <f ca="1">AVERAGE(OFFSET($R$3,0,0,'Données projet'!$E$9+1,1))-AVERAGE(OFFSET($H$3,0,0,'Données projet'!$E$9+1,1))</f>
        <v>445.53168057836308</v>
      </c>
      <c r="T152" s="61">
        <f t="shared" si="142"/>
        <v>326.78684646135241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84.167414458997385</v>
      </c>
      <c r="AA152" s="23">
        <f>EXP(-LN(2)/25)*AA151+(1-EXP(-LN(2)/25))/(LN(2)/25)*Calculateur!V152*Calculateur!X152*VLOOKUP('Données projet'!$B$9,Paramètres!$A$1:$I$88,3,0)*0.475*44/12</f>
        <v>4.3597292248691497</v>
      </c>
      <c r="AB152" s="23">
        <f>EXP(-LN(2)/2)*AB151+(1-EXP(-LN(2)/2))/(LN(2)/2)*V152*Y152*VLOOKUP('Données projet'!$B$9,Paramètres!$A$1:$I$88,3,0)*0.475*44/12</f>
        <v>8.6399085126658974E-13</v>
      </c>
      <c r="AC152" s="24">
        <f t="shared" si="111"/>
        <v>88.527143683867408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-6.8212102632969618E-13</v>
      </c>
      <c r="AJ152" s="14">
        <f>AI152*VLOOKUP('Données projet'!$B$10,Paramètres!$A$1:$I$88,3,0)*VLOOKUP('Données projet'!$B$10,Paramètres!$A$1:$I$88,5,0)</f>
        <v>-3.1923264032229784E-13</v>
      </c>
      <c r="AK152" s="14" t="e">
        <f t="shared" si="143"/>
        <v>#NUM!</v>
      </c>
      <c r="AL152" s="22" t="e">
        <f t="shared" si="112"/>
        <v>#NUM!</v>
      </c>
      <c r="AM152" s="61" t="e">
        <f t="shared" si="113"/>
        <v>#NUM!</v>
      </c>
      <c r="AN152" s="61">
        <f ca="1">AVERAGE(OFFSET($AM$3,0,0,'Données projet'!$E$10+1,1))-AVERAGE(OFFSET($H$3,0,0,'Données projet'!$E$10+1,1))</f>
        <v>375.77859820466693</v>
      </c>
      <c r="AO152" s="61">
        <f t="shared" si="144"/>
        <v>242.84781402593856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134.75316137972865</v>
      </c>
      <c r="AV152" s="23">
        <f>EXP(-LN(2)/25)*AV151+(1-EXP(-LN(2)/25))/(LN(2)/25)*Calculateur!AQ152*Calculateur!AS152*VLOOKUP('Données projet'!$B$9,Paramètres!$A$1:$I$88,3,0)*0.475*44/12</f>
        <v>10.489058111197524</v>
      </c>
      <c r="AW152" s="23">
        <f>EXP(-LN(2)/2)*AW151+(1-EXP(-LN(2)/2))/(LN(2)/2)*AQ152*AT152*VLOOKUP('Données projet'!$B$9,Paramètres!$A$1:$I$88,3,0)*0.475*44/12</f>
        <v>0</v>
      </c>
      <c r="AX152" s="23">
        <f t="shared" si="114"/>
        <v>145.24221949092617</v>
      </c>
      <c r="AY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>
        <f>VLOOKUP(A152,'Données projet'!$A$87:$I$107,2,0)</f>
        <v>260</v>
      </c>
      <c r="BB152" s="13">
        <f>VLOOKUP(A152,'Données projet'!$A$87:$I$107,9,0)</f>
        <v>4.75</v>
      </c>
      <c r="BC152" s="13">
        <f t="array" ref="BC152">INDEX(BB:BB,MIN(IF(ISNUMBER(BB152:BB348),ROW(BB152:BB348),"")))</f>
        <v>4.75</v>
      </c>
      <c r="BD152" s="13">
        <f>IF('Données projet'!$A$88&gt;35,BD151+BC152-BL151,IF(A152&lt;'Données projet'!$A$88,$BA$205^A152,IF(A152='Données projet'!$A$88,'Données projet'!$B$88,BD151+BC152-BL151)))</f>
        <v>260.00000000000028</v>
      </c>
      <c r="BE152" s="14">
        <f>BD152*VLOOKUP('Données projet'!$B$11,Paramètres!$A$1:$I$88,3,0)*VLOOKUP('Données projet'!$B$11,Paramètres!$A$1:$I$88,5,0)</f>
        <v>263.64000000000033</v>
      </c>
      <c r="BF152" s="14">
        <f t="shared" si="145"/>
        <v>63.497649925886869</v>
      </c>
      <c r="BG152" s="22">
        <f t="shared" si="115"/>
        <v>569.76474028758696</v>
      </c>
      <c r="BH152" s="61">
        <f t="shared" si="116"/>
        <v>856.34053436088004</v>
      </c>
      <c r="BI152" s="61">
        <f ca="1">AVERAGE(OFFSET($BH$3,0,0,'Données projet'!$E$11+1,1))-AVERAGE(OFFSET($H$3,0,0,'Données projet'!$E$11+1,1))</f>
        <v>433.57989081194</v>
      </c>
      <c r="BJ152" s="61">
        <f t="shared" si="146"/>
        <v>182.52060621271355</v>
      </c>
      <c r="BK152" s="16">
        <f>IF(ISNA(VLOOKUP(A152,'Données projet'!$A$87:$I$107,3,0)),0,VLOOKUP(A152,'Données projet'!$A$87:$I$107,3,0))</f>
        <v>9</v>
      </c>
      <c r="BL152" s="16">
        <f>IF(ISNA(VLOOKUP(A152,'Données projet'!$A$87:$I$107,4,0)),0,VLOOKUP(A152,'Données projet'!$A$87:$I$107,4,0))</f>
        <v>40</v>
      </c>
      <c r="BM152" s="17">
        <f>IF(ISNA(VLOOKUP(A152,'Données projet'!$A$87:$I$107,5,0)),0%,VLOOKUP(A152,'Données projet'!$A$87:$I$107,5,0)*VLOOKUP('Données projet'!$B$11,Paramètres!$A$1:$I$88,7,0))</f>
        <v>0.38700000000000001</v>
      </c>
      <c r="BN152" s="17">
        <f>IF(ISNA(VLOOKUP(A152,'Données projet'!$A$87:$I$107,6,0)),0%,VLOOKUP(A152,'Données projet'!$A$87:$I$107,6,0)*VLOOKUP('Données projet'!$B$11,Paramètres!$A$1:$I$88,7,0))</f>
        <v>4.3000000000000003E-2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37.98157751874885</v>
      </c>
      <c r="BQ152" s="23">
        <f>EXP(-LN(2)/25)*BQ151+(1-EXP(-LN(2)/25))/(LN(2)/25)*Calculateur!BL152*Calculateur!BN152*VLOOKUP('Données projet'!$B$9,Paramètres!$A$1:$I$88,3,0)*0.475*44/12</f>
        <v>4.7085897160012031</v>
      </c>
      <c r="BR152" s="23">
        <f>EXP(-LN(2)/2)*BR151+(1-EXP(-LN(2)/2))/(LN(2)/2)*BL152*BO152*VLOOKUP('Données projet'!$B$9,Paramètres!$A$1:$I$88,3,0)*0.475*44/12</f>
        <v>0</v>
      </c>
      <c r="BS152" s="24">
        <f t="shared" si="117"/>
        <v>42.690167234750049</v>
      </c>
      <c r="BT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1" t="e">
        <f t="shared" si="119"/>
        <v>#N/A</v>
      </c>
      <c r="CD152" s="61" t="e">
        <f ca="1">AVERAGE(OFFSET($CC$3,0,0,'Données projet'!$E$12+1,1))-AVERAGE(OFFSET($H$3,0,0,'Données projet'!$E$12+1,1))</f>
        <v>#N/A</v>
      </c>
      <c r="CE152" s="61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0"/>
        <v>0</v>
      </c>
      <c r="CO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1" t="e">
        <f t="shared" si="122"/>
        <v>#N/A</v>
      </c>
      <c r="CY152" s="61" t="e">
        <f ca="1">AVERAGE(OFFSET($CX$3,0,0,'Données projet'!$E$13+1,1))-AVERAGE(OFFSET($H$3,0,0,'Données projet'!$E$13+1,1))</f>
        <v>#N/A</v>
      </c>
      <c r="CZ152" s="61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3"/>
        <v>0</v>
      </c>
      <c r="DJ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1" t="e">
        <f t="shared" si="125"/>
        <v>#N/A</v>
      </c>
      <c r="DT152" s="61" t="e">
        <f ca="1">AVERAGE(OFFSET($DS$3,0,0,'Données projet'!$E$14+1,1))-AVERAGE(OFFSET($H$3,0,0,'Données projet'!$E$14+1,1))</f>
        <v>#N/A</v>
      </c>
      <c r="DU152" s="61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26"/>
        <v>0</v>
      </c>
      <c r="EE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1" t="e">
        <f t="shared" si="128"/>
        <v>#N/A</v>
      </c>
      <c r="EO152" s="61" t="e">
        <f ca="1">AVERAGE(OFFSET($EN$3,0,0,'Données projet'!$E$15+1,1))-AVERAGE(OFFSET($H$3,0,0,'Données projet'!$E$15+1,1))</f>
        <v>#N/A</v>
      </c>
      <c r="EP152" s="61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29"/>
        <v>0</v>
      </c>
      <c r="EZ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1" t="e">
        <f t="shared" si="131"/>
        <v>#N/A</v>
      </c>
      <c r="FJ152" s="61" t="e">
        <f ca="1">AVERAGE(OFFSET($FI$3,0,0,'Données projet'!$E$16+1,1))-AVERAGE(OFFSET($H$3,0,0,'Données projet'!$E$16+1,1))</f>
        <v>#N/A</v>
      </c>
      <c r="FK152" s="61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32"/>
        <v>0</v>
      </c>
      <c r="FU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1" t="e">
        <f t="shared" si="134"/>
        <v>#N/A</v>
      </c>
      <c r="GE152" s="61" t="e">
        <f ca="1">AVERAGE(OFFSET($GD$3,0,0,'Données projet'!$E$17+1,1))-AVERAGE(OFFSET($H$3,0,0,'Données projet'!$E$17+1,1))</f>
        <v>#N/A</v>
      </c>
      <c r="GF152" s="61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35"/>
        <v>0</v>
      </c>
      <c r="GP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1" t="e">
        <f t="shared" si="137"/>
        <v>#N/A</v>
      </c>
      <c r="GZ152" s="61" t="e">
        <f ca="1">AVERAGE(OFFSET($GY$3,0,0,'Données projet'!$E$18+1,1))-AVERAGE(OFFSET($H$3,0,0,'Données projet'!$E$18+1,1))</f>
        <v>#N/A</v>
      </c>
      <c r="HA152" s="61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38"/>
        <v>0</v>
      </c>
    </row>
    <row r="153" spans="1:218" s="5" customFormat="1" x14ac:dyDescent="0.45">
      <c r="A153" s="11">
        <f>A152+1</f>
        <v>150</v>
      </c>
      <c r="B153" s="76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9">
        <f t="shared" si="110"/>
        <v>183.33333333333334</v>
      </c>
      <c r="I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-3.4106051316484809E-13</v>
      </c>
      <c r="O153" s="14">
        <f>N153*VLOOKUP('Données projet'!$B$9,Paramètres!$A$1:$I$88,3,0)*VLOOKUP('Données projet'!$B$9,Paramètres!$A$1:$I$88,5,0)</f>
        <v>-2.0395418687257919E-13</v>
      </c>
      <c r="P153" s="14" t="e">
        <f t="shared" si="141"/>
        <v>#NUM!</v>
      </c>
      <c r="Q153" s="22" t="e">
        <f t="shared" si="108"/>
        <v>#NUM!</v>
      </c>
      <c r="R153" s="61" t="e">
        <f t="shared" si="109"/>
        <v>#NUM!</v>
      </c>
      <c r="S153" s="61">
        <f ca="1">AVERAGE(OFFSET($R$3,0,0,'Données projet'!$E$9+1,1))-AVERAGE(OFFSET($H$3,0,0,'Données projet'!$E$9+1,1))</f>
        <v>445.53168057836308</v>
      </c>
      <c r="T153" s="61">
        <f t="shared" si="142"/>
        <v>326.78684646135241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82.516942798510158</v>
      </c>
      <c r="AA153" s="23">
        <f>EXP(-LN(2)/25)*AA152+(1-EXP(-LN(2)/25))/(LN(2)/25)*Calculateur!V153*Calculateur!X153*VLOOKUP('Données projet'!$B$9,Paramètres!$A$1:$I$88,3,0)*0.475*44/12</f>
        <v>4.2405121999469069</v>
      </c>
      <c r="AB153" s="23">
        <f>EXP(-LN(2)/2)*AB152+(1-EXP(-LN(2)/2))/(LN(2)/2)*V153*Y153*VLOOKUP('Données projet'!$B$9,Paramètres!$A$1:$I$88,3,0)*0.475*44/12</f>
        <v>6.1093378981374339E-13</v>
      </c>
      <c r="AC153" s="24">
        <f t="shared" si="111"/>
        <v>86.757454998457675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-6.8212102632969618E-13</v>
      </c>
      <c r="AJ153" s="14">
        <f>AI153*VLOOKUP('Données projet'!$B$10,Paramètres!$A$1:$I$88,3,0)*VLOOKUP('Données projet'!$B$10,Paramètres!$A$1:$I$88,5,0)</f>
        <v>-3.1923264032229784E-13</v>
      </c>
      <c r="AK153" s="14" t="e">
        <f t="shared" si="143"/>
        <v>#NUM!</v>
      </c>
      <c r="AL153" s="22" t="e">
        <f t="shared" si="112"/>
        <v>#NUM!</v>
      </c>
      <c r="AM153" s="61" t="e">
        <f t="shared" si="113"/>
        <v>#NUM!</v>
      </c>
      <c r="AN153" s="61">
        <f ca="1">AVERAGE(OFFSET($AM$3,0,0,'Données projet'!$E$10+1,1))-AVERAGE(OFFSET($H$3,0,0,'Données projet'!$E$10+1,1))</f>
        <v>375.77859820466693</v>
      </c>
      <c r="AO153" s="61">
        <f t="shared" si="144"/>
        <v>242.84781402593856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132.11073407638489</v>
      </c>
      <c r="AV153" s="23">
        <f>EXP(-LN(2)/25)*AV152+(1-EXP(-LN(2)/25))/(LN(2)/25)*Calculateur!AQ153*Calculateur!AS153*VLOOKUP('Données projet'!$B$9,Paramètres!$A$1:$I$88,3,0)*0.475*44/12</f>
        <v>10.202234265551235</v>
      </c>
      <c r="AW153" s="23">
        <f>EXP(-LN(2)/2)*AW152+(1-EXP(-LN(2)/2))/(LN(2)/2)*AQ153*AT153*VLOOKUP('Données projet'!$B$9,Paramètres!$A$1:$I$88,3,0)*0.475*44/12</f>
        <v>0</v>
      </c>
      <c r="AX153" s="23">
        <f t="shared" si="114"/>
        <v>142.31296834193611</v>
      </c>
      <c r="AY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5</v>
      </c>
      <c r="BD153" s="13">
        <f>IF('Données projet'!$A$88&gt;35,BD152+BC153-BL152,IF(A153&lt;'Données projet'!$A$88,$BA$205^A153,IF(A153='Données projet'!$A$88,'Données projet'!$B$88,BD152+BC153-BL152)))</f>
        <v>225.00000000000028</v>
      </c>
      <c r="BE153" s="14">
        <f>BD153*VLOOKUP('Données projet'!$B$11,Paramètres!$A$1:$I$88,3,0)*VLOOKUP('Données projet'!$B$11,Paramètres!$A$1:$I$88,5,0)</f>
        <v>228.15000000000032</v>
      </c>
      <c r="BF153" s="14">
        <f t="shared" si="145"/>
        <v>55.882480456847752</v>
      </c>
      <c r="BG153" s="22">
        <f t="shared" si="115"/>
        <v>494.68990346234369</v>
      </c>
      <c r="BH153" s="61">
        <f t="shared" si="116"/>
        <v>781.38292573420404</v>
      </c>
      <c r="BI153" s="61">
        <f ca="1">AVERAGE(OFFSET($BH$3,0,0,'Données projet'!$E$11+1,1))-AVERAGE(OFFSET($H$3,0,0,'Données projet'!$E$11+1,1))</f>
        <v>433.57989081194</v>
      </c>
      <c r="BJ153" s="61">
        <f t="shared" si="146"/>
        <v>182.52060621271355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37.236781950080974</v>
      </c>
      <c r="BQ153" s="23">
        <f>EXP(-LN(2)/25)*BQ152+(1-EXP(-LN(2)/25))/(LN(2)/25)*Calculateur!BL153*Calculateur!BN153*VLOOKUP('Données projet'!$B$9,Paramètres!$A$1:$I$88,3,0)*0.475*44/12</f>
        <v>4.5798330826031783</v>
      </c>
      <c r="BR153" s="23">
        <f>EXP(-LN(2)/2)*BR152+(1-EXP(-LN(2)/2))/(LN(2)/2)*BL153*BO153*VLOOKUP('Données projet'!$B$9,Paramètres!$A$1:$I$88,3,0)*0.475*44/12</f>
        <v>0</v>
      </c>
      <c r="BS153" s="24">
        <f t="shared" si="117"/>
        <v>41.816615032684155</v>
      </c>
      <c r="BT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1" t="e">
        <f t="shared" si="119"/>
        <v>#N/A</v>
      </c>
      <c r="CD153" s="61" t="e">
        <f ca="1">AVERAGE(OFFSET($CC$3,0,0,'Données projet'!$E$12+1,1))-AVERAGE(OFFSET($H$3,0,0,'Données projet'!$E$12+1,1))</f>
        <v>#N/A</v>
      </c>
      <c r="CE153" s="61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0"/>
        <v>0</v>
      </c>
      <c r="CO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1" t="e">
        <f t="shared" si="122"/>
        <v>#N/A</v>
      </c>
      <c r="CY153" s="61" t="e">
        <f ca="1">AVERAGE(OFFSET($CX$3,0,0,'Données projet'!$E$13+1,1))-AVERAGE(OFFSET($H$3,0,0,'Données projet'!$E$13+1,1))</f>
        <v>#N/A</v>
      </c>
      <c r="CZ153" s="61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3"/>
        <v>0</v>
      </c>
      <c r="DJ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1" t="e">
        <f t="shared" si="125"/>
        <v>#N/A</v>
      </c>
      <c r="DT153" s="61" t="e">
        <f ca="1">AVERAGE(OFFSET($DS$3,0,0,'Données projet'!$E$14+1,1))-AVERAGE(OFFSET($H$3,0,0,'Données projet'!$E$14+1,1))</f>
        <v>#N/A</v>
      </c>
      <c r="DU153" s="61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26"/>
        <v>0</v>
      </c>
      <c r="EE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1" t="e">
        <f t="shared" si="128"/>
        <v>#N/A</v>
      </c>
      <c r="EO153" s="61" t="e">
        <f ca="1">AVERAGE(OFFSET($EN$3,0,0,'Données projet'!$E$15+1,1))-AVERAGE(OFFSET($H$3,0,0,'Données projet'!$E$15+1,1))</f>
        <v>#N/A</v>
      </c>
      <c r="EP153" s="61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29"/>
        <v>0</v>
      </c>
      <c r="EZ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1" t="e">
        <f t="shared" si="131"/>
        <v>#N/A</v>
      </c>
      <c r="FJ153" s="61" t="e">
        <f ca="1">AVERAGE(OFFSET($FI$3,0,0,'Données projet'!$E$16+1,1))-AVERAGE(OFFSET($H$3,0,0,'Données projet'!$E$16+1,1))</f>
        <v>#N/A</v>
      </c>
      <c r="FK153" s="61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32"/>
        <v>0</v>
      </c>
      <c r="FU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1" t="e">
        <f t="shared" si="134"/>
        <v>#N/A</v>
      </c>
      <c r="GE153" s="61" t="e">
        <f ca="1">AVERAGE(OFFSET($GD$3,0,0,'Données projet'!$E$17+1,1))-AVERAGE(OFFSET($H$3,0,0,'Données projet'!$E$17+1,1))</f>
        <v>#N/A</v>
      </c>
      <c r="GF153" s="61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35"/>
        <v>0</v>
      </c>
      <c r="GP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1" t="e">
        <f t="shared" si="137"/>
        <v>#N/A</v>
      </c>
      <c r="GZ153" s="61" t="e">
        <f ca="1">AVERAGE(OFFSET($GY$3,0,0,'Données projet'!$E$18+1,1))-AVERAGE(OFFSET($H$3,0,0,'Données projet'!$E$18+1,1))</f>
        <v>#N/A</v>
      </c>
      <c r="HA153" s="61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38"/>
        <v>0</v>
      </c>
    </row>
    <row r="154" spans="1:218" x14ac:dyDescent="0.45">
      <c r="A154" s="11">
        <f t="shared" ref="A154:A202" si="161">A153+1</f>
        <v>151</v>
      </c>
      <c r="B154" s="76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9">
        <f t="shared" si="110"/>
        <v>183.33333333333334</v>
      </c>
      <c r="I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-3.4106051316484809E-13</v>
      </c>
      <c r="O154" s="14">
        <f>N154*VLOOKUP('Données projet'!$B$9,Paramètres!$A$1:$I$88,3,0)*VLOOKUP('Données projet'!$B$9,Paramètres!$A$1:$I$88,5,0)</f>
        <v>-2.0395418687257919E-13</v>
      </c>
      <c r="P154" s="14" t="e">
        <f t="shared" si="141"/>
        <v>#NUM!</v>
      </c>
      <c r="Q154" s="22" t="e">
        <f t="shared" ref="Q154:Q203" si="162">(O154+P154)*0.475*44/12</f>
        <v>#NUM!</v>
      </c>
      <c r="R154" s="61" t="e">
        <f t="shared" si="109"/>
        <v>#NUM!</v>
      </c>
      <c r="S154" s="61">
        <f ca="1">AVERAGE(OFFSET($R$3,0,0,'Données projet'!$E$9+1,1))-AVERAGE(OFFSET($H$3,0,0,'Données projet'!$E$9+1,1))</f>
        <v>445.53168057836308</v>
      </c>
      <c r="T154" s="61">
        <f t="shared" si="142"/>
        <v>326.78684646135241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80.898835880596764</v>
      </c>
      <c r="AA154" s="23">
        <f>EXP(-LN(2)/25)*AA153+(1-EXP(-LN(2)/25))/(LN(2)/25)*Calculateur!V154*Calculateur!X154*VLOOKUP('Données projet'!$B$9,Paramètres!$A$1:$I$88,3,0)*0.475*44/12</f>
        <v>4.1245551708405142</v>
      </c>
      <c r="AB154" s="23">
        <f>EXP(-LN(2)/2)*AB153+(1-EXP(-LN(2)/2))/(LN(2)/2)*V154*Y154*VLOOKUP('Données projet'!$B$9,Paramètres!$A$1:$I$88,3,0)*0.475*44/12</f>
        <v>4.3199542563329487E-13</v>
      </c>
      <c r="AC154" s="24">
        <f t="shared" ref="AC154:AC203" si="163">SUM(Z154:AB154)</f>
        <v>85.023391051437699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-6.8212102632969618E-13</v>
      </c>
      <c r="AJ154" s="14">
        <f>AI154*VLOOKUP('Données projet'!$B$10,Paramètres!$A$1:$I$88,3,0)*VLOOKUP('Données projet'!$B$10,Paramètres!$A$1:$I$88,5,0)</f>
        <v>-3.1923264032229784E-13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1" t="e">
        <f t="shared" si="113"/>
        <v>#NUM!</v>
      </c>
      <c r="AN154" s="61">
        <f ca="1">AVERAGE(OFFSET($AM$3,0,0,'Données projet'!$E$10+1,1))-AVERAGE(OFFSET($H$3,0,0,'Données projet'!$E$10+1,1))</f>
        <v>375.77859820466693</v>
      </c>
      <c r="AO154" s="61">
        <f t="shared" si="144"/>
        <v>242.84781402593856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129.52012316073819</v>
      </c>
      <c r="AV154" s="23">
        <f>EXP(-LN(2)/25)*AV153+(1-EXP(-LN(2)/25))/(LN(2)/25)*Calculateur!AQ154*Calculateur!AS154*VLOOKUP('Données projet'!$B$9,Paramètres!$A$1:$I$88,3,0)*0.475*44/12</f>
        <v>9.9232536330475547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139.44337679378575</v>
      </c>
      <c r="AY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5</v>
      </c>
      <c r="BD154" s="13">
        <f>IF('Données projet'!$A$88&gt;35,BD153+BC154-BL153,IF(A154&lt;'Données projet'!$A$88,$BA$205^A154,IF(A154='Données projet'!$A$88,'Données projet'!$B$88,BD153+BC154-BL153)))</f>
        <v>230.00000000000028</v>
      </c>
      <c r="BE154" s="14">
        <f>BD154*VLOOKUP('Données projet'!$B$11,Paramètres!$A$1:$I$88,3,0)*VLOOKUP('Données projet'!$B$11,Paramètres!$A$1:$I$88,5,0)</f>
        <v>233.22000000000031</v>
      </c>
      <c r="BF154" s="14">
        <f t="shared" ref="BF154:BF203" si="167">EXP(-1.0587+0.8836*LN(BE154)+0.284)</f>
        <v>56.978356452817323</v>
      </c>
      <c r="BG154" s="22">
        <f t="shared" ref="BG154:BG203" si="168">(BE154+BF154)*0.475*44/12</f>
        <v>505.42880415532403</v>
      </c>
      <c r="BH154" s="61">
        <f t="shared" si="116"/>
        <v>792.23702097858938</v>
      </c>
      <c r="BI154" s="61">
        <f ca="1">AVERAGE(OFFSET($BH$3,0,0,'Données projet'!$E$11+1,1))-AVERAGE(OFFSET($H$3,0,0,'Données projet'!$E$11+1,1))</f>
        <v>433.57989081194</v>
      </c>
      <c r="BJ154" s="61">
        <f t="shared" si="146"/>
        <v>182.52060621271355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36.506591368234233</v>
      </c>
      <c r="BQ154" s="23">
        <f>EXP(-LN(2)/25)*BQ153+(1-EXP(-LN(2)/25))/(LN(2)/25)*Calculateur!BL154*Calculateur!BN154*VLOOKUP('Données projet'!$B$9,Paramètres!$A$1:$I$88,3,0)*0.475*44/12</f>
        <v>4.4545973061164403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40.961188674350673</v>
      </c>
      <c r="BT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1" t="e">
        <f t="shared" si="119"/>
        <v>#N/A</v>
      </c>
      <c r="CD154" s="61" t="e">
        <f ca="1">AVERAGE(OFFSET($CC$3,0,0,'Données projet'!$E$12+1,1))-AVERAGE(OFFSET($H$3,0,0,'Données projet'!$E$12+1,1))</f>
        <v>#N/A</v>
      </c>
      <c r="CE154" s="61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1" t="e">
        <f t="shared" si="122"/>
        <v>#N/A</v>
      </c>
      <c r="CY154" s="61" t="e">
        <f ca="1">AVERAGE(OFFSET($CX$3,0,0,'Données projet'!$E$13+1,1))-AVERAGE(OFFSET($H$3,0,0,'Données projet'!$E$13+1,1))</f>
        <v>#N/A</v>
      </c>
      <c r="CZ154" s="61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1" t="e">
        <f t="shared" si="125"/>
        <v>#N/A</v>
      </c>
      <c r="DT154" s="61" t="e">
        <f ca="1">AVERAGE(OFFSET($DS$3,0,0,'Données projet'!$E$14+1,1))-AVERAGE(OFFSET($H$3,0,0,'Données projet'!$E$14+1,1))</f>
        <v>#N/A</v>
      </c>
      <c r="DU154" s="61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1" t="e">
        <f t="shared" si="128"/>
        <v>#N/A</v>
      </c>
      <c r="EO154" s="61" t="e">
        <f ca="1">AVERAGE(OFFSET($EN$3,0,0,'Données projet'!$E$15+1,1))-AVERAGE(OFFSET($H$3,0,0,'Données projet'!$E$15+1,1))</f>
        <v>#N/A</v>
      </c>
      <c r="EP154" s="61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1" t="e">
        <f t="shared" si="131"/>
        <v>#N/A</v>
      </c>
      <c r="FJ154" s="61" t="e">
        <f ca="1">AVERAGE(OFFSET($FI$3,0,0,'Données projet'!$E$16+1,1))-AVERAGE(OFFSET($H$3,0,0,'Données projet'!$E$16+1,1))</f>
        <v>#N/A</v>
      </c>
      <c r="FK154" s="61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1" t="e">
        <f t="shared" si="134"/>
        <v>#N/A</v>
      </c>
      <c r="GE154" s="61" t="e">
        <f ca="1">AVERAGE(OFFSET($GD$3,0,0,'Données projet'!$E$17+1,1))-AVERAGE(OFFSET($H$3,0,0,'Données projet'!$E$17+1,1))</f>
        <v>#N/A</v>
      </c>
      <c r="GF154" s="61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1" t="e">
        <f t="shared" si="137"/>
        <v>#N/A</v>
      </c>
      <c r="GZ154" s="61" t="e">
        <f ca="1">AVERAGE(OFFSET($GY$3,0,0,'Données projet'!$E$18+1,1))-AVERAGE(OFFSET($H$3,0,0,'Données projet'!$E$18+1,1))</f>
        <v>#N/A</v>
      </c>
      <c r="HA154" s="61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45">
      <c r="A155" s="11">
        <f t="shared" si="161"/>
        <v>152</v>
      </c>
      <c r="B155" s="76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9">
        <f t="shared" si="110"/>
        <v>183.33333333333334</v>
      </c>
      <c r="I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-3.4106051316484809E-13</v>
      </c>
      <c r="O155" s="14">
        <f>N155*VLOOKUP('Données projet'!$B$9,Paramètres!$A$1:$I$88,3,0)*VLOOKUP('Données projet'!$B$9,Paramètres!$A$1:$I$88,5,0)</f>
        <v>-2.0395418687257919E-13</v>
      </c>
      <c r="P155" s="14" t="e">
        <f t="shared" si="141"/>
        <v>#NUM!</v>
      </c>
      <c r="Q155" s="22" t="e">
        <f t="shared" si="162"/>
        <v>#NUM!</v>
      </c>
      <c r="R155" s="61" t="e">
        <f t="shared" si="109"/>
        <v>#NUM!</v>
      </c>
      <c r="S155" s="61">
        <f ca="1">AVERAGE(OFFSET($R$3,0,0,'Données projet'!$E$9+1,1))-AVERAGE(OFFSET($H$3,0,0,'Données projet'!$E$9+1,1))</f>
        <v>445.53168057836308</v>
      </c>
      <c r="T155" s="61">
        <f t="shared" si="142"/>
        <v>326.78684646135241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79.312459052395894</v>
      </c>
      <c r="AA155" s="23">
        <f>EXP(-LN(2)/25)*AA154+(1-EXP(-LN(2)/25))/(LN(2)/25)*Calculateur!V155*Calculateur!X155*VLOOKUP('Données projet'!$B$9,Paramètres!$A$1:$I$88,3,0)*0.475*44/12</f>
        <v>4.011768992792951</v>
      </c>
      <c r="AB155" s="23">
        <f>EXP(-LN(2)/2)*AB154+(1-EXP(-LN(2)/2))/(LN(2)/2)*V155*Y155*VLOOKUP('Données projet'!$B$9,Paramètres!$A$1:$I$88,3,0)*0.475*44/12</f>
        <v>3.054668949068717E-13</v>
      </c>
      <c r="AC155" s="24">
        <f t="shared" si="163"/>
        <v>83.324228045189145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-6.8212102632969618E-13</v>
      </c>
      <c r="AJ155" s="14">
        <f>AI155*VLOOKUP('Données projet'!$B$10,Paramètres!$A$1:$I$88,3,0)*VLOOKUP('Données projet'!$B$10,Paramètres!$A$1:$I$88,5,0)</f>
        <v>-3.1923264032229784E-13</v>
      </c>
      <c r="AK155" s="14" t="e">
        <f t="shared" si="164"/>
        <v>#NUM!</v>
      </c>
      <c r="AL155" s="22" t="e">
        <f t="shared" si="165"/>
        <v>#NUM!</v>
      </c>
      <c r="AM155" s="61" t="e">
        <f t="shared" si="113"/>
        <v>#NUM!</v>
      </c>
      <c r="AN155" s="61">
        <f ca="1">AVERAGE(OFFSET($AM$3,0,0,'Données projet'!$E$10+1,1))-AVERAGE(OFFSET($H$3,0,0,'Données projet'!$E$10+1,1))</f>
        <v>375.77859820466693</v>
      </c>
      <c r="AO155" s="61">
        <f t="shared" si="144"/>
        <v>242.84781402593856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126.9803125450307</v>
      </c>
      <c r="AV155" s="23">
        <f>EXP(-LN(2)/25)*AV154+(1-EXP(-LN(2)/25))/(LN(2)/25)*Calculateur!AQ155*Calculateur!AS155*VLOOKUP('Données projet'!$B$9,Paramètres!$A$1:$I$88,3,0)*0.475*44/12</f>
        <v>9.65190174061064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136.63221428564134</v>
      </c>
      <c r="AY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5</v>
      </c>
      <c r="BD155" s="13">
        <f>IF('Données projet'!$A$88&gt;35,BD154+BC155-BL154,IF(A155&lt;'Données projet'!$A$88,$BA$205^A155,IF(A155='Données projet'!$A$88,'Données projet'!$B$88,BD154+BC155-BL154)))</f>
        <v>235.00000000000028</v>
      </c>
      <c r="BE155" s="14">
        <f>BD155*VLOOKUP('Données projet'!$B$11,Paramètres!$A$1:$I$88,3,0)*VLOOKUP('Données projet'!$B$11,Paramètres!$A$1:$I$88,5,0)</f>
        <v>238.2900000000003</v>
      </c>
      <c r="BF155" s="14">
        <f t="shared" si="167"/>
        <v>58.071462681001613</v>
      </c>
      <c r="BG155" s="22">
        <f t="shared" si="168"/>
        <v>516.16288083607833</v>
      </c>
      <c r="BH155" s="61">
        <f t="shared" si="116"/>
        <v>803.08429384281817</v>
      </c>
      <c r="BI155" s="61">
        <f ca="1">AVERAGE(OFFSET($BH$3,0,0,'Données projet'!$E$11+1,1))-AVERAGE(OFFSET($H$3,0,0,'Données projet'!$E$11+1,1))</f>
        <v>433.57989081194</v>
      </c>
      <c r="BJ155" s="61">
        <f t="shared" si="146"/>
        <v>182.52060621271355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35.790719378325228</v>
      </c>
      <c r="BQ155" s="23">
        <f>EXP(-LN(2)/25)*BQ154+(1-EXP(-LN(2)/25))/(LN(2)/25)*Calculateur!BL155*Calculateur!BN155*VLOOKUP('Données projet'!$B$9,Paramètres!$A$1:$I$88,3,0)*0.475*44/12</f>
        <v>4.332786108523595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40.123505486848821</v>
      </c>
      <c r="BT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1" t="e">
        <f t="shared" si="119"/>
        <v>#N/A</v>
      </c>
      <c r="CD155" s="61" t="e">
        <f ca="1">AVERAGE(OFFSET($CC$3,0,0,'Données projet'!$E$12+1,1))-AVERAGE(OFFSET($H$3,0,0,'Données projet'!$E$12+1,1))</f>
        <v>#N/A</v>
      </c>
      <c r="CE155" s="61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1" t="e">
        <f t="shared" si="122"/>
        <v>#N/A</v>
      </c>
      <c r="CY155" s="61" t="e">
        <f ca="1">AVERAGE(OFFSET($CX$3,0,0,'Données projet'!$E$13+1,1))-AVERAGE(OFFSET($H$3,0,0,'Données projet'!$E$13+1,1))</f>
        <v>#N/A</v>
      </c>
      <c r="CZ155" s="61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1" t="e">
        <f t="shared" si="125"/>
        <v>#N/A</v>
      </c>
      <c r="DT155" s="61" t="e">
        <f ca="1">AVERAGE(OFFSET($DS$3,0,0,'Données projet'!$E$14+1,1))-AVERAGE(OFFSET($H$3,0,0,'Données projet'!$E$14+1,1))</f>
        <v>#N/A</v>
      </c>
      <c r="DU155" s="61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1" t="e">
        <f t="shared" si="128"/>
        <v>#N/A</v>
      </c>
      <c r="EO155" s="61" t="e">
        <f ca="1">AVERAGE(OFFSET($EN$3,0,0,'Données projet'!$E$15+1,1))-AVERAGE(OFFSET($H$3,0,0,'Données projet'!$E$15+1,1))</f>
        <v>#N/A</v>
      </c>
      <c r="EP155" s="61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1" t="e">
        <f t="shared" si="131"/>
        <v>#N/A</v>
      </c>
      <c r="FJ155" s="61" t="e">
        <f ca="1">AVERAGE(OFFSET($FI$3,0,0,'Données projet'!$E$16+1,1))-AVERAGE(OFFSET($H$3,0,0,'Données projet'!$E$16+1,1))</f>
        <v>#N/A</v>
      </c>
      <c r="FK155" s="61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1" t="e">
        <f t="shared" si="134"/>
        <v>#N/A</v>
      </c>
      <c r="GE155" s="61" t="e">
        <f ca="1">AVERAGE(OFFSET($GD$3,0,0,'Données projet'!$E$17+1,1))-AVERAGE(OFFSET($H$3,0,0,'Données projet'!$E$17+1,1))</f>
        <v>#N/A</v>
      </c>
      <c r="GF155" s="61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1" t="e">
        <f t="shared" si="137"/>
        <v>#N/A</v>
      </c>
      <c r="GZ155" s="61" t="e">
        <f ca="1">AVERAGE(OFFSET($GY$3,0,0,'Données projet'!$E$18+1,1))-AVERAGE(OFFSET($H$3,0,0,'Données projet'!$E$18+1,1))</f>
        <v>#N/A</v>
      </c>
      <c r="HA155" s="61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45">
      <c r="A156" s="11">
        <f t="shared" si="161"/>
        <v>153</v>
      </c>
      <c r="B156" s="76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9">
        <f t="shared" si="110"/>
        <v>183.33333333333334</v>
      </c>
      <c r="I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-3.4106051316484809E-13</v>
      </c>
      <c r="O156" s="14">
        <f>N156*VLOOKUP('Données projet'!$B$9,Paramètres!$A$1:$I$88,3,0)*VLOOKUP('Données projet'!$B$9,Paramètres!$A$1:$I$88,5,0)</f>
        <v>-2.0395418687257919E-13</v>
      </c>
      <c r="P156" s="14" t="e">
        <f t="shared" si="141"/>
        <v>#NUM!</v>
      </c>
      <c r="Q156" s="22" t="e">
        <f t="shared" si="162"/>
        <v>#NUM!</v>
      </c>
      <c r="R156" s="61" t="e">
        <f t="shared" si="109"/>
        <v>#NUM!</v>
      </c>
      <c r="S156" s="61">
        <f ca="1">AVERAGE(OFFSET($R$3,0,0,'Données projet'!$E$9+1,1))-AVERAGE(OFFSET($H$3,0,0,'Données projet'!$E$9+1,1))</f>
        <v>445.53168057836308</v>
      </c>
      <c r="T156" s="61">
        <f t="shared" si="142"/>
        <v>326.78684646135241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77.757190106201719</v>
      </c>
      <c r="AA156" s="23">
        <f>EXP(-LN(2)/25)*AA155+(1-EXP(-LN(2)/25))/(LN(2)/25)*Calculateur!V156*Calculateur!X156*VLOOKUP('Données projet'!$B$9,Paramètres!$A$1:$I$88,3,0)*0.475*44/12</f>
        <v>3.9020669587152654</v>
      </c>
      <c r="AB156" s="23">
        <f>EXP(-LN(2)/2)*AB155+(1-EXP(-LN(2)/2))/(LN(2)/2)*V156*Y156*VLOOKUP('Données projet'!$B$9,Paramètres!$A$1:$I$88,3,0)*0.475*44/12</f>
        <v>2.1599771281664744E-13</v>
      </c>
      <c r="AC156" s="24">
        <f t="shared" si="163"/>
        <v>81.659257064917199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-6.8212102632969618E-13</v>
      </c>
      <c r="AJ156" s="14">
        <f>AI156*VLOOKUP('Données projet'!$B$10,Paramètres!$A$1:$I$88,3,0)*VLOOKUP('Données projet'!$B$10,Paramètres!$A$1:$I$88,5,0)</f>
        <v>-3.1923264032229784E-13</v>
      </c>
      <c r="AK156" s="14" t="e">
        <f t="shared" si="164"/>
        <v>#NUM!</v>
      </c>
      <c r="AL156" s="22" t="e">
        <f t="shared" si="165"/>
        <v>#NUM!</v>
      </c>
      <c r="AM156" s="61" t="e">
        <f t="shared" si="113"/>
        <v>#NUM!</v>
      </c>
      <c r="AN156" s="61">
        <f ca="1">AVERAGE(OFFSET($AM$3,0,0,'Données projet'!$E$10+1,1))-AVERAGE(OFFSET($H$3,0,0,'Données projet'!$E$10+1,1))</f>
        <v>375.77859820466693</v>
      </c>
      <c r="AO156" s="61">
        <f t="shared" si="144"/>
        <v>242.84781402593856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124.49030606636572</v>
      </c>
      <c r="AV156" s="23">
        <f>EXP(-LN(2)/25)*AV155+(1-EXP(-LN(2)/25))/(LN(2)/25)*Calculateur!AQ156*Calculateur!AS156*VLOOKUP('Données projet'!$B$9,Paramètres!$A$1:$I$88,3,0)*0.475*44/12</f>
        <v>9.3879699799421896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133.87827604630792</v>
      </c>
      <c r="AY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5</v>
      </c>
      <c r="BD156" s="13">
        <f>IF('Données projet'!$A$88&gt;35,BD155+BC156-BL155,IF(A156&lt;'Données projet'!$A$88,$BA$205^A156,IF(A156='Données projet'!$A$88,'Données projet'!$B$88,BD155+BC156-BL155)))</f>
        <v>240.00000000000028</v>
      </c>
      <c r="BE156" s="14">
        <f>BD156*VLOOKUP('Données projet'!$B$11,Paramètres!$A$1:$I$88,3,0)*VLOOKUP('Données projet'!$B$11,Paramètres!$A$1:$I$88,5,0)</f>
        <v>243.36000000000033</v>
      </c>
      <c r="BF156" s="14">
        <f t="shared" si="167"/>
        <v>59.161864860837184</v>
      </c>
      <c r="BG156" s="22">
        <f t="shared" si="168"/>
        <v>526.89224796595863</v>
      </c>
      <c r="BH156" s="61">
        <f t="shared" si="116"/>
        <v>813.92489345545869</v>
      </c>
      <c r="BI156" s="61">
        <f ca="1">AVERAGE(OFFSET($BH$3,0,0,'Données projet'!$E$11+1,1))-AVERAGE(OFFSET($H$3,0,0,'Données projet'!$E$11+1,1))</f>
        <v>433.57989081194</v>
      </c>
      <c r="BJ156" s="61">
        <f t="shared" si="146"/>
        <v>182.52060621271355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35.088885201499536</v>
      </c>
      <c r="BQ156" s="23">
        <f>EXP(-LN(2)/25)*BQ155+(1-EXP(-LN(2)/25))/(LN(2)/25)*Calculateur!BL156*Calculateur!BN156*VLOOKUP('Données projet'!$B$9,Paramètres!$A$1:$I$88,3,0)*0.475*44/12</f>
        <v>4.2143058445346986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39.303191046034236</v>
      </c>
      <c r="BT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1" t="e">
        <f t="shared" si="119"/>
        <v>#N/A</v>
      </c>
      <c r="CD156" s="61" t="e">
        <f ca="1">AVERAGE(OFFSET($CC$3,0,0,'Données projet'!$E$12+1,1))-AVERAGE(OFFSET($H$3,0,0,'Données projet'!$E$12+1,1))</f>
        <v>#N/A</v>
      </c>
      <c r="CE156" s="61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1" t="e">
        <f t="shared" si="122"/>
        <v>#N/A</v>
      </c>
      <c r="CY156" s="61" t="e">
        <f ca="1">AVERAGE(OFFSET($CX$3,0,0,'Données projet'!$E$13+1,1))-AVERAGE(OFFSET($H$3,0,0,'Données projet'!$E$13+1,1))</f>
        <v>#N/A</v>
      </c>
      <c r="CZ156" s="61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1" t="e">
        <f t="shared" si="125"/>
        <v>#N/A</v>
      </c>
      <c r="DT156" s="61" t="e">
        <f ca="1">AVERAGE(OFFSET($DS$3,0,0,'Données projet'!$E$14+1,1))-AVERAGE(OFFSET($H$3,0,0,'Données projet'!$E$14+1,1))</f>
        <v>#N/A</v>
      </c>
      <c r="DU156" s="61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1" t="e">
        <f t="shared" si="128"/>
        <v>#N/A</v>
      </c>
      <c r="EO156" s="61" t="e">
        <f ca="1">AVERAGE(OFFSET($EN$3,0,0,'Données projet'!$E$15+1,1))-AVERAGE(OFFSET($H$3,0,0,'Données projet'!$E$15+1,1))</f>
        <v>#N/A</v>
      </c>
      <c r="EP156" s="61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1" t="e">
        <f t="shared" si="131"/>
        <v>#N/A</v>
      </c>
      <c r="FJ156" s="61" t="e">
        <f ca="1">AVERAGE(OFFSET($FI$3,0,0,'Données projet'!$E$16+1,1))-AVERAGE(OFFSET($H$3,0,0,'Données projet'!$E$16+1,1))</f>
        <v>#N/A</v>
      </c>
      <c r="FK156" s="61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1" t="e">
        <f t="shared" si="134"/>
        <v>#N/A</v>
      </c>
      <c r="GE156" s="61" t="e">
        <f ca="1">AVERAGE(OFFSET($GD$3,0,0,'Données projet'!$E$17+1,1))-AVERAGE(OFFSET($H$3,0,0,'Données projet'!$E$17+1,1))</f>
        <v>#N/A</v>
      </c>
      <c r="GF156" s="61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1" t="e">
        <f t="shared" si="137"/>
        <v>#N/A</v>
      </c>
      <c r="GZ156" s="61" t="e">
        <f ca="1">AVERAGE(OFFSET($GY$3,0,0,'Données projet'!$E$18+1,1))-AVERAGE(OFFSET($H$3,0,0,'Données projet'!$E$18+1,1))</f>
        <v>#N/A</v>
      </c>
      <c r="HA156" s="61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45">
      <c r="A157" s="11">
        <f t="shared" si="161"/>
        <v>154</v>
      </c>
      <c r="B157" s="76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9">
        <f t="shared" si="110"/>
        <v>183.33333333333334</v>
      </c>
      <c r="I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-3.4106051316484809E-13</v>
      </c>
      <c r="O157" s="14">
        <f>N157*VLOOKUP('Données projet'!$B$9,Paramètres!$A$1:$I$88,3,0)*VLOOKUP('Données projet'!$B$9,Paramètres!$A$1:$I$88,5,0)</f>
        <v>-2.0395418687257919E-13</v>
      </c>
      <c r="P157" s="14" t="e">
        <f t="shared" si="141"/>
        <v>#NUM!</v>
      </c>
      <c r="Q157" s="22" t="e">
        <f t="shared" si="162"/>
        <v>#NUM!</v>
      </c>
      <c r="R157" s="61" t="e">
        <f t="shared" si="109"/>
        <v>#NUM!</v>
      </c>
      <c r="S157" s="61">
        <f ca="1">AVERAGE(OFFSET($R$3,0,0,'Données projet'!$E$9+1,1))-AVERAGE(OFFSET($H$3,0,0,'Données projet'!$E$9+1,1))</f>
        <v>445.53168057836308</v>
      </c>
      <c r="T157" s="61">
        <f t="shared" si="142"/>
        <v>326.78684646135241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76.232419035422026</v>
      </c>
      <c r="AA157" s="23">
        <f>EXP(-LN(2)/25)*AA156+(1-EXP(-LN(2)/25))/(LN(2)/25)*Calculateur!V157*Calculateur!X157*VLOOKUP('Données projet'!$B$9,Paramètres!$A$1:$I$88,3,0)*0.475*44/12</f>
        <v>3.7953647325284132</v>
      </c>
      <c r="AB157" s="23">
        <f>EXP(-LN(2)/2)*AB156+(1-EXP(-LN(2)/2))/(LN(2)/2)*V157*Y157*VLOOKUP('Données projet'!$B$9,Paramètres!$A$1:$I$88,3,0)*0.475*44/12</f>
        <v>1.5273344745343585E-13</v>
      </c>
      <c r="AC157" s="24">
        <f t="shared" si="163"/>
        <v>80.027783767950595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-6.8212102632969618E-13</v>
      </c>
      <c r="AJ157" s="14">
        <f>AI157*VLOOKUP('Données projet'!$B$10,Paramètres!$A$1:$I$88,3,0)*VLOOKUP('Données projet'!$B$10,Paramètres!$A$1:$I$88,5,0)</f>
        <v>-3.1923264032229784E-13</v>
      </c>
      <c r="AK157" s="14" t="e">
        <f t="shared" si="164"/>
        <v>#NUM!</v>
      </c>
      <c r="AL157" s="22" t="e">
        <f t="shared" si="165"/>
        <v>#NUM!</v>
      </c>
      <c r="AM157" s="61" t="e">
        <f t="shared" si="113"/>
        <v>#NUM!</v>
      </c>
      <c r="AN157" s="61">
        <f ca="1">AVERAGE(OFFSET($AM$3,0,0,'Données projet'!$E$10+1,1))-AVERAGE(OFFSET($H$3,0,0,'Données projet'!$E$10+1,1))</f>
        <v>375.77859820466693</v>
      </c>
      <c r="AO157" s="61">
        <f t="shared" si="144"/>
        <v>242.84781402593856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122.04912709599337</v>
      </c>
      <c r="AV157" s="23">
        <f>EXP(-LN(2)/25)*AV156+(1-EXP(-LN(2)/25))/(LN(2)/25)*Calculateur!AQ157*Calculateur!AS157*VLOOKUP('Données projet'!$B$9,Paramètres!$A$1:$I$88,3,0)*0.475*44/12</f>
        <v>9.131255447148785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131.18038254314214</v>
      </c>
      <c r="AY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5</v>
      </c>
      <c r="BD157" s="13">
        <f>IF('Données projet'!$A$88&gt;35,BD156+BC157-BL156,IF(A157&lt;'Données projet'!$A$88,$BA$205^A157,IF(A157='Données projet'!$A$88,'Données projet'!$B$88,BD156+BC157-BL156)))</f>
        <v>245.00000000000028</v>
      </c>
      <c r="BE157" s="14">
        <f>BD157*VLOOKUP('Données projet'!$B$11,Paramètres!$A$1:$I$88,3,0)*VLOOKUP('Données projet'!$B$11,Paramètres!$A$1:$I$88,5,0)</f>
        <v>248.43000000000032</v>
      </c>
      <c r="BF157" s="14">
        <f t="shared" si="167"/>
        <v>60.249625816963132</v>
      </c>
      <c r="BG157" s="22">
        <f t="shared" si="168"/>
        <v>537.61701496454464</v>
      </c>
      <c r="BH157" s="61">
        <f t="shared" si="116"/>
        <v>824.75896330190744</v>
      </c>
      <c r="BI157" s="61">
        <f ca="1">AVERAGE(OFFSET($BH$3,0,0,'Données projet'!$E$11+1,1))-AVERAGE(OFFSET($H$3,0,0,'Données projet'!$E$11+1,1))</f>
        <v>433.57989081194</v>
      </c>
      <c r="BJ157" s="61">
        <f t="shared" si="146"/>
        <v>182.52060621271355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34.400813564804821</v>
      </c>
      <c r="BQ157" s="23">
        <f>EXP(-LN(2)/25)*BQ156+(1-EXP(-LN(2)/25))/(LN(2)/25)*Calculateur!BL157*Calculateur!BN157*VLOOKUP('Données projet'!$B$9,Paramètres!$A$1:$I$88,3,0)*0.475*44/12</f>
        <v>4.0990654295951847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38.499878994400007</v>
      </c>
      <c r="BT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1" t="e">
        <f t="shared" si="119"/>
        <v>#N/A</v>
      </c>
      <c r="CD157" s="61" t="e">
        <f ca="1">AVERAGE(OFFSET($CC$3,0,0,'Données projet'!$E$12+1,1))-AVERAGE(OFFSET($H$3,0,0,'Données projet'!$E$12+1,1))</f>
        <v>#N/A</v>
      </c>
      <c r="CE157" s="61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1" t="e">
        <f t="shared" si="122"/>
        <v>#N/A</v>
      </c>
      <c r="CY157" s="61" t="e">
        <f ca="1">AVERAGE(OFFSET($CX$3,0,0,'Données projet'!$E$13+1,1))-AVERAGE(OFFSET($H$3,0,0,'Données projet'!$E$13+1,1))</f>
        <v>#N/A</v>
      </c>
      <c r="CZ157" s="61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1" t="e">
        <f t="shared" si="125"/>
        <v>#N/A</v>
      </c>
      <c r="DT157" s="61" t="e">
        <f ca="1">AVERAGE(OFFSET($DS$3,0,0,'Données projet'!$E$14+1,1))-AVERAGE(OFFSET($H$3,0,0,'Données projet'!$E$14+1,1))</f>
        <v>#N/A</v>
      </c>
      <c r="DU157" s="61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1" t="e">
        <f t="shared" si="128"/>
        <v>#N/A</v>
      </c>
      <c r="EO157" s="61" t="e">
        <f ca="1">AVERAGE(OFFSET($EN$3,0,0,'Données projet'!$E$15+1,1))-AVERAGE(OFFSET($H$3,0,0,'Données projet'!$E$15+1,1))</f>
        <v>#N/A</v>
      </c>
      <c r="EP157" s="61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1" t="e">
        <f t="shared" si="131"/>
        <v>#N/A</v>
      </c>
      <c r="FJ157" s="61" t="e">
        <f ca="1">AVERAGE(OFFSET($FI$3,0,0,'Données projet'!$E$16+1,1))-AVERAGE(OFFSET($H$3,0,0,'Données projet'!$E$16+1,1))</f>
        <v>#N/A</v>
      </c>
      <c r="FK157" s="61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1" t="e">
        <f t="shared" si="134"/>
        <v>#N/A</v>
      </c>
      <c r="GE157" s="61" t="e">
        <f ca="1">AVERAGE(OFFSET($GD$3,0,0,'Données projet'!$E$17+1,1))-AVERAGE(OFFSET($H$3,0,0,'Données projet'!$E$17+1,1))</f>
        <v>#N/A</v>
      </c>
      <c r="GF157" s="61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1" t="e">
        <f t="shared" si="137"/>
        <v>#N/A</v>
      </c>
      <c r="GZ157" s="61" t="e">
        <f ca="1">AVERAGE(OFFSET($GY$3,0,0,'Données projet'!$E$18+1,1))-AVERAGE(OFFSET($H$3,0,0,'Données projet'!$E$18+1,1))</f>
        <v>#N/A</v>
      </c>
      <c r="HA157" s="61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45">
      <c r="A158" s="11">
        <f t="shared" si="161"/>
        <v>155</v>
      </c>
      <c r="B158" s="76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9">
        <f t="shared" si="110"/>
        <v>183.33333333333334</v>
      </c>
      <c r="I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-3.4106051316484809E-13</v>
      </c>
      <c r="O158" s="14">
        <f>N158*VLOOKUP('Données projet'!$B$9,Paramètres!$A$1:$I$88,3,0)*VLOOKUP('Données projet'!$B$9,Paramètres!$A$1:$I$88,5,0)</f>
        <v>-2.0395418687257919E-13</v>
      </c>
      <c r="P158" s="14" t="e">
        <f t="shared" si="141"/>
        <v>#NUM!</v>
      </c>
      <c r="Q158" s="22" t="e">
        <f t="shared" si="162"/>
        <v>#NUM!</v>
      </c>
      <c r="R158" s="61" t="e">
        <f t="shared" si="109"/>
        <v>#NUM!</v>
      </c>
      <c r="S158" s="61">
        <f ca="1">AVERAGE(OFFSET($R$3,0,0,'Données projet'!$E$9+1,1))-AVERAGE(OFFSET($H$3,0,0,'Données projet'!$E$9+1,1))</f>
        <v>445.53168057836308</v>
      </c>
      <c r="T158" s="61">
        <f t="shared" si="142"/>
        <v>326.78684646135241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74.737547795321802</v>
      </c>
      <c r="AA158" s="23">
        <f>EXP(-LN(2)/25)*AA157+(1-EXP(-LN(2)/25))/(LN(2)/25)*Calculateur!V158*Calculateur!X158*VLOOKUP('Données projet'!$B$9,Paramètres!$A$1:$I$88,3,0)*0.475*44/12</f>
        <v>3.6915802843278671</v>
      </c>
      <c r="AB158" s="23">
        <f>EXP(-LN(2)/2)*AB157+(1-EXP(-LN(2)/2))/(LN(2)/2)*V158*Y158*VLOOKUP('Données projet'!$B$9,Paramètres!$A$1:$I$88,3,0)*0.475*44/12</f>
        <v>1.0799885640832372E-13</v>
      </c>
      <c r="AC158" s="24">
        <f t="shared" si="163"/>
        <v>78.429128079649786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-6.8212102632969618E-13</v>
      </c>
      <c r="AJ158" s="14">
        <f>AI158*VLOOKUP('Données projet'!$B$10,Paramètres!$A$1:$I$88,3,0)*VLOOKUP('Données projet'!$B$10,Paramètres!$A$1:$I$88,5,0)</f>
        <v>-3.1923264032229784E-13</v>
      </c>
      <c r="AK158" s="14" t="e">
        <f t="shared" si="164"/>
        <v>#NUM!</v>
      </c>
      <c r="AL158" s="22" t="e">
        <f t="shared" si="165"/>
        <v>#NUM!</v>
      </c>
      <c r="AM158" s="61" t="e">
        <f t="shared" si="113"/>
        <v>#NUM!</v>
      </c>
      <c r="AN158" s="61">
        <f ca="1">AVERAGE(OFFSET($AM$3,0,0,'Données projet'!$E$10+1,1))-AVERAGE(OFFSET($H$3,0,0,'Données projet'!$E$10+1,1))</f>
        <v>375.77859820466693</v>
      </c>
      <c r="AO158" s="61">
        <f t="shared" si="144"/>
        <v>242.84781402593856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119.65581815625787</v>
      </c>
      <c r="AV158" s="23">
        <f>EXP(-LN(2)/25)*AV157+(1-EXP(-LN(2)/25))/(LN(2)/25)*Calculateur!AQ158*Calculateur!AS158*VLOOKUP('Données projet'!$B$9,Paramètres!$A$1:$I$88,3,0)*0.475*44/12</f>
        <v>8.8815607867546476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128.53737894301253</v>
      </c>
      <c r="AY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5</v>
      </c>
      <c r="BD158" s="13">
        <f>IF('Données projet'!$A$88&gt;35,BD157+BC158-BL157,IF(A158&lt;'Données projet'!$A$88,$BA$205^A158,IF(A158='Données projet'!$A$88,'Données projet'!$B$88,BD157+BC158-BL157)))</f>
        <v>250.00000000000028</v>
      </c>
      <c r="BE158" s="14">
        <f>BD158*VLOOKUP('Données projet'!$B$11,Paramètres!$A$1:$I$88,3,0)*VLOOKUP('Données projet'!$B$11,Paramètres!$A$1:$I$88,5,0)</f>
        <v>253.50000000000031</v>
      </c>
      <c r="BF158" s="14">
        <f t="shared" si="167"/>
        <v>61.334805663162605</v>
      </c>
      <c r="BG158" s="22">
        <f t="shared" si="168"/>
        <v>548.33728653000878</v>
      </c>
      <c r="BH158" s="61">
        <f t="shared" si="116"/>
        <v>835.58664155518841</v>
      </c>
      <c r="BI158" s="61">
        <f ca="1">AVERAGE(OFFSET($BH$3,0,0,'Données projet'!$E$11+1,1))-AVERAGE(OFFSET($H$3,0,0,'Données projet'!$E$11+1,1))</f>
        <v>433.57989081194</v>
      </c>
      <c r="BJ158" s="61">
        <f t="shared" si="146"/>
        <v>182.52060621271355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33.726234593223431</v>
      </c>
      <c r="BQ158" s="23">
        <f>EXP(-LN(2)/25)*BQ157+(1-EXP(-LN(2)/25))/(LN(2)/25)*Calculateur!BL158*Calculateur!BN158*VLOOKUP('Données projet'!$B$9,Paramètres!$A$1:$I$88,3,0)*0.475*44/12</f>
        <v>3.986976269862422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37.713210863085855</v>
      </c>
      <c r="BT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1" t="e">
        <f t="shared" si="119"/>
        <v>#N/A</v>
      </c>
      <c r="CD158" s="61" t="e">
        <f ca="1">AVERAGE(OFFSET($CC$3,0,0,'Données projet'!$E$12+1,1))-AVERAGE(OFFSET($H$3,0,0,'Données projet'!$E$12+1,1))</f>
        <v>#N/A</v>
      </c>
      <c r="CE158" s="61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1" t="e">
        <f t="shared" si="122"/>
        <v>#N/A</v>
      </c>
      <c r="CY158" s="61" t="e">
        <f ca="1">AVERAGE(OFFSET($CX$3,0,0,'Données projet'!$E$13+1,1))-AVERAGE(OFFSET($H$3,0,0,'Données projet'!$E$13+1,1))</f>
        <v>#N/A</v>
      </c>
      <c r="CZ158" s="61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1" t="e">
        <f t="shared" si="125"/>
        <v>#N/A</v>
      </c>
      <c r="DT158" s="61" t="e">
        <f ca="1">AVERAGE(OFFSET($DS$3,0,0,'Données projet'!$E$14+1,1))-AVERAGE(OFFSET($H$3,0,0,'Données projet'!$E$14+1,1))</f>
        <v>#N/A</v>
      </c>
      <c r="DU158" s="61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1" t="e">
        <f t="shared" si="128"/>
        <v>#N/A</v>
      </c>
      <c r="EO158" s="61" t="e">
        <f ca="1">AVERAGE(OFFSET($EN$3,0,0,'Données projet'!$E$15+1,1))-AVERAGE(OFFSET($H$3,0,0,'Données projet'!$E$15+1,1))</f>
        <v>#N/A</v>
      </c>
      <c r="EP158" s="61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1" t="e">
        <f t="shared" si="131"/>
        <v>#N/A</v>
      </c>
      <c r="FJ158" s="61" t="e">
        <f ca="1">AVERAGE(OFFSET($FI$3,0,0,'Données projet'!$E$16+1,1))-AVERAGE(OFFSET($H$3,0,0,'Données projet'!$E$16+1,1))</f>
        <v>#N/A</v>
      </c>
      <c r="FK158" s="61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1" t="e">
        <f t="shared" si="134"/>
        <v>#N/A</v>
      </c>
      <c r="GE158" s="61" t="e">
        <f ca="1">AVERAGE(OFFSET($GD$3,0,0,'Données projet'!$E$17+1,1))-AVERAGE(OFFSET($H$3,0,0,'Données projet'!$E$17+1,1))</f>
        <v>#N/A</v>
      </c>
      <c r="GF158" s="61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1" t="e">
        <f t="shared" si="137"/>
        <v>#N/A</v>
      </c>
      <c r="GZ158" s="61" t="e">
        <f ca="1">AVERAGE(OFFSET($GY$3,0,0,'Données projet'!$E$18+1,1))-AVERAGE(OFFSET($H$3,0,0,'Données projet'!$E$18+1,1))</f>
        <v>#N/A</v>
      </c>
      <c r="HA158" s="61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45">
      <c r="A159" s="11">
        <f t="shared" si="161"/>
        <v>156</v>
      </c>
      <c r="B159" s="76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9">
        <f t="shared" si="110"/>
        <v>183.33333333333334</v>
      </c>
      <c r="I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-3.4106051316484809E-13</v>
      </c>
      <c r="O159" s="14">
        <f>N159*VLOOKUP('Données projet'!$B$9,Paramètres!$A$1:$I$88,3,0)*VLOOKUP('Données projet'!$B$9,Paramètres!$A$1:$I$88,5,0)</f>
        <v>-2.0395418687257919E-13</v>
      </c>
      <c r="P159" s="14" t="e">
        <f t="shared" si="141"/>
        <v>#NUM!</v>
      </c>
      <c r="Q159" s="22" t="e">
        <f t="shared" si="162"/>
        <v>#NUM!</v>
      </c>
      <c r="R159" s="61" t="e">
        <f t="shared" si="109"/>
        <v>#NUM!</v>
      </c>
      <c r="S159" s="61">
        <f ca="1">AVERAGE(OFFSET($R$3,0,0,'Données projet'!$E$9+1,1))-AVERAGE(OFFSET($H$3,0,0,'Données projet'!$E$9+1,1))</f>
        <v>445.53168057836308</v>
      </c>
      <c r="T159" s="61">
        <f t="shared" si="142"/>
        <v>326.78684646135241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73.271990068458507</v>
      </c>
      <c r="AA159" s="23">
        <f>EXP(-LN(2)/25)*AA158+(1-EXP(-LN(2)/25))/(LN(2)/25)*Calculateur!V159*Calculateur!X159*VLOOKUP('Données projet'!$B$9,Paramètres!$A$1:$I$88,3,0)*0.475*44/12</f>
        <v>3.5906338273211515</v>
      </c>
      <c r="AB159" s="23">
        <f>EXP(-LN(2)/2)*AB158+(1-EXP(-LN(2)/2))/(LN(2)/2)*V159*Y159*VLOOKUP('Données projet'!$B$9,Paramètres!$A$1:$I$88,3,0)*0.475*44/12</f>
        <v>7.6366723726717924E-14</v>
      </c>
      <c r="AC159" s="24">
        <f t="shared" si="163"/>
        <v>76.862623895779734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-6.8212102632969618E-13</v>
      </c>
      <c r="AJ159" s="14">
        <f>AI159*VLOOKUP('Données projet'!$B$10,Paramètres!$A$1:$I$88,3,0)*VLOOKUP('Données projet'!$B$10,Paramètres!$A$1:$I$88,5,0)</f>
        <v>-3.1923264032229784E-13</v>
      </c>
      <c r="AK159" s="14" t="e">
        <f t="shared" si="164"/>
        <v>#NUM!</v>
      </c>
      <c r="AL159" s="22" t="e">
        <f t="shared" si="165"/>
        <v>#NUM!</v>
      </c>
      <c r="AM159" s="61" t="e">
        <f t="shared" si="113"/>
        <v>#NUM!</v>
      </c>
      <c r="AN159" s="61">
        <f ca="1">AVERAGE(OFFSET($AM$3,0,0,'Données projet'!$E$10+1,1))-AVERAGE(OFFSET($H$3,0,0,'Données projet'!$E$10+1,1))</f>
        <v>375.77859820466693</v>
      </c>
      <c r="AO159" s="61">
        <f t="shared" si="144"/>
        <v>242.84781402593856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117.30944054505626</v>
      </c>
      <c r="AV159" s="23">
        <f>EXP(-LN(2)/25)*AV158+(1-EXP(-LN(2)/25))/(LN(2)/25)*Calculateur!AQ159*Calculateur!AS159*VLOOKUP('Données projet'!$B$9,Paramètres!$A$1:$I$88,3,0)*0.475*44/12</f>
        <v>8.6386940399798586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125.94813458503612</v>
      </c>
      <c r="AY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5</v>
      </c>
      <c r="BD159" s="13">
        <f>IF('Données projet'!$A$88&gt;35,BD158+BC159-BL158,IF(A159&lt;'Données projet'!$A$88,$BA$205^A159,IF(A159='Données projet'!$A$88,'Données projet'!$B$88,BD158+BC159-BL158)))</f>
        <v>255.00000000000028</v>
      </c>
      <c r="BE159" s="14">
        <f>BD159*VLOOKUP('Données projet'!$B$11,Paramètres!$A$1:$I$88,3,0)*VLOOKUP('Données projet'!$B$11,Paramètres!$A$1:$I$88,5,0)</f>
        <v>258.57000000000033</v>
      </c>
      <c r="BF159" s="14">
        <f t="shared" si="167"/>
        <v>62.41746197117395</v>
      </c>
      <c r="BG159" s="22">
        <f t="shared" si="168"/>
        <v>559.05316293312865</v>
      </c>
      <c r="BH159" s="61">
        <f t="shared" si="116"/>
        <v>846.40806138021696</v>
      </c>
      <c r="BI159" s="61">
        <f ca="1">AVERAGE(OFFSET($BH$3,0,0,'Données projet'!$E$11+1,1))-AVERAGE(OFFSET($H$3,0,0,'Données projet'!$E$11+1,1))</f>
        <v>433.57989081194</v>
      </c>
      <c r="BJ159" s="61">
        <f t="shared" si="146"/>
        <v>182.52060621271355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33.064883703822204</v>
      </c>
      <c r="BQ159" s="23">
        <f>EXP(-LN(2)/25)*BQ158+(1-EXP(-LN(2)/25))/(LN(2)/25)*Calculateur!BL159*Calculateur!BN159*VLOOKUP('Données projet'!$B$9,Paramètres!$A$1:$I$88,3,0)*0.475*44/12</f>
        <v>3.8779521940970643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36.942835897919267</v>
      </c>
      <c r="BT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1" t="e">
        <f t="shared" si="119"/>
        <v>#N/A</v>
      </c>
      <c r="CD159" s="61" t="e">
        <f ca="1">AVERAGE(OFFSET($CC$3,0,0,'Données projet'!$E$12+1,1))-AVERAGE(OFFSET($H$3,0,0,'Données projet'!$E$12+1,1))</f>
        <v>#N/A</v>
      </c>
      <c r="CE159" s="61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1" t="e">
        <f t="shared" si="122"/>
        <v>#N/A</v>
      </c>
      <c r="CY159" s="61" t="e">
        <f ca="1">AVERAGE(OFFSET($CX$3,0,0,'Données projet'!$E$13+1,1))-AVERAGE(OFFSET($H$3,0,0,'Données projet'!$E$13+1,1))</f>
        <v>#N/A</v>
      </c>
      <c r="CZ159" s="61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1" t="e">
        <f t="shared" si="125"/>
        <v>#N/A</v>
      </c>
      <c r="DT159" s="61" t="e">
        <f ca="1">AVERAGE(OFFSET($DS$3,0,0,'Données projet'!$E$14+1,1))-AVERAGE(OFFSET($H$3,0,0,'Données projet'!$E$14+1,1))</f>
        <v>#N/A</v>
      </c>
      <c r="DU159" s="61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1" t="e">
        <f t="shared" si="128"/>
        <v>#N/A</v>
      </c>
      <c r="EO159" s="61" t="e">
        <f ca="1">AVERAGE(OFFSET($EN$3,0,0,'Données projet'!$E$15+1,1))-AVERAGE(OFFSET($H$3,0,0,'Données projet'!$E$15+1,1))</f>
        <v>#N/A</v>
      </c>
      <c r="EP159" s="61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1" t="e">
        <f t="shared" si="131"/>
        <v>#N/A</v>
      </c>
      <c r="FJ159" s="61" t="e">
        <f ca="1">AVERAGE(OFFSET($FI$3,0,0,'Données projet'!$E$16+1,1))-AVERAGE(OFFSET($H$3,0,0,'Données projet'!$E$16+1,1))</f>
        <v>#N/A</v>
      </c>
      <c r="FK159" s="61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1" t="e">
        <f t="shared" si="134"/>
        <v>#N/A</v>
      </c>
      <c r="GE159" s="61" t="e">
        <f ca="1">AVERAGE(OFFSET($GD$3,0,0,'Données projet'!$E$17+1,1))-AVERAGE(OFFSET($H$3,0,0,'Données projet'!$E$17+1,1))</f>
        <v>#N/A</v>
      </c>
      <c r="GF159" s="61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1" t="e">
        <f t="shared" si="137"/>
        <v>#N/A</v>
      </c>
      <c r="GZ159" s="61" t="e">
        <f ca="1">AVERAGE(OFFSET($GY$3,0,0,'Données projet'!$E$18+1,1))-AVERAGE(OFFSET($H$3,0,0,'Données projet'!$E$18+1,1))</f>
        <v>#N/A</v>
      </c>
      <c r="HA159" s="61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45">
      <c r="A160" s="11">
        <f t="shared" si="161"/>
        <v>157</v>
      </c>
      <c r="B160" s="76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9">
        <f t="shared" si="110"/>
        <v>183.33333333333334</v>
      </c>
      <c r="I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-3.4106051316484809E-13</v>
      </c>
      <c r="O160" s="14">
        <f>N160*VLOOKUP('Données projet'!$B$9,Paramètres!$A$1:$I$88,3,0)*VLOOKUP('Données projet'!$B$9,Paramètres!$A$1:$I$88,5,0)</f>
        <v>-2.0395418687257919E-13</v>
      </c>
      <c r="P160" s="14" t="e">
        <f t="shared" si="141"/>
        <v>#NUM!</v>
      </c>
      <c r="Q160" s="22" t="e">
        <f t="shared" si="162"/>
        <v>#NUM!</v>
      </c>
      <c r="R160" s="61" t="e">
        <f t="shared" si="109"/>
        <v>#NUM!</v>
      </c>
      <c r="S160" s="61">
        <f ca="1">AVERAGE(OFFSET($R$3,0,0,'Données projet'!$E$9+1,1))-AVERAGE(OFFSET($H$3,0,0,'Données projet'!$E$9+1,1))</f>
        <v>445.53168057836308</v>
      </c>
      <c r="T160" s="61">
        <f t="shared" si="142"/>
        <v>326.78684646135241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71.835171034717064</v>
      </c>
      <c r="AA160" s="23">
        <f>EXP(-LN(2)/25)*AA159+(1-EXP(-LN(2)/25))/(LN(2)/25)*Calculateur!V160*Calculateur!X160*VLOOKUP('Données projet'!$B$9,Paramètres!$A$1:$I$88,3,0)*0.475*44/12</f>
        <v>3.492447756489828</v>
      </c>
      <c r="AB160" s="23">
        <f>EXP(-LN(2)/2)*AB159+(1-EXP(-LN(2)/2))/(LN(2)/2)*V160*Y160*VLOOKUP('Données projet'!$B$9,Paramètres!$A$1:$I$88,3,0)*0.475*44/12</f>
        <v>5.3999428204161859E-14</v>
      </c>
      <c r="AC160" s="24">
        <f t="shared" si="163"/>
        <v>75.327618791206945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-6.8212102632969618E-13</v>
      </c>
      <c r="AJ160" s="14">
        <f>AI160*VLOOKUP('Données projet'!$B$10,Paramètres!$A$1:$I$88,3,0)*VLOOKUP('Données projet'!$B$10,Paramètres!$A$1:$I$88,5,0)</f>
        <v>-3.1923264032229784E-13</v>
      </c>
      <c r="AK160" s="14" t="e">
        <f t="shared" si="164"/>
        <v>#NUM!</v>
      </c>
      <c r="AL160" s="22" t="e">
        <f t="shared" si="165"/>
        <v>#NUM!</v>
      </c>
      <c r="AM160" s="61" t="e">
        <f t="shared" si="113"/>
        <v>#NUM!</v>
      </c>
      <c r="AN160" s="61">
        <f ca="1">AVERAGE(OFFSET($AM$3,0,0,'Données projet'!$E$10+1,1))-AVERAGE(OFFSET($H$3,0,0,'Données projet'!$E$10+1,1))</f>
        <v>375.77859820466693</v>
      </c>
      <c r="AO160" s="61">
        <f t="shared" si="144"/>
        <v>242.84781402593856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115.00907396766129</v>
      </c>
      <c r="AV160" s="23">
        <f>EXP(-LN(2)/25)*AV159+(1-EXP(-LN(2)/25))/(LN(2)/25)*Calculateur!AQ160*Calculateur!AS160*VLOOKUP('Données projet'!$B$9,Paramètres!$A$1:$I$88,3,0)*0.475*44/12</f>
        <v>8.4024684971674333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123.41154246482873</v>
      </c>
      <c r="AY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5</v>
      </c>
      <c r="BD160" s="13">
        <f>IF('Données projet'!$A$88&gt;35,BD159+BC160-BL159,IF(A160&lt;'Données projet'!$A$88,$BA$205^A160,IF(A160='Données projet'!$A$88,'Données projet'!$B$88,BD159+BC160-BL159)))</f>
        <v>260.00000000000028</v>
      </c>
      <c r="BE160" s="14">
        <f>BD160*VLOOKUP('Données projet'!$B$11,Paramètres!$A$1:$I$88,3,0)*VLOOKUP('Données projet'!$B$11,Paramètres!$A$1:$I$88,5,0)</f>
        <v>263.64000000000033</v>
      </c>
      <c r="BF160" s="14">
        <f t="shared" si="167"/>
        <v>63.497649925886869</v>
      </c>
      <c r="BG160" s="22">
        <f t="shared" si="168"/>
        <v>569.76474028758696</v>
      </c>
      <c r="BH160" s="61">
        <f t="shared" si="116"/>
        <v>857.22335121417359</v>
      </c>
      <c r="BI160" s="61">
        <f ca="1">AVERAGE(OFFSET($BH$3,0,0,'Données projet'!$E$11+1,1))-AVERAGE(OFFSET($H$3,0,0,'Données projet'!$E$11+1,1))</f>
        <v>433.57989081194</v>
      </c>
      <c r="BJ160" s="61">
        <f t="shared" si="146"/>
        <v>182.52060621271355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32.416501501977926</v>
      </c>
      <c r="BQ160" s="23">
        <f>EXP(-LN(2)/25)*BQ159+(1-EXP(-LN(2)/25))/(LN(2)/25)*Calculateur!BL160*Calculateur!BN160*VLOOKUP('Données projet'!$B$9,Paramètres!$A$1:$I$88,3,0)*0.475*44/12</f>
        <v>3.7719093874168372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36.18841088939476</v>
      </c>
      <c r="BT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1" t="e">
        <f t="shared" si="119"/>
        <v>#N/A</v>
      </c>
      <c r="CD160" s="61" t="e">
        <f ca="1">AVERAGE(OFFSET($CC$3,0,0,'Données projet'!$E$12+1,1))-AVERAGE(OFFSET($H$3,0,0,'Données projet'!$E$12+1,1))</f>
        <v>#N/A</v>
      </c>
      <c r="CE160" s="61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1" t="e">
        <f t="shared" si="122"/>
        <v>#N/A</v>
      </c>
      <c r="CY160" s="61" t="e">
        <f ca="1">AVERAGE(OFFSET($CX$3,0,0,'Données projet'!$E$13+1,1))-AVERAGE(OFFSET($H$3,0,0,'Données projet'!$E$13+1,1))</f>
        <v>#N/A</v>
      </c>
      <c r="CZ160" s="61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1" t="e">
        <f t="shared" si="125"/>
        <v>#N/A</v>
      </c>
      <c r="DT160" s="61" t="e">
        <f ca="1">AVERAGE(OFFSET($DS$3,0,0,'Données projet'!$E$14+1,1))-AVERAGE(OFFSET($H$3,0,0,'Données projet'!$E$14+1,1))</f>
        <v>#N/A</v>
      </c>
      <c r="DU160" s="61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1" t="e">
        <f t="shared" si="128"/>
        <v>#N/A</v>
      </c>
      <c r="EO160" s="61" t="e">
        <f ca="1">AVERAGE(OFFSET($EN$3,0,0,'Données projet'!$E$15+1,1))-AVERAGE(OFFSET($H$3,0,0,'Données projet'!$E$15+1,1))</f>
        <v>#N/A</v>
      </c>
      <c r="EP160" s="61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1" t="e">
        <f t="shared" si="131"/>
        <v>#N/A</v>
      </c>
      <c r="FJ160" s="61" t="e">
        <f ca="1">AVERAGE(OFFSET($FI$3,0,0,'Données projet'!$E$16+1,1))-AVERAGE(OFFSET($H$3,0,0,'Données projet'!$E$16+1,1))</f>
        <v>#N/A</v>
      </c>
      <c r="FK160" s="61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1" t="e">
        <f t="shared" si="134"/>
        <v>#N/A</v>
      </c>
      <c r="GE160" s="61" t="e">
        <f ca="1">AVERAGE(OFFSET($GD$3,0,0,'Données projet'!$E$17+1,1))-AVERAGE(OFFSET($H$3,0,0,'Données projet'!$E$17+1,1))</f>
        <v>#N/A</v>
      </c>
      <c r="GF160" s="61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1" t="e">
        <f t="shared" si="137"/>
        <v>#N/A</v>
      </c>
      <c r="GZ160" s="61" t="e">
        <f ca="1">AVERAGE(OFFSET($GY$3,0,0,'Données projet'!$E$18+1,1))-AVERAGE(OFFSET($H$3,0,0,'Données projet'!$E$18+1,1))</f>
        <v>#N/A</v>
      </c>
      <c r="HA160" s="61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45">
      <c r="A161" s="11">
        <f t="shared" si="161"/>
        <v>158</v>
      </c>
      <c r="B161" s="76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9">
        <f t="shared" si="110"/>
        <v>183.33333333333334</v>
      </c>
      <c r="I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-3.4106051316484809E-13</v>
      </c>
      <c r="O161" s="14">
        <f>N161*VLOOKUP('Données projet'!$B$9,Paramètres!$A$1:$I$88,3,0)*VLOOKUP('Données projet'!$B$9,Paramètres!$A$1:$I$88,5,0)</f>
        <v>-2.0395418687257919E-13</v>
      </c>
      <c r="P161" s="14" t="e">
        <f t="shared" si="141"/>
        <v>#NUM!</v>
      </c>
      <c r="Q161" s="22" t="e">
        <f t="shared" si="162"/>
        <v>#NUM!</v>
      </c>
      <c r="R161" s="61" t="e">
        <f t="shared" si="109"/>
        <v>#NUM!</v>
      </c>
      <c r="S161" s="61">
        <f ca="1">AVERAGE(OFFSET($R$3,0,0,'Données projet'!$E$9+1,1))-AVERAGE(OFFSET($H$3,0,0,'Données projet'!$E$9+1,1))</f>
        <v>445.53168057836308</v>
      </c>
      <c r="T161" s="61">
        <f t="shared" si="142"/>
        <v>326.78684646135241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70.426527145854209</v>
      </c>
      <c r="AA161" s="23">
        <f>EXP(-LN(2)/25)*AA160+(1-EXP(-LN(2)/25))/(LN(2)/25)*Calculateur!V161*Calculateur!X161*VLOOKUP('Données projet'!$B$9,Paramètres!$A$1:$I$88,3,0)*0.475*44/12</f>
        <v>3.3969465889287682</v>
      </c>
      <c r="AB161" s="23">
        <f>EXP(-LN(2)/2)*AB160+(1-EXP(-LN(2)/2))/(LN(2)/2)*V161*Y161*VLOOKUP('Données projet'!$B$9,Paramètres!$A$1:$I$88,3,0)*0.475*44/12</f>
        <v>3.8183361863358962E-14</v>
      </c>
      <c r="AC161" s="24">
        <f t="shared" si="163"/>
        <v>73.823473734783022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-6.8212102632969618E-13</v>
      </c>
      <c r="AJ161" s="14">
        <f>AI161*VLOOKUP('Données projet'!$B$10,Paramètres!$A$1:$I$88,3,0)*VLOOKUP('Données projet'!$B$10,Paramètres!$A$1:$I$88,5,0)</f>
        <v>-3.1923264032229784E-13</v>
      </c>
      <c r="AK161" s="14" t="e">
        <f t="shared" si="164"/>
        <v>#NUM!</v>
      </c>
      <c r="AL161" s="22" t="e">
        <f t="shared" si="165"/>
        <v>#NUM!</v>
      </c>
      <c r="AM161" s="61" t="e">
        <f t="shared" si="113"/>
        <v>#NUM!</v>
      </c>
      <c r="AN161" s="61">
        <f ca="1">AVERAGE(OFFSET($AM$3,0,0,'Données projet'!$E$10+1,1))-AVERAGE(OFFSET($H$3,0,0,'Données projet'!$E$10+1,1))</f>
        <v>375.77859820466693</v>
      </c>
      <c r="AO161" s="61">
        <f t="shared" si="144"/>
        <v>242.84781402593856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112.75381617576397</v>
      </c>
      <c r="AV161" s="23">
        <f>EXP(-LN(2)/25)*AV160+(1-EXP(-LN(2)/25))/(LN(2)/25)*Calculateur!AQ161*Calculateur!AS161*VLOOKUP('Données projet'!$B$9,Paramètres!$A$1:$I$88,3,0)*0.475*44/12</f>
        <v>8.1727025542457756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120.92651873000975</v>
      </c>
      <c r="AY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5</v>
      </c>
      <c r="BD161" s="13">
        <f>IF('Données projet'!$A$88&gt;35,BD160+BC161-BL160,IF(A161&lt;'Données projet'!$A$88,$BA$205^A161,IF(A161='Données projet'!$A$88,'Données projet'!$B$88,BD160+BC161-BL160)))</f>
        <v>265.00000000000028</v>
      </c>
      <c r="BE161" s="14">
        <f>BD161*VLOOKUP('Données projet'!$B$11,Paramètres!$A$1:$I$88,3,0)*VLOOKUP('Données projet'!$B$11,Paramètres!$A$1:$I$88,5,0)</f>
        <v>268.71000000000032</v>
      </c>
      <c r="BF161" s="14">
        <f t="shared" si="167"/>
        <v>64.575422468263369</v>
      </c>
      <c r="BG161" s="22">
        <f t="shared" si="168"/>
        <v>580.47211079889257</v>
      </c>
      <c r="BH161" s="61">
        <f t="shared" si="116"/>
        <v>868.03263502532457</v>
      </c>
      <c r="BI161" s="61">
        <f ca="1">AVERAGE(OFFSET($BH$3,0,0,'Données projet'!$E$11+1,1))-AVERAGE(OFFSET($H$3,0,0,'Données projet'!$E$11+1,1))</f>
        <v>433.57989081194</v>
      </c>
      <c r="BJ161" s="61">
        <f t="shared" si="146"/>
        <v>182.52060621271355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31.78083367963772</v>
      </c>
      <c r="BQ161" s="23">
        <f>EXP(-LN(2)/25)*BQ160+(1-EXP(-LN(2)/25))/(LN(2)/25)*Calculateur!BL161*Calculateur!BN161*VLOOKUP('Données projet'!$B$9,Paramètres!$A$1:$I$88,3,0)*0.475*44/12</f>
        <v>3.6687663268618298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35.449600006499551</v>
      </c>
      <c r="BT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1" t="e">
        <f t="shared" si="119"/>
        <v>#N/A</v>
      </c>
      <c r="CD161" s="61" t="e">
        <f ca="1">AVERAGE(OFFSET($CC$3,0,0,'Données projet'!$E$12+1,1))-AVERAGE(OFFSET($H$3,0,0,'Données projet'!$E$12+1,1))</f>
        <v>#N/A</v>
      </c>
      <c r="CE161" s="61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1" t="e">
        <f t="shared" si="122"/>
        <v>#N/A</v>
      </c>
      <c r="CY161" s="61" t="e">
        <f ca="1">AVERAGE(OFFSET($CX$3,0,0,'Données projet'!$E$13+1,1))-AVERAGE(OFFSET($H$3,0,0,'Données projet'!$E$13+1,1))</f>
        <v>#N/A</v>
      </c>
      <c r="CZ161" s="61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1" t="e">
        <f t="shared" si="125"/>
        <v>#N/A</v>
      </c>
      <c r="DT161" s="61" t="e">
        <f ca="1">AVERAGE(OFFSET($DS$3,0,0,'Données projet'!$E$14+1,1))-AVERAGE(OFFSET($H$3,0,0,'Données projet'!$E$14+1,1))</f>
        <v>#N/A</v>
      </c>
      <c r="DU161" s="61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1" t="e">
        <f t="shared" si="128"/>
        <v>#N/A</v>
      </c>
      <c r="EO161" s="61" t="e">
        <f ca="1">AVERAGE(OFFSET($EN$3,0,0,'Données projet'!$E$15+1,1))-AVERAGE(OFFSET($H$3,0,0,'Données projet'!$E$15+1,1))</f>
        <v>#N/A</v>
      </c>
      <c r="EP161" s="61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1" t="e">
        <f t="shared" si="131"/>
        <v>#N/A</v>
      </c>
      <c r="FJ161" s="61" t="e">
        <f ca="1">AVERAGE(OFFSET($FI$3,0,0,'Données projet'!$E$16+1,1))-AVERAGE(OFFSET($H$3,0,0,'Données projet'!$E$16+1,1))</f>
        <v>#N/A</v>
      </c>
      <c r="FK161" s="61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1" t="e">
        <f t="shared" si="134"/>
        <v>#N/A</v>
      </c>
      <c r="GE161" s="61" t="e">
        <f ca="1">AVERAGE(OFFSET($GD$3,0,0,'Données projet'!$E$17+1,1))-AVERAGE(OFFSET($H$3,0,0,'Données projet'!$E$17+1,1))</f>
        <v>#N/A</v>
      </c>
      <c r="GF161" s="61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1" t="e">
        <f t="shared" si="137"/>
        <v>#N/A</v>
      </c>
      <c r="GZ161" s="61" t="e">
        <f ca="1">AVERAGE(OFFSET($GY$3,0,0,'Données projet'!$E$18+1,1))-AVERAGE(OFFSET($H$3,0,0,'Données projet'!$E$18+1,1))</f>
        <v>#N/A</v>
      </c>
      <c r="HA161" s="61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45">
      <c r="A162" s="11">
        <f t="shared" si="161"/>
        <v>159</v>
      </c>
      <c r="B162" s="76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9">
        <f t="shared" si="110"/>
        <v>183.33333333333334</v>
      </c>
      <c r="I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-3.4106051316484809E-13</v>
      </c>
      <c r="O162" s="14">
        <f>N162*VLOOKUP('Données projet'!$B$9,Paramètres!$A$1:$I$88,3,0)*VLOOKUP('Données projet'!$B$9,Paramètres!$A$1:$I$88,5,0)</f>
        <v>-2.0395418687257919E-13</v>
      </c>
      <c r="P162" s="14" t="e">
        <f t="shared" si="141"/>
        <v>#NUM!</v>
      </c>
      <c r="Q162" s="22" t="e">
        <f t="shared" si="162"/>
        <v>#NUM!</v>
      </c>
      <c r="R162" s="61" t="e">
        <f t="shared" si="109"/>
        <v>#NUM!</v>
      </c>
      <c r="S162" s="61">
        <f ca="1">AVERAGE(OFFSET($R$3,0,0,'Données projet'!$E$9+1,1))-AVERAGE(OFFSET($H$3,0,0,'Données projet'!$E$9+1,1))</f>
        <v>445.53168057836308</v>
      </c>
      <c r="T162" s="61">
        <f t="shared" si="142"/>
        <v>326.78684646135241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69.045505904464022</v>
      </c>
      <c r="AA162" s="23">
        <f>EXP(-LN(2)/25)*AA161+(1-EXP(-LN(2)/25))/(LN(2)/25)*Calculateur!V162*Calculateur!X162*VLOOKUP('Données projet'!$B$9,Paramètres!$A$1:$I$88,3,0)*0.475*44/12</f>
        <v>3.3040569058168536</v>
      </c>
      <c r="AB162" s="23">
        <f>EXP(-LN(2)/2)*AB161+(1-EXP(-LN(2)/2))/(LN(2)/2)*V162*Y162*VLOOKUP('Données projet'!$B$9,Paramètres!$A$1:$I$88,3,0)*0.475*44/12</f>
        <v>2.6999714102080929E-14</v>
      </c>
      <c r="AC162" s="24">
        <f t="shared" si="163"/>
        <v>72.349562810280901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-6.8212102632969618E-13</v>
      </c>
      <c r="AJ162" s="14">
        <f>AI162*VLOOKUP('Données projet'!$B$10,Paramètres!$A$1:$I$88,3,0)*VLOOKUP('Données projet'!$B$10,Paramètres!$A$1:$I$88,5,0)</f>
        <v>-3.1923264032229784E-13</v>
      </c>
      <c r="AK162" s="14" t="e">
        <f t="shared" si="164"/>
        <v>#NUM!</v>
      </c>
      <c r="AL162" s="22" t="e">
        <f t="shared" si="165"/>
        <v>#NUM!</v>
      </c>
      <c r="AM162" s="61" t="e">
        <f t="shared" si="113"/>
        <v>#NUM!</v>
      </c>
      <c r="AN162" s="61">
        <f ca="1">AVERAGE(OFFSET($AM$3,0,0,'Données projet'!$E$10+1,1))-AVERAGE(OFFSET($H$3,0,0,'Données projet'!$E$10+1,1))</f>
        <v>375.77859820466693</v>
      </c>
      <c r="AO162" s="61">
        <f t="shared" si="144"/>
        <v>242.84781402593856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110.54278261359434</v>
      </c>
      <c r="AV162" s="23">
        <f>EXP(-LN(2)/25)*AV161+(1-EXP(-LN(2)/25))/(LN(2)/25)*Calculateur!AQ162*Calculateur!AS162*VLOOKUP('Données projet'!$B$9,Paramètres!$A$1:$I$88,3,0)*0.475*44/12</f>
        <v>7.9492195731161761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118.49200218671052</v>
      </c>
      <c r="AY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5</v>
      </c>
      <c r="BD162" s="13">
        <f>IF('Données projet'!$A$88&gt;35,BD161+BC162-BL161,IF(A162&lt;'Données projet'!$A$88,$BA$205^A162,IF(A162='Données projet'!$A$88,'Données projet'!$B$88,BD161+BC162-BL161)))</f>
        <v>270.00000000000028</v>
      </c>
      <c r="BE162" s="14">
        <f>BD162*VLOOKUP('Données projet'!$B$11,Paramètres!$A$1:$I$88,3,0)*VLOOKUP('Données projet'!$B$11,Paramètres!$A$1:$I$88,5,0)</f>
        <v>273.78000000000031</v>
      </c>
      <c r="BF162" s="14">
        <f t="shared" si="167"/>
        <v>65.650830427167492</v>
      </c>
      <c r="BG162" s="22">
        <f t="shared" si="168"/>
        <v>591.17536299398387</v>
      </c>
      <c r="BH162" s="61">
        <f t="shared" si="116"/>
        <v>878.83603255235289</v>
      </c>
      <c r="BI162" s="61">
        <f ca="1">AVERAGE(OFFSET($BH$3,0,0,'Données projet'!$E$11+1,1))-AVERAGE(OFFSET($H$3,0,0,'Données projet'!$E$11+1,1))</f>
        <v>433.57989081194</v>
      </c>
      <c r="BJ162" s="61">
        <f t="shared" si="146"/>
        <v>182.52060621271355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31.157630915574519</v>
      </c>
      <c r="BQ162" s="23">
        <f>EXP(-LN(2)/25)*BQ161+(1-EXP(-LN(2)/25))/(LN(2)/25)*Calculateur!BL162*Calculateur!BN162*VLOOKUP('Données projet'!$B$9,Paramètres!$A$1:$I$88,3,0)*0.475*44/12</f>
        <v>3.568443718721757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34.726074634296275</v>
      </c>
      <c r="BT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1" t="e">
        <f t="shared" si="119"/>
        <v>#N/A</v>
      </c>
      <c r="CD162" s="61" t="e">
        <f ca="1">AVERAGE(OFFSET($CC$3,0,0,'Données projet'!$E$12+1,1))-AVERAGE(OFFSET($H$3,0,0,'Données projet'!$E$12+1,1))</f>
        <v>#N/A</v>
      </c>
      <c r="CE162" s="61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1" t="e">
        <f t="shared" si="122"/>
        <v>#N/A</v>
      </c>
      <c r="CY162" s="61" t="e">
        <f ca="1">AVERAGE(OFFSET($CX$3,0,0,'Données projet'!$E$13+1,1))-AVERAGE(OFFSET($H$3,0,0,'Données projet'!$E$13+1,1))</f>
        <v>#N/A</v>
      </c>
      <c r="CZ162" s="61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1" t="e">
        <f t="shared" si="125"/>
        <v>#N/A</v>
      </c>
      <c r="DT162" s="61" t="e">
        <f ca="1">AVERAGE(OFFSET($DS$3,0,0,'Données projet'!$E$14+1,1))-AVERAGE(OFFSET($H$3,0,0,'Données projet'!$E$14+1,1))</f>
        <v>#N/A</v>
      </c>
      <c r="DU162" s="61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1" t="e">
        <f t="shared" si="128"/>
        <v>#N/A</v>
      </c>
      <c r="EO162" s="61" t="e">
        <f ca="1">AVERAGE(OFFSET($EN$3,0,0,'Données projet'!$E$15+1,1))-AVERAGE(OFFSET($H$3,0,0,'Données projet'!$E$15+1,1))</f>
        <v>#N/A</v>
      </c>
      <c r="EP162" s="61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1" t="e">
        <f t="shared" si="131"/>
        <v>#N/A</v>
      </c>
      <c r="FJ162" s="61" t="e">
        <f ca="1">AVERAGE(OFFSET($FI$3,0,0,'Données projet'!$E$16+1,1))-AVERAGE(OFFSET($H$3,0,0,'Données projet'!$E$16+1,1))</f>
        <v>#N/A</v>
      </c>
      <c r="FK162" s="61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1" t="e">
        <f t="shared" si="134"/>
        <v>#N/A</v>
      </c>
      <c r="GE162" s="61" t="e">
        <f ca="1">AVERAGE(OFFSET($GD$3,0,0,'Données projet'!$E$17+1,1))-AVERAGE(OFFSET($H$3,0,0,'Données projet'!$E$17+1,1))</f>
        <v>#N/A</v>
      </c>
      <c r="GF162" s="61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1" t="e">
        <f t="shared" si="137"/>
        <v>#N/A</v>
      </c>
      <c r="GZ162" s="61" t="e">
        <f ca="1">AVERAGE(OFFSET($GY$3,0,0,'Données projet'!$E$18+1,1))-AVERAGE(OFFSET($H$3,0,0,'Données projet'!$E$18+1,1))</f>
        <v>#N/A</v>
      </c>
      <c r="HA162" s="61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45">
      <c r="A163" s="11">
        <f t="shared" si="161"/>
        <v>160</v>
      </c>
      <c r="B163" s="76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9">
        <f t="shared" si="110"/>
        <v>183.33333333333334</v>
      </c>
      <c r="I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-3.4106051316484809E-13</v>
      </c>
      <c r="O163" s="14">
        <f>N163*VLOOKUP('Données projet'!$B$9,Paramètres!$A$1:$I$88,3,0)*VLOOKUP('Données projet'!$B$9,Paramètres!$A$1:$I$88,5,0)</f>
        <v>-2.0395418687257919E-13</v>
      </c>
      <c r="P163" s="14" t="e">
        <f t="shared" si="141"/>
        <v>#NUM!</v>
      </c>
      <c r="Q163" s="22" t="e">
        <f t="shared" si="162"/>
        <v>#NUM!</v>
      </c>
      <c r="R163" s="61" t="e">
        <f t="shared" si="109"/>
        <v>#NUM!</v>
      </c>
      <c r="S163" s="61">
        <f ca="1">AVERAGE(OFFSET($R$3,0,0,'Données projet'!$E$9+1,1))-AVERAGE(OFFSET($H$3,0,0,'Données projet'!$E$9+1,1))</f>
        <v>445.53168057836308</v>
      </c>
      <c r="T163" s="61">
        <f t="shared" si="142"/>
        <v>326.78684646135241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67.691565647277713</v>
      </c>
      <c r="AA163" s="23">
        <f>EXP(-LN(2)/25)*AA162+(1-EXP(-LN(2)/25))/(LN(2)/25)*Calculateur!V163*Calculateur!X163*VLOOKUP('Données projet'!$B$9,Paramètres!$A$1:$I$88,3,0)*0.475*44/12</f>
        <v>3.2137072959744906</v>
      </c>
      <c r="AB163" s="23">
        <f>EXP(-LN(2)/2)*AB162+(1-EXP(-LN(2)/2))/(LN(2)/2)*V163*Y163*VLOOKUP('Données projet'!$B$9,Paramètres!$A$1:$I$88,3,0)*0.475*44/12</f>
        <v>1.9091680931679481E-14</v>
      </c>
      <c r="AC163" s="24">
        <f t="shared" si="163"/>
        <v>70.905272943252214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-6.8212102632969618E-13</v>
      </c>
      <c r="AJ163" s="14">
        <f>AI163*VLOOKUP('Données projet'!$B$10,Paramètres!$A$1:$I$88,3,0)*VLOOKUP('Données projet'!$B$10,Paramètres!$A$1:$I$88,5,0)</f>
        <v>-3.1923264032229784E-13</v>
      </c>
      <c r="AK163" s="14" t="e">
        <f t="shared" si="164"/>
        <v>#NUM!</v>
      </c>
      <c r="AL163" s="22" t="e">
        <f t="shared" si="165"/>
        <v>#NUM!</v>
      </c>
      <c r="AM163" s="61" t="e">
        <f t="shared" si="113"/>
        <v>#NUM!</v>
      </c>
      <c r="AN163" s="61">
        <f ca="1">AVERAGE(OFFSET($AM$3,0,0,'Données projet'!$E$10+1,1))-AVERAGE(OFFSET($H$3,0,0,'Données projet'!$E$10+1,1))</f>
        <v>375.77859820466693</v>
      </c>
      <c r="AO163" s="61">
        <f t="shared" si="144"/>
        <v>242.84781402593856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108.37510607098154</v>
      </c>
      <c r="AV163" s="23">
        <f>EXP(-LN(2)/25)*AV162+(1-EXP(-LN(2)/25))/(LN(2)/25)*Calculateur!AQ163*Calculateur!AS163*VLOOKUP('Données projet'!$B$9,Paramètres!$A$1:$I$88,3,0)*0.475*44/12</f>
        <v>7.7318477458580253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116.10695381683956</v>
      </c>
      <c r="AY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5</v>
      </c>
      <c r="BD163" s="13">
        <f>IF('Données projet'!$A$88&gt;35,BD162+BC163-BL162,IF(A163&lt;'Données projet'!$A$88,$BA$205^A163,IF(A163='Données projet'!$A$88,'Données projet'!$B$88,BD162+BC163-BL162)))</f>
        <v>275.00000000000028</v>
      </c>
      <c r="BE163" s="14">
        <f>BD163*VLOOKUP('Données projet'!$B$11,Paramètres!$A$1:$I$88,3,0)*VLOOKUP('Données projet'!$B$11,Paramètres!$A$1:$I$88,5,0)</f>
        <v>278.85000000000031</v>
      </c>
      <c r="BF163" s="14">
        <f t="shared" si="167"/>
        <v>66.723922641153024</v>
      </c>
      <c r="BG163" s="22">
        <f t="shared" si="168"/>
        <v>601.87458193334203</v>
      </c>
      <c r="BH163" s="61">
        <f t="shared" si="116"/>
        <v>889.63365952603044</v>
      </c>
      <c r="BI163" s="61">
        <f ca="1">AVERAGE(OFFSET($BH$3,0,0,'Données projet'!$E$11+1,1))-AVERAGE(OFFSET($H$3,0,0,'Données projet'!$E$11+1,1))</f>
        <v>433.57989081194</v>
      </c>
      <c r="BJ163" s="61">
        <f t="shared" si="146"/>
        <v>182.52060621271355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30.546648777598445</v>
      </c>
      <c r="BQ163" s="23">
        <f>EXP(-LN(2)/25)*BQ162+(1-EXP(-LN(2)/25))/(LN(2)/25)*Calculateur!BL163*Calculateur!BN163*VLOOKUP('Données projet'!$B$9,Paramètres!$A$1:$I$88,3,0)*0.475*44/12</f>
        <v>3.4708644375770112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34.017513215175455</v>
      </c>
      <c r="BT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1" t="e">
        <f t="shared" si="119"/>
        <v>#N/A</v>
      </c>
      <c r="CD163" s="61" t="e">
        <f ca="1">AVERAGE(OFFSET($CC$3,0,0,'Données projet'!$E$12+1,1))-AVERAGE(OFFSET($H$3,0,0,'Données projet'!$E$12+1,1))</f>
        <v>#N/A</v>
      </c>
      <c r="CE163" s="61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1" t="e">
        <f t="shared" si="122"/>
        <v>#N/A</v>
      </c>
      <c r="CY163" s="61" t="e">
        <f ca="1">AVERAGE(OFFSET($CX$3,0,0,'Données projet'!$E$13+1,1))-AVERAGE(OFFSET($H$3,0,0,'Données projet'!$E$13+1,1))</f>
        <v>#N/A</v>
      </c>
      <c r="CZ163" s="61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1" t="e">
        <f t="shared" si="125"/>
        <v>#N/A</v>
      </c>
      <c r="DT163" s="61" t="e">
        <f ca="1">AVERAGE(OFFSET($DS$3,0,0,'Données projet'!$E$14+1,1))-AVERAGE(OFFSET($H$3,0,0,'Données projet'!$E$14+1,1))</f>
        <v>#N/A</v>
      </c>
      <c r="DU163" s="61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1" t="e">
        <f t="shared" si="128"/>
        <v>#N/A</v>
      </c>
      <c r="EO163" s="61" t="e">
        <f ca="1">AVERAGE(OFFSET($EN$3,0,0,'Données projet'!$E$15+1,1))-AVERAGE(OFFSET($H$3,0,0,'Données projet'!$E$15+1,1))</f>
        <v>#N/A</v>
      </c>
      <c r="EP163" s="61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1" t="e">
        <f t="shared" si="131"/>
        <v>#N/A</v>
      </c>
      <c r="FJ163" s="61" t="e">
        <f ca="1">AVERAGE(OFFSET($FI$3,0,0,'Données projet'!$E$16+1,1))-AVERAGE(OFFSET($H$3,0,0,'Données projet'!$E$16+1,1))</f>
        <v>#N/A</v>
      </c>
      <c r="FK163" s="61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1" t="e">
        <f t="shared" si="134"/>
        <v>#N/A</v>
      </c>
      <c r="GE163" s="61" t="e">
        <f ca="1">AVERAGE(OFFSET($GD$3,0,0,'Données projet'!$E$17+1,1))-AVERAGE(OFFSET($H$3,0,0,'Données projet'!$E$17+1,1))</f>
        <v>#N/A</v>
      </c>
      <c r="GF163" s="61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1" t="e">
        <f t="shared" si="137"/>
        <v>#N/A</v>
      </c>
      <c r="GZ163" s="61" t="e">
        <f ca="1">AVERAGE(OFFSET($GY$3,0,0,'Données projet'!$E$18+1,1))-AVERAGE(OFFSET($H$3,0,0,'Données projet'!$E$18+1,1))</f>
        <v>#N/A</v>
      </c>
      <c r="HA163" s="61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45">
      <c r="A164" s="11">
        <f t="shared" si="161"/>
        <v>161</v>
      </c>
      <c r="B164" s="76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9">
        <f t="shared" si="110"/>
        <v>183.33333333333334</v>
      </c>
      <c r="I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-3.4106051316484809E-13</v>
      </c>
      <c r="O164" s="14">
        <f>N164*VLOOKUP('Données projet'!$B$9,Paramètres!$A$1:$I$88,3,0)*VLOOKUP('Données projet'!$B$9,Paramètres!$A$1:$I$88,5,0)</f>
        <v>-2.0395418687257919E-13</v>
      </c>
      <c r="P164" s="14" t="e">
        <f t="shared" si="141"/>
        <v>#NUM!</v>
      </c>
      <c r="Q164" s="22" t="e">
        <f t="shared" si="162"/>
        <v>#NUM!</v>
      </c>
      <c r="R164" s="61" t="e">
        <f t="shared" si="109"/>
        <v>#NUM!</v>
      </c>
      <c r="S164" s="61">
        <f ca="1">AVERAGE(OFFSET($R$3,0,0,'Données projet'!$E$9+1,1))-AVERAGE(OFFSET($H$3,0,0,'Données projet'!$E$9+1,1))</f>
        <v>445.53168057836308</v>
      </c>
      <c r="T164" s="61">
        <f t="shared" si="142"/>
        <v>326.78684646135241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66.364175332712819</v>
      </c>
      <c r="AA164" s="23">
        <f>EXP(-LN(2)/25)*AA163+(1-EXP(-LN(2)/25))/(LN(2)/25)*Calculateur!V164*Calculateur!X164*VLOOKUP('Données projet'!$B$9,Paramètres!$A$1:$I$88,3,0)*0.475*44/12</f>
        <v>3.1258283009645464</v>
      </c>
      <c r="AB164" s="23">
        <f>EXP(-LN(2)/2)*AB163+(1-EXP(-LN(2)/2))/(LN(2)/2)*V164*Y164*VLOOKUP('Données projet'!$B$9,Paramètres!$A$1:$I$88,3,0)*0.475*44/12</f>
        <v>1.3499857051040465E-14</v>
      </c>
      <c r="AC164" s="24">
        <f t="shared" si="163"/>
        <v>69.490003633677375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-6.8212102632969618E-13</v>
      </c>
      <c r="AJ164" s="14">
        <f>AI164*VLOOKUP('Données projet'!$B$10,Paramètres!$A$1:$I$88,3,0)*VLOOKUP('Données projet'!$B$10,Paramètres!$A$1:$I$88,5,0)</f>
        <v>-3.1923264032229784E-13</v>
      </c>
      <c r="AK164" s="14" t="e">
        <f t="shared" si="164"/>
        <v>#NUM!</v>
      </c>
      <c r="AL164" s="22" t="e">
        <f t="shared" si="165"/>
        <v>#NUM!</v>
      </c>
      <c r="AM164" s="61" t="e">
        <f t="shared" si="113"/>
        <v>#NUM!</v>
      </c>
      <c r="AN164" s="61">
        <f ca="1">AVERAGE(OFFSET($AM$3,0,0,'Données projet'!$E$10+1,1))-AVERAGE(OFFSET($H$3,0,0,'Données projet'!$E$10+1,1))</f>
        <v>375.77859820466693</v>
      </c>
      <c r="AO164" s="61">
        <f t="shared" si="144"/>
        <v>242.84781402593856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106.24993634321724</v>
      </c>
      <c r="AV164" s="23">
        <f>EXP(-LN(2)/25)*AV163+(1-EXP(-LN(2)/25))/(LN(2)/25)*Calculateur!AQ164*Calculateur!AS164*VLOOKUP('Données projet'!$B$9,Paramètres!$A$1:$I$88,3,0)*0.475*44/12</f>
        <v>7.5204199626473356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113.77035630586458</v>
      </c>
      <c r="AY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5</v>
      </c>
      <c r="BD164" s="13">
        <f>IF('Données projet'!$A$88&gt;35,BD163+BC164-BL163,IF(A164&lt;'Données projet'!$A$88,$BA$205^A164,IF(A164='Données projet'!$A$88,'Données projet'!$B$88,BD163+BC164-BL163)))</f>
        <v>280.00000000000028</v>
      </c>
      <c r="BE164" s="14">
        <f>BD164*VLOOKUP('Données projet'!$B$11,Paramètres!$A$1:$I$88,3,0)*VLOOKUP('Données projet'!$B$11,Paramètres!$A$1:$I$88,5,0)</f>
        <v>283.9200000000003</v>
      </c>
      <c r="BF164" s="14">
        <f t="shared" si="167"/>
        <v>67.794746071143692</v>
      </c>
      <c r="BG164" s="22">
        <f t="shared" si="168"/>
        <v>612.56984940724237</v>
      </c>
      <c r="BH164" s="61">
        <f t="shared" si="116"/>
        <v>900.42562787486213</v>
      </c>
      <c r="BI164" s="61">
        <f ca="1">AVERAGE(OFFSET($BH$3,0,0,'Données projet'!$E$11+1,1))-AVERAGE(OFFSET($H$3,0,0,'Données projet'!$E$11+1,1))</f>
        <v>433.57989081194</v>
      </c>
      <c r="BJ164" s="61">
        <f t="shared" si="146"/>
        <v>182.52060621271355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29.947647626685775</v>
      </c>
      <c r="BQ164" s="23">
        <f>EXP(-LN(2)/25)*BQ163+(1-EXP(-LN(2)/25))/(LN(2)/25)*Calculateur!BL164*Calculateur!BN164*VLOOKUP('Données projet'!$B$9,Paramètres!$A$1:$I$88,3,0)*0.475*44/12</f>
        <v>3.37595346700664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33.323601093692417</v>
      </c>
      <c r="BT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1" t="e">
        <f t="shared" si="119"/>
        <v>#N/A</v>
      </c>
      <c r="CD164" s="61" t="e">
        <f ca="1">AVERAGE(OFFSET($CC$3,0,0,'Données projet'!$E$12+1,1))-AVERAGE(OFFSET($H$3,0,0,'Données projet'!$E$12+1,1))</f>
        <v>#N/A</v>
      </c>
      <c r="CE164" s="61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1" t="e">
        <f t="shared" si="122"/>
        <v>#N/A</v>
      </c>
      <c r="CY164" s="61" t="e">
        <f ca="1">AVERAGE(OFFSET($CX$3,0,0,'Données projet'!$E$13+1,1))-AVERAGE(OFFSET($H$3,0,0,'Données projet'!$E$13+1,1))</f>
        <v>#N/A</v>
      </c>
      <c r="CZ164" s="61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1" t="e">
        <f t="shared" si="125"/>
        <v>#N/A</v>
      </c>
      <c r="DT164" s="61" t="e">
        <f ca="1">AVERAGE(OFFSET($DS$3,0,0,'Données projet'!$E$14+1,1))-AVERAGE(OFFSET($H$3,0,0,'Données projet'!$E$14+1,1))</f>
        <v>#N/A</v>
      </c>
      <c r="DU164" s="61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1" t="e">
        <f t="shared" si="128"/>
        <v>#N/A</v>
      </c>
      <c r="EO164" s="61" t="e">
        <f ca="1">AVERAGE(OFFSET($EN$3,0,0,'Données projet'!$E$15+1,1))-AVERAGE(OFFSET($H$3,0,0,'Données projet'!$E$15+1,1))</f>
        <v>#N/A</v>
      </c>
      <c r="EP164" s="61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1" t="e">
        <f t="shared" si="131"/>
        <v>#N/A</v>
      </c>
      <c r="FJ164" s="61" t="e">
        <f ca="1">AVERAGE(OFFSET($FI$3,0,0,'Données projet'!$E$16+1,1))-AVERAGE(OFFSET($H$3,0,0,'Données projet'!$E$16+1,1))</f>
        <v>#N/A</v>
      </c>
      <c r="FK164" s="61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1" t="e">
        <f t="shared" si="134"/>
        <v>#N/A</v>
      </c>
      <c r="GE164" s="61" t="e">
        <f ca="1">AVERAGE(OFFSET($GD$3,0,0,'Données projet'!$E$17+1,1))-AVERAGE(OFFSET($H$3,0,0,'Données projet'!$E$17+1,1))</f>
        <v>#N/A</v>
      </c>
      <c r="GF164" s="61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1" t="e">
        <f t="shared" si="137"/>
        <v>#N/A</v>
      </c>
      <c r="GZ164" s="61" t="e">
        <f ca="1">AVERAGE(OFFSET($GY$3,0,0,'Données projet'!$E$18+1,1))-AVERAGE(OFFSET($H$3,0,0,'Données projet'!$E$18+1,1))</f>
        <v>#N/A</v>
      </c>
      <c r="HA164" s="61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45">
      <c r="A165" s="11">
        <f t="shared" si="161"/>
        <v>162</v>
      </c>
      <c r="B165" s="76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9">
        <f t="shared" si="110"/>
        <v>183.33333333333334</v>
      </c>
      <c r="I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-3.4106051316484809E-13</v>
      </c>
      <c r="O165" s="14">
        <f>N165*VLOOKUP('Données projet'!$B$9,Paramètres!$A$1:$I$88,3,0)*VLOOKUP('Données projet'!$B$9,Paramètres!$A$1:$I$88,5,0)</f>
        <v>-2.0395418687257919E-13</v>
      </c>
      <c r="P165" s="14" t="e">
        <f t="shared" si="141"/>
        <v>#NUM!</v>
      </c>
      <c r="Q165" s="22" t="e">
        <f t="shared" si="162"/>
        <v>#NUM!</v>
      </c>
      <c r="R165" s="61" t="e">
        <f t="shared" si="109"/>
        <v>#NUM!</v>
      </c>
      <c r="S165" s="61">
        <f ca="1">AVERAGE(OFFSET($R$3,0,0,'Données projet'!$E$9+1,1))-AVERAGE(OFFSET($H$3,0,0,'Données projet'!$E$9+1,1))</f>
        <v>445.53168057836308</v>
      </c>
      <c r="T165" s="61">
        <f t="shared" si="142"/>
        <v>326.78684646135241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65.062814332588388</v>
      </c>
      <c r="AA165" s="23">
        <f>EXP(-LN(2)/25)*AA164+(1-EXP(-LN(2)/25))/(LN(2)/25)*Calculateur!V165*Calculateur!X165*VLOOKUP('Données projet'!$B$9,Paramètres!$A$1:$I$88,3,0)*0.475*44/12</f>
        <v>3.040352361694505</v>
      </c>
      <c r="AB165" s="23">
        <f>EXP(-LN(2)/2)*AB164+(1-EXP(-LN(2)/2))/(LN(2)/2)*V165*Y165*VLOOKUP('Données projet'!$B$9,Paramètres!$A$1:$I$88,3,0)*0.475*44/12</f>
        <v>9.5458404658397405E-15</v>
      </c>
      <c r="AC165" s="24">
        <f t="shared" si="163"/>
        <v>68.103166694282905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-6.8212102632969618E-13</v>
      </c>
      <c r="AJ165" s="14">
        <f>AI165*VLOOKUP('Données projet'!$B$10,Paramètres!$A$1:$I$88,3,0)*VLOOKUP('Données projet'!$B$10,Paramètres!$A$1:$I$88,5,0)</f>
        <v>-3.1923264032229784E-13</v>
      </c>
      <c r="AK165" s="14" t="e">
        <f t="shared" si="164"/>
        <v>#NUM!</v>
      </c>
      <c r="AL165" s="22" t="e">
        <f t="shared" si="165"/>
        <v>#NUM!</v>
      </c>
      <c r="AM165" s="61" t="e">
        <f t="shared" si="113"/>
        <v>#NUM!</v>
      </c>
      <c r="AN165" s="61">
        <f ca="1">AVERAGE(OFFSET($AM$3,0,0,'Données projet'!$E$10+1,1))-AVERAGE(OFFSET($H$3,0,0,'Données projet'!$E$10+1,1))</f>
        <v>375.77859820466693</v>
      </c>
      <c r="AO165" s="61">
        <f t="shared" si="144"/>
        <v>242.84781402593856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104.16643989758886</v>
      </c>
      <c r="AV165" s="23">
        <f>EXP(-LN(2)/25)*AV164+(1-EXP(-LN(2)/25))/(LN(2)/25)*Calculateur!AQ165*Calculateur!AS165*VLOOKUP('Données projet'!$B$9,Paramètres!$A$1:$I$88,3,0)*0.475*44/12</f>
        <v>7.3147736832870462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111.4812135808759</v>
      </c>
      <c r="AY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5</v>
      </c>
      <c r="BD165" s="13">
        <f>IF('Données projet'!$A$88&gt;35,BD164+BC165-BL164,IF(A165&lt;'Données projet'!$A$88,$BA$205^A165,IF(A165='Données projet'!$A$88,'Données projet'!$B$88,BD164+BC165-BL164)))</f>
        <v>285.00000000000028</v>
      </c>
      <c r="BE165" s="14">
        <f>BD165*VLOOKUP('Données projet'!$B$11,Paramètres!$A$1:$I$88,3,0)*VLOOKUP('Données projet'!$B$11,Paramètres!$A$1:$I$88,5,0)</f>
        <v>288.99000000000029</v>
      </c>
      <c r="BF165" s="14">
        <f t="shared" si="167"/>
        <v>68.863345904836848</v>
      </c>
      <c r="BG165" s="22">
        <f t="shared" si="168"/>
        <v>623.26124411759133</v>
      </c>
      <c r="BH165" s="61">
        <f t="shared" si="116"/>
        <v>911.2120459161531</v>
      </c>
      <c r="BI165" s="61">
        <f ca="1">AVERAGE(OFFSET($BH$3,0,0,'Données projet'!$E$11+1,1))-AVERAGE(OFFSET($H$3,0,0,'Données projet'!$E$11+1,1))</f>
        <v>433.57989081194</v>
      </c>
      <c r="BJ165" s="61">
        <f t="shared" si="146"/>
        <v>182.52060621271355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29.360392522987876</v>
      </c>
      <c r="BQ165" s="23">
        <f>EXP(-LN(2)/25)*BQ164+(1-EXP(-LN(2)/25))/(LN(2)/25)*Calculateur!BL165*Calculateur!BN165*VLOOKUP('Données projet'!$B$9,Paramètres!$A$1:$I$88,3,0)*0.475*44/12</f>
        <v>3.2836378419176664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32.644030364905539</v>
      </c>
      <c r="BT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1" t="e">
        <f t="shared" si="119"/>
        <v>#N/A</v>
      </c>
      <c r="CD165" s="61" t="e">
        <f ca="1">AVERAGE(OFFSET($CC$3,0,0,'Données projet'!$E$12+1,1))-AVERAGE(OFFSET($H$3,0,0,'Données projet'!$E$12+1,1))</f>
        <v>#N/A</v>
      </c>
      <c r="CE165" s="61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1" t="e">
        <f t="shared" si="122"/>
        <v>#N/A</v>
      </c>
      <c r="CY165" s="61" t="e">
        <f ca="1">AVERAGE(OFFSET($CX$3,0,0,'Données projet'!$E$13+1,1))-AVERAGE(OFFSET($H$3,0,0,'Données projet'!$E$13+1,1))</f>
        <v>#N/A</v>
      </c>
      <c r="CZ165" s="61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1" t="e">
        <f t="shared" si="125"/>
        <v>#N/A</v>
      </c>
      <c r="DT165" s="61" t="e">
        <f ca="1">AVERAGE(OFFSET($DS$3,0,0,'Données projet'!$E$14+1,1))-AVERAGE(OFFSET($H$3,0,0,'Données projet'!$E$14+1,1))</f>
        <v>#N/A</v>
      </c>
      <c r="DU165" s="61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1" t="e">
        <f t="shared" si="128"/>
        <v>#N/A</v>
      </c>
      <c r="EO165" s="61" t="e">
        <f ca="1">AVERAGE(OFFSET($EN$3,0,0,'Données projet'!$E$15+1,1))-AVERAGE(OFFSET($H$3,0,0,'Données projet'!$E$15+1,1))</f>
        <v>#N/A</v>
      </c>
      <c r="EP165" s="61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1" t="e">
        <f t="shared" si="131"/>
        <v>#N/A</v>
      </c>
      <c r="FJ165" s="61" t="e">
        <f ca="1">AVERAGE(OFFSET($FI$3,0,0,'Données projet'!$E$16+1,1))-AVERAGE(OFFSET($H$3,0,0,'Données projet'!$E$16+1,1))</f>
        <v>#N/A</v>
      </c>
      <c r="FK165" s="61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1" t="e">
        <f t="shared" si="134"/>
        <v>#N/A</v>
      </c>
      <c r="GE165" s="61" t="e">
        <f ca="1">AVERAGE(OFFSET($GD$3,0,0,'Données projet'!$E$17+1,1))-AVERAGE(OFFSET($H$3,0,0,'Données projet'!$E$17+1,1))</f>
        <v>#N/A</v>
      </c>
      <c r="GF165" s="61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1" t="e">
        <f t="shared" si="137"/>
        <v>#N/A</v>
      </c>
      <c r="GZ165" s="61" t="e">
        <f ca="1">AVERAGE(OFFSET($GY$3,0,0,'Données projet'!$E$18+1,1))-AVERAGE(OFFSET($H$3,0,0,'Données projet'!$E$18+1,1))</f>
        <v>#N/A</v>
      </c>
      <c r="HA165" s="61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45">
      <c r="A166" s="11">
        <f t="shared" si="161"/>
        <v>163</v>
      </c>
      <c r="B166" s="76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9">
        <f t="shared" si="110"/>
        <v>183.33333333333334</v>
      </c>
      <c r="I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-3.4106051316484809E-13</v>
      </c>
      <c r="O166" s="14">
        <f>N166*VLOOKUP('Données projet'!$B$9,Paramètres!$A$1:$I$88,3,0)*VLOOKUP('Données projet'!$B$9,Paramètres!$A$1:$I$88,5,0)</f>
        <v>-2.0395418687257919E-13</v>
      </c>
      <c r="P166" s="14" t="e">
        <f t="shared" si="141"/>
        <v>#NUM!</v>
      </c>
      <c r="Q166" s="22" t="e">
        <f t="shared" si="162"/>
        <v>#NUM!</v>
      </c>
      <c r="R166" s="61" t="e">
        <f t="shared" si="109"/>
        <v>#NUM!</v>
      </c>
      <c r="S166" s="61">
        <f ca="1">AVERAGE(OFFSET($R$3,0,0,'Données projet'!$E$9+1,1))-AVERAGE(OFFSET($H$3,0,0,'Données projet'!$E$9+1,1))</f>
        <v>445.53168057836308</v>
      </c>
      <c r="T166" s="61">
        <f t="shared" si="142"/>
        <v>326.78684646135241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63.786972227924565</v>
      </c>
      <c r="AA166" s="23">
        <f>EXP(-LN(2)/25)*AA165+(1-EXP(-LN(2)/25))/(LN(2)/25)*Calculateur!V166*Calculateur!X166*VLOOKUP('Données projet'!$B$9,Paramètres!$A$1:$I$88,3,0)*0.475*44/12</f>
        <v>2.957213766478787</v>
      </c>
      <c r="AB166" s="23">
        <f>EXP(-LN(2)/2)*AB165+(1-EXP(-LN(2)/2))/(LN(2)/2)*V166*Y166*VLOOKUP('Données projet'!$B$9,Paramètres!$A$1:$I$88,3,0)*0.475*44/12</f>
        <v>6.7499285255202324E-15</v>
      </c>
      <c r="AC166" s="24">
        <f t="shared" si="163"/>
        <v>66.744185994403352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-6.8212102632969618E-13</v>
      </c>
      <c r="AJ166" s="14">
        <f>AI166*VLOOKUP('Données projet'!$B$10,Paramètres!$A$1:$I$88,3,0)*VLOOKUP('Données projet'!$B$10,Paramètres!$A$1:$I$88,5,0)</f>
        <v>-3.1923264032229784E-13</v>
      </c>
      <c r="AK166" s="14" t="e">
        <f t="shared" si="164"/>
        <v>#NUM!</v>
      </c>
      <c r="AL166" s="22" t="e">
        <f t="shared" si="165"/>
        <v>#NUM!</v>
      </c>
      <c r="AM166" s="61" t="e">
        <f t="shared" si="113"/>
        <v>#NUM!</v>
      </c>
      <c r="AN166" s="61">
        <f ca="1">AVERAGE(OFFSET($AM$3,0,0,'Données projet'!$E$10+1,1))-AVERAGE(OFFSET($H$3,0,0,'Données projet'!$E$10+1,1))</f>
        <v>375.77859820466693</v>
      </c>
      <c r="AO166" s="61">
        <f t="shared" si="144"/>
        <v>242.84781402593856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102.12379954645189</v>
      </c>
      <c r="AV166" s="23">
        <f>EXP(-LN(2)/25)*AV165+(1-EXP(-LN(2)/25))/(LN(2)/25)*Calculateur!AQ166*Calculateur!AS166*VLOOKUP('Données projet'!$B$9,Paramètres!$A$1:$I$88,3,0)*0.475*44/12</f>
        <v>7.1147508122503318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109.23855035870223</v>
      </c>
      <c r="AY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5</v>
      </c>
      <c r="BD166" s="13">
        <f>IF('Données projet'!$A$88&gt;35,BD165+BC166-BL165,IF(A166&lt;'Données projet'!$A$88,$BA$205^A166,IF(A166='Données projet'!$A$88,'Données projet'!$B$88,BD165+BC166-BL165)))</f>
        <v>290.00000000000028</v>
      </c>
      <c r="BE166" s="14">
        <f>BD166*VLOOKUP('Données projet'!$B$11,Paramètres!$A$1:$I$88,3,0)*VLOOKUP('Données projet'!$B$11,Paramètres!$A$1:$I$88,5,0)</f>
        <v>294.06000000000034</v>
      </c>
      <c r="BF166" s="14">
        <f t="shared" si="167"/>
        <v>69.929765653573426</v>
      </c>
      <c r="BG166" s="22">
        <f t="shared" si="168"/>
        <v>633.9488418466409</v>
      </c>
      <c r="BH166" s="61">
        <f t="shared" si="116"/>
        <v>921.99301853379313</v>
      </c>
      <c r="BI166" s="61">
        <f ca="1">AVERAGE(OFFSET($BH$3,0,0,'Données projet'!$E$11+1,1))-AVERAGE(OFFSET($H$3,0,0,'Données projet'!$E$11+1,1))</f>
        <v>433.57989081194</v>
      </c>
      <c r="BJ166" s="61">
        <f t="shared" si="146"/>
        <v>182.52060621271355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28.784653133683246</v>
      </c>
      <c r="BQ166" s="23">
        <f>EXP(-LN(2)/25)*BQ165+(1-EXP(-LN(2)/25))/(LN(2)/25)*Calculateur!BL166*Calculateur!BN166*VLOOKUP('Données projet'!$B$9,Paramètres!$A$1:$I$88,3,0)*0.475*44/12</f>
        <v>3.1938465924514183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31.978499726134665</v>
      </c>
      <c r="BT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1" t="e">
        <f t="shared" si="119"/>
        <v>#N/A</v>
      </c>
      <c r="CD166" s="61" t="e">
        <f ca="1">AVERAGE(OFFSET($CC$3,0,0,'Données projet'!$E$12+1,1))-AVERAGE(OFFSET($H$3,0,0,'Données projet'!$E$12+1,1))</f>
        <v>#N/A</v>
      </c>
      <c r="CE166" s="61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1" t="e">
        <f t="shared" si="122"/>
        <v>#N/A</v>
      </c>
      <c r="CY166" s="61" t="e">
        <f ca="1">AVERAGE(OFFSET($CX$3,0,0,'Données projet'!$E$13+1,1))-AVERAGE(OFFSET($H$3,0,0,'Données projet'!$E$13+1,1))</f>
        <v>#N/A</v>
      </c>
      <c r="CZ166" s="61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1" t="e">
        <f t="shared" si="125"/>
        <v>#N/A</v>
      </c>
      <c r="DT166" s="61" t="e">
        <f ca="1">AVERAGE(OFFSET($DS$3,0,0,'Données projet'!$E$14+1,1))-AVERAGE(OFFSET($H$3,0,0,'Données projet'!$E$14+1,1))</f>
        <v>#N/A</v>
      </c>
      <c r="DU166" s="61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1" t="e">
        <f t="shared" si="128"/>
        <v>#N/A</v>
      </c>
      <c r="EO166" s="61" t="e">
        <f ca="1">AVERAGE(OFFSET($EN$3,0,0,'Données projet'!$E$15+1,1))-AVERAGE(OFFSET($H$3,0,0,'Données projet'!$E$15+1,1))</f>
        <v>#N/A</v>
      </c>
      <c r="EP166" s="61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1" t="e">
        <f t="shared" si="131"/>
        <v>#N/A</v>
      </c>
      <c r="FJ166" s="61" t="e">
        <f ca="1">AVERAGE(OFFSET($FI$3,0,0,'Données projet'!$E$16+1,1))-AVERAGE(OFFSET($H$3,0,0,'Données projet'!$E$16+1,1))</f>
        <v>#N/A</v>
      </c>
      <c r="FK166" s="61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1" t="e">
        <f t="shared" si="134"/>
        <v>#N/A</v>
      </c>
      <c r="GE166" s="61" t="e">
        <f ca="1">AVERAGE(OFFSET($GD$3,0,0,'Données projet'!$E$17+1,1))-AVERAGE(OFFSET($H$3,0,0,'Données projet'!$E$17+1,1))</f>
        <v>#N/A</v>
      </c>
      <c r="GF166" s="61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1" t="e">
        <f t="shared" si="137"/>
        <v>#N/A</v>
      </c>
      <c r="GZ166" s="61" t="e">
        <f ca="1">AVERAGE(OFFSET($GY$3,0,0,'Données projet'!$E$18+1,1))-AVERAGE(OFFSET($H$3,0,0,'Données projet'!$E$18+1,1))</f>
        <v>#N/A</v>
      </c>
      <c r="HA166" s="61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45">
      <c r="A167" s="11">
        <f t="shared" si="161"/>
        <v>164</v>
      </c>
      <c r="B167" s="76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9">
        <f t="shared" si="110"/>
        <v>183.33333333333334</v>
      </c>
      <c r="I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-3.4106051316484809E-13</v>
      </c>
      <c r="O167" s="14">
        <f>N167*VLOOKUP('Données projet'!$B$9,Paramètres!$A$1:$I$88,3,0)*VLOOKUP('Données projet'!$B$9,Paramètres!$A$1:$I$88,5,0)</f>
        <v>-2.0395418687257919E-13</v>
      </c>
      <c r="P167" s="14" t="e">
        <f t="shared" si="141"/>
        <v>#NUM!</v>
      </c>
      <c r="Q167" s="22" t="e">
        <f t="shared" si="162"/>
        <v>#NUM!</v>
      </c>
      <c r="R167" s="61" t="e">
        <f t="shared" si="109"/>
        <v>#NUM!</v>
      </c>
      <c r="S167" s="61">
        <f ca="1">AVERAGE(OFFSET($R$3,0,0,'Données projet'!$E$9+1,1))-AVERAGE(OFFSET($H$3,0,0,'Données projet'!$E$9+1,1))</f>
        <v>445.53168057836308</v>
      </c>
      <c r="T167" s="61">
        <f t="shared" si="142"/>
        <v>326.78684646135241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62.536148608746352</v>
      </c>
      <c r="AA167" s="23">
        <f>EXP(-LN(2)/25)*AA166+(1-EXP(-LN(2)/25))/(LN(2)/25)*Calculateur!V167*Calculateur!X167*VLOOKUP('Données projet'!$B$9,Paramètres!$A$1:$I$88,3,0)*0.475*44/12</f>
        <v>2.8763486005213115</v>
      </c>
      <c r="AB167" s="23">
        <f>EXP(-LN(2)/2)*AB166+(1-EXP(-LN(2)/2))/(LN(2)/2)*V167*Y167*VLOOKUP('Données projet'!$B$9,Paramètres!$A$1:$I$88,3,0)*0.475*44/12</f>
        <v>4.7729202329198702E-15</v>
      </c>
      <c r="AC167" s="24">
        <f t="shared" si="163"/>
        <v>65.41249720926767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-6.8212102632969618E-13</v>
      </c>
      <c r="AJ167" s="14">
        <f>AI167*VLOOKUP('Données projet'!$B$10,Paramètres!$A$1:$I$88,3,0)*VLOOKUP('Données projet'!$B$10,Paramètres!$A$1:$I$88,5,0)</f>
        <v>-3.1923264032229784E-13</v>
      </c>
      <c r="AK167" s="14" t="e">
        <f t="shared" si="164"/>
        <v>#NUM!</v>
      </c>
      <c r="AL167" s="22" t="e">
        <f t="shared" si="165"/>
        <v>#NUM!</v>
      </c>
      <c r="AM167" s="61" t="e">
        <f t="shared" si="113"/>
        <v>#NUM!</v>
      </c>
      <c r="AN167" s="61">
        <f ca="1">AVERAGE(OFFSET($AM$3,0,0,'Données projet'!$E$10+1,1))-AVERAGE(OFFSET($H$3,0,0,'Données projet'!$E$10+1,1))</f>
        <v>375.77859820466693</v>
      </c>
      <c r="AO167" s="61">
        <f t="shared" si="144"/>
        <v>242.84781402593856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100.12121412671313</v>
      </c>
      <c r="AV167" s="23">
        <f>EXP(-LN(2)/25)*AV166+(1-EXP(-LN(2)/25))/(LN(2)/25)*Calculateur!AQ167*Calculateur!AS167*VLOOKUP('Données projet'!$B$9,Paramètres!$A$1:$I$88,3,0)*0.475*44/12</f>
        <v>6.9201975771408621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107.041411703854</v>
      </c>
      <c r="AY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>
        <f>VLOOKUP(A167,'Données projet'!$A$87:$I$107,2,0)</f>
        <v>295</v>
      </c>
      <c r="BB167" s="13">
        <f>VLOOKUP(A167,'Données projet'!$A$87:$I$107,9,0)</f>
        <v>5</v>
      </c>
      <c r="BC167" s="13">
        <f t="array" ref="BC167">INDEX(BB:BB,MIN(IF(ISNUMBER(BB167:BB363),ROW(BB167:BB363),"")))</f>
        <v>5</v>
      </c>
      <c r="BD167" s="13">
        <f>IF('Données projet'!$A$88&gt;35,BD166+BC167-BL166,IF(A167&lt;'Données projet'!$A$88,$BA$205^A167,IF(A167='Données projet'!$A$88,'Données projet'!$B$88,BD166+BC167-BL166)))</f>
        <v>295.00000000000028</v>
      </c>
      <c r="BE167" s="14">
        <f>BD167*VLOOKUP('Données projet'!$B$11,Paramètres!$A$1:$I$88,3,0)*VLOOKUP('Données projet'!$B$11,Paramètres!$A$1:$I$88,5,0)</f>
        <v>299.13000000000034</v>
      </c>
      <c r="BF167" s="14">
        <f t="shared" si="167"/>
        <v>70.994047242337345</v>
      </c>
      <c r="BG167" s="22">
        <f t="shared" si="168"/>
        <v>644.63271561373813</v>
      </c>
      <c r="BH167" s="61">
        <f t="shared" si="116"/>
        <v>932.76864734391881</v>
      </c>
      <c r="BI167" s="61">
        <f ca="1">AVERAGE(OFFSET($BH$3,0,0,'Données projet'!$E$11+1,1))-AVERAGE(OFFSET($H$3,0,0,'Données projet'!$E$11+1,1))</f>
        <v>433.57989081194</v>
      </c>
      <c r="BJ167" s="61">
        <f t="shared" si="146"/>
        <v>182.52060621271355</v>
      </c>
      <c r="BK167" s="16">
        <f>IF(ISNA(VLOOKUP(A167,'Données projet'!$A$87:$I$107,3,0)),0,VLOOKUP(A167,'Données projet'!$A$87:$I$107,3,0))</f>
        <v>10</v>
      </c>
      <c r="BL167" s="16">
        <f>IF(ISNA(VLOOKUP(A167,'Données projet'!$A$87:$I$107,4,0)),0,VLOOKUP(A167,'Données projet'!$A$87:$I$107,4,0))</f>
        <v>52</v>
      </c>
      <c r="BM167" s="17">
        <f>IF(ISNA(VLOOKUP(A167,'Données projet'!$A$87:$I$107,5,0)),0%,VLOOKUP(A167,'Données projet'!$A$87:$I$107,5,0)*VLOOKUP('Données projet'!$B$11,Paramètres!$A$1:$I$88,7,0))</f>
        <v>0.38700000000000001</v>
      </c>
      <c r="BN167" s="17">
        <f>IF(ISNA(VLOOKUP(A167,'Données projet'!$A$87:$I$107,6,0)),0%,VLOOKUP(A167,'Données projet'!$A$87:$I$107,6,0)*VLOOKUP('Données projet'!$B$11,Paramètres!$A$1:$I$88,7,0))</f>
        <v>4.3000000000000003E-2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44.184281937193191</v>
      </c>
      <c r="BQ167" s="23">
        <f>EXP(-LN(2)/25)*BQ166+(1-EXP(-LN(2)/25))/(LN(2)/25)*Calculateur!BL167*Calculateur!BN167*VLOOKUP('Données projet'!$B$9,Paramètres!$A$1:$I$88,3,0)*0.475*44/12</f>
        <v>4.8733130933704381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49.057595030563633</v>
      </c>
      <c r="BT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1" t="e">
        <f t="shared" si="119"/>
        <v>#N/A</v>
      </c>
      <c r="CD167" s="61" t="e">
        <f ca="1">AVERAGE(OFFSET($CC$3,0,0,'Données projet'!$E$12+1,1))-AVERAGE(OFFSET($H$3,0,0,'Données projet'!$E$12+1,1))</f>
        <v>#N/A</v>
      </c>
      <c r="CE167" s="61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1" t="e">
        <f t="shared" si="122"/>
        <v>#N/A</v>
      </c>
      <c r="CY167" s="61" t="e">
        <f ca="1">AVERAGE(OFFSET($CX$3,0,0,'Données projet'!$E$13+1,1))-AVERAGE(OFFSET($H$3,0,0,'Données projet'!$E$13+1,1))</f>
        <v>#N/A</v>
      </c>
      <c r="CZ167" s="61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1" t="e">
        <f t="shared" si="125"/>
        <v>#N/A</v>
      </c>
      <c r="DT167" s="61" t="e">
        <f ca="1">AVERAGE(OFFSET($DS$3,0,0,'Données projet'!$E$14+1,1))-AVERAGE(OFFSET($H$3,0,0,'Données projet'!$E$14+1,1))</f>
        <v>#N/A</v>
      </c>
      <c r="DU167" s="61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1" t="e">
        <f t="shared" si="128"/>
        <v>#N/A</v>
      </c>
      <c r="EO167" s="61" t="e">
        <f ca="1">AVERAGE(OFFSET($EN$3,0,0,'Données projet'!$E$15+1,1))-AVERAGE(OFFSET($H$3,0,0,'Données projet'!$E$15+1,1))</f>
        <v>#N/A</v>
      </c>
      <c r="EP167" s="61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1" t="e">
        <f t="shared" si="131"/>
        <v>#N/A</v>
      </c>
      <c r="FJ167" s="61" t="e">
        <f ca="1">AVERAGE(OFFSET($FI$3,0,0,'Données projet'!$E$16+1,1))-AVERAGE(OFFSET($H$3,0,0,'Données projet'!$E$16+1,1))</f>
        <v>#N/A</v>
      </c>
      <c r="FK167" s="61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1" t="e">
        <f t="shared" si="134"/>
        <v>#N/A</v>
      </c>
      <c r="GE167" s="61" t="e">
        <f ca="1">AVERAGE(OFFSET($GD$3,0,0,'Données projet'!$E$17+1,1))-AVERAGE(OFFSET($H$3,0,0,'Données projet'!$E$17+1,1))</f>
        <v>#N/A</v>
      </c>
      <c r="GF167" s="61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1" t="e">
        <f t="shared" si="137"/>
        <v>#N/A</v>
      </c>
      <c r="GZ167" s="61" t="e">
        <f ca="1">AVERAGE(OFFSET($GY$3,0,0,'Données projet'!$E$18+1,1))-AVERAGE(OFFSET($H$3,0,0,'Données projet'!$E$18+1,1))</f>
        <v>#N/A</v>
      </c>
      <c r="HA167" s="61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45">
      <c r="A168" s="11">
        <f t="shared" si="161"/>
        <v>165</v>
      </c>
      <c r="B168" s="76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9">
        <f t="shared" si="110"/>
        <v>183.33333333333334</v>
      </c>
      <c r="I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-3.4106051316484809E-13</v>
      </c>
      <c r="O168" s="14">
        <f>N168*VLOOKUP('Données projet'!$B$9,Paramètres!$A$1:$I$88,3,0)*VLOOKUP('Données projet'!$B$9,Paramètres!$A$1:$I$88,5,0)</f>
        <v>-2.0395418687257919E-13</v>
      </c>
      <c r="P168" s="14" t="e">
        <f t="shared" si="141"/>
        <v>#NUM!</v>
      </c>
      <c r="Q168" s="22" t="e">
        <f t="shared" si="162"/>
        <v>#NUM!</v>
      </c>
      <c r="R168" s="61" t="e">
        <f t="shared" si="109"/>
        <v>#NUM!</v>
      </c>
      <c r="S168" s="61">
        <f ca="1">AVERAGE(OFFSET($R$3,0,0,'Données projet'!$E$9+1,1))-AVERAGE(OFFSET($H$3,0,0,'Données projet'!$E$9+1,1))</f>
        <v>445.53168057836308</v>
      </c>
      <c r="T168" s="61">
        <f t="shared" si="142"/>
        <v>326.78684646135241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61.30985287781315</v>
      </c>
      <c r="AA168" s="23">
        <f>EXP(-LN(2)/25)*AA167+(1-EXP(-LN(2)/25))/(LN(2)/25)*Calculateur!V168*Calculateur!X168*VLOOKUP('Données projet'!$B$9,Paramètres!$A$1:$I$88,3,0)*0.475*44/12</f>
        <v>2.7976946967794571</v>
      </c>
      <c r="AB168" s="23">
        <f>EXP(-LN(2)/2)*AB167+(1-EXP(-LN(2)/2))/(LN(2)/2)*V168*Y168*VLOOKUP('Données projet'!$B$9,Paramètres!$A$1:$I$88,3,0)*0.475*44/12</f>
        <v>3.3749642627601162E-15</v>
      </c>
      <c r="AC168" s="24">
        <f t="shared" si="163"/>
        <v>64.107547574592601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-6.8212102632969618E-13</v>
      </c>
      <c r="AJ168" s="14">
        <f>AI168*VLOOKUP('Données projet'!$B$10,Paramètres!$A$1:$I$88,3,0)*VLOOKUP('Données projet'!$B$10,Paramètres!$A$1:$I$88,5,0)</f>
        <v>-3.1923264032229784E-13</v>
      </c>
      <c r="AK168" s="14" t="e">
        <f t="shared" si="164"/>
        <v>#NUM!</v>
      </c>
      <c r="AL168" s="22" t="e">
        <f t="shared" si="165"/>
        <v>#NUM!</v>
      </c>
      <c r="AM168" s="61" t="e">
        <f t="shared" si="113"/>
        <v>#NUM!</v>
      </c>
      <c r="AN168" s="61">
        <f ca="1">AVERAGE(OFFSET($AM$3,0,0,'Données projet'!$E$10+1,1))-AVERAGE(OFFSET($H$3,0,0,'Données projet'!$E$10+1,1))</f>
        <v>375.77859820466693</v>
      </c>
      <c r="AO168" s="61">
        <f t="shared" si="144"/>
        <v>242.84781402593856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98.157898185598938</v>
      </c>
      <c r="AV168" s="23">
        <f>EXP(-LN(2)/25)*AV167+(1-EXP(-LN(2)/25))/(LN(2)/25)*Calculateur!AQ168*Calculateur!AS168*VLOOKUP('Données projet'!$B$9,Paramètres!$A$1:$I$88,3,0)*0.475*44/12</f>
        <v>6.7309644104765711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104.88886259607551</v>
      </c>
      <c r="AY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5.2</v>
      </c>
      <c r="BD168" s="13">
        <f>IF('Données projet'!$A$88&gt;35,BD167+BC168-BL167,IF(A168&lt;'Données projet'!$A$88,$BA$205^A168,IF(A168='Données projet'!$A$88,'Données projet'!$B$88,BD167+BC168-BL167)))</f>
        <v>248.20000000000027</v>
      </c>
      <c r="BE168" s="14">
        <f>BD168*VLOOKUP('Données projet'!$B$11,Paramètres!$A$1:$I$88,3,0)*VLOOKUP('Données projet'!$B$11,Paramètres!$A$1:$I$88,5,0)</f>
        <v>251.67480000000029</v>
      </c>
      <c r="BF168" s="14">
        <f t="shared" si="167"/>
        <v>60.944434584138556</v>
      </c>
      <c r="BG168" s="22">
        <f t="shared" si="168"/>
        <v>544.4785002340418</v>
      </c>
      <c r="BH168" s="61">
        <f t="shared" si="116"/>
        <v>832.70459526238801</v>
      </c>
      <c r="BI168" s="61">
        <f ca="1">AVERAGE(OFFSET($BH$3,0,0,'Données projet'!$E$11+1,1))-AVERAGE(OFFSET($H$3,0,0,'Données projet'!$E$11+1,1))</f>
        <v>433.57989081194</v>
      </c>
      <c r="BJ168" s="61">
        <f t="shared" si="146"/>
        <v>182.52060621271355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43.317855118155748</v>
      </c>
      <c r="BQ168" s="23">
        <f>EXP(-LN(2)/25)*BQ167+(1-EXP(-LN(2)/25))/(LN(2)/25)*Calculateur!BL168*Calculateur!BN168*VLOOKUP('Données projet'!$B$9,Paramètres!$A$1:$I$88,3,0)*0.475*44/12</f>
        <v>4.7400520905558263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48.057907208711576</v>
      </c>
      <c r="BT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1" t="e">
        <f t="shared" si="119"/>
        <v>#N/A</v>
      </c>
      <c r="CD168" s="61" t="e">
        <f ca="1">AVERAGE(OFFSET($CC$3,0,0,'Données projet'!$E$12+1,1))-AVERAGE(OFFSET($H$3,0,0,'Données projet'!$E$12+1,1))</f>
        <v>#N/A</v>
      </c>
      <c r="CE168" s="61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1" t="e">
        <f t="shared" si="122"/>
        <v>#N/A</v>
      </c>
      <c r="CY168" s="61" t="e">
        <f ca="1">AVERAGE(OFFSET($CX$3,0,0,'Données projet'!$E$13+1,1))-AVERAGE(OFFSET($H$3,0,0,'Données projet'!$E$13+1,1))</f>
        <v>#N/A</v>
      </c>
      <c r="CZ168" s="61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1" t="e">
        <f t="shared" si="125"/>
        <v>#N/A</v>
      </c>
      <c r="DT168" s="61" t="e">
        <f ca="1">AVERAGE(OFFSET($DS$3,0,0,'Données projet'!$E$14+1,1))-AVERAGE(OFFSET($H$3,0,0,'Données projet'!$E$14+1,1))</f>
        <v>#N/A</v>
      </c>
      <c r="DU168" s="61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1" t="e">
        <f t="shared" si="128"/>
        <v>#N/A</v>
      </c>
      <c r="EO168" s="61" t="e">
        <f ca="1">AVERAGE(OFFSET($EN$3,0,0,'Données projet'!$E$15+1,1))-AVERAGE(OFFSET($H$3,0,0,'Données projet'!$E$15+1,1))</f>
        <v>#N/A</v>
      </c>
      <c r="EP168" s="61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1" t="e">
        <f t="shared" si="131"/>
        <v>#N/A</v>
      </c>
      <c r="FJ168" s="61" t="e">
        <f ca="1">AVERAGE(OFFSET($FI$3,0,0,'Données projet'!$E$16+1,1))-AVERAGE(OFFSET($H$3,0,0,'Données projet'!$E$16+1,1))</f>
        <v>#N/A</v>
      </c>
      <c r="FK168" s="61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1" t="e">
        <f t="shared" si="134"/>
        <v>#N/A</v>
      </c>
      <c r="GE168" s="61" t="e">
        <f ca="1">AVERAGE(OFFSET($GD$3,0,0,'Données projet'!$E$17+1,1))-AVERAGE(OFFSET($H$3,0,0,'Données projet'!$E$17+1,1))</f>
        <v>#N/A</v>
      </c>
      <c r="GF168" s="61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1" t="e">
        <f t="shared" si="137"/>
        <v>#N/A</v>
      </c>
      <c r="GZ168" s="61" t="e">
        <f ca="1">AVERAGE(OFFSET($GY$3,0,0,'Données projet'!$E$18+1,1))-AVERAGE(OFFSET($H$3,0,0,'Données projet'!$E$18+1,1))</f>
        <v>#N/A</v>
      </c>
      <c r="HA168" s="61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45">
      <c r="A169" s="11">
        <f t="shared" si="161"/>
        <v>166</v>
      </c>
      <c r="B169" s="76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9">
        <f t="shared" si="110"/>
        <v>183.33333333333334</v>
      </c>
      <c r="I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-3.4106051316484809E-13</v>
      </c>
      <c r="O169" s="14">
        <f>N169*VLOOKUP('Données projet'!$B$9,Paramètres!$A$1:$I$88,3,0)*VLOOKUP('Données projet'!$B$9,Paramètres!$A$1:$I$88,5,0)</f>
        <v>-2.0395418687257919E-13</v>
      </c>
      <c r="P169" s="14" t="e">
        <f t="shared" si="141"/>
        <v>#NUM!</v>
      </c>
      <c r="Q169" s="22" t="e">
        <f t="shared" si="162"/>
        <v>#NUM!</v>
      </c>
      <c r="R169" s="61" t="e">
        <f t="shared" si="109"/>
        <v>#NUM!</v>
      </c>
      <c r="S169" s="61">
        <f ca="1">AVERAGE(OFFSET($R$3,0,0,'Données projet'!$E$9+1,1))-AVERAGE(OFFSET($H$3,0,0,'Données projet'!$E$9+1,1))</f>
        <v>445.53168057836308</v>
      </c>
      <c r="T169" s="61">
        <f t="shared" si="142"/>
        <v>326.78684646135241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60.107604058197005</v>
      </c>
      <c r="AA169" s="23">
        <f>EXP(-LN(2)/25)*AA168+(1-EXP(-LN(2)/25))/(LN(2)/25)*Calculateur!V169*Calculateur!X169*VLOOKUP('Données projet'!$B$9,Paramètres!$A$1:$I$88,3,0)*0.475*44/12</f>
        <v>2.7211915881716529</v>
      </c>
      <c r="AB169" s="23">
        <f>EXP(-LN(2)/2)*AB168+(1-EXP(-LN(2)/2))/(LN(2)/2)*V169*Y169*VLOOKUP('Données projet'!$B$9,Paramètres!$A$1:$I$88,3,0)*0.475*44/12</f>
        <v>2.3864601164599351E-15</v>
      </c>
      <c r="AC169" s="24">
        <f t="shared" si="163"/>
        <v>62.828795646368661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-6.8212102632969618E-13</v>
      </c>
      <c r="AJ169" s="14">
        <f>AI169*VLOOKUP('Données projet'!$B$10,Paramètres!$A$1:$I$88,3,0)*VLOOKUP('Données projet'!$B$10,Paramètres!$A$1:$I$88,5,0)</f>
        <v>-3.1923264032229784E-13</v>
      </c>
      <c r="AK169" s="14" t="e">
        <f t="shared" si="164"/>
        <v>#NUM!</v>
      </c>
      <c r="AL169" s="22" t="e">
        <f t="shared" si="165"/>
        <v>#NUM!</v>
      </c>
      <c r="AM169" s="61" t="e">
        <f t="shared" si="113"/>
        <v>#NUM!</v>
      </c>
      <c r="AN169" s="61">
        <f ca="1">AVERAGE(OFFSET($AM$3,0,0,'Données projet'!$E$10+1,1))-AVERAGE(OFFSET($H$3,0,0,'Données projet'!$E$10+1,1))</f>
        <v>375.77859820466693</v>
      </c>
      <c r="AO169" s="61">
        <f t="shared" si="144"/>
        <v>242.84781402593856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96.233081672585527</v>
      </c>
      <c r="AV169" s="23">
        <f>EXP(-LN(2)/25)*AV168+(1-EXP(-LN(2)/25))/(LN(2)/25)*Calculateur!AQ169*Calculateur!AS169*VLOOKUP('Données projet'!$B$9,Paramètres!$A$1:$I$88,3,0)*0.475*44/12</f>
        <v>6.5469058347060551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102.77998750729158</v>
      </c>
      <c r="AY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5.2</v>
      </c>
      <c r="BD169" s="13">
        <f>IF('Données projet'!$A$88&gt;35,BD168+BC169-BL168,IF(A169&lt;'Données projet'!$A$88,$BA$205^A169,IF(A169='Données projet'!$A$88,'Données projet'!$B$88,BD168+BC169-BL168)))</f>
        <v>253.40000000000026</v>
      </c>
      <c r="BE169" s="14">
        <f>BD169*VLOOKUP('Données projet'!$B$11,Paramètres!$A$1:$I$88,3,0)*VLOOKUP('Données projet'!$B$11,Paramètres!$A$1:$I$88,5,0)</f>
        <v>256.94760000000031</v>
      </c>
      <c r="BF169" s="14">
        <f t="shared" si="167"/>
        <v>62.071283104858352</v>
      </c>
      <c r="BG169" s="22">
        <f t="shared" si="168"/>
        <v>555.62455474096214</v>
      </c>
      <c r="BH169" s="61">
        <f t="shared" si="116"/>
        <v>843.93924893582562</v>
      </c>
      <c r="BI169" s="61">
        <f ca="1">AVERAGE(OFFSET($BH$3,0,0,'Données projet'!$E$11+1,1))-AVERAGE(OFFSET($H$3,0,0,'Données projet'!$E$11+1,1))</f>
        <v>433.57989081194</v>
      </c>
      <c r="BJ169" s="61">
        <f t="shared" si="146"/>
        <v>182.52060621271355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42.468418400571451</v>
      </c>
      <c r="BQ169" s="23">
        <f>EXP(-LN(2)/25)*BQ168+(1-EXP(-LN(2)/25))/(LN(2)/25)*Calculateur!BL169*Calculateur!BN169*VLOOKUP('Données projet'!$B$9,Paramètres!$A$1:$I$88,3,0)*0.475*44/12</f>
        <v>4.6104351168710718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47.078853517442525</v>
      </c>
      <c r="BT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1" t="e">
        <f t="shared" si="119"/>
        <v>#N/A</v>
      </c>
      <c r="CD169" s="61" t="e">
        <f ca="1">AVERAGE(OFFSET($CC$3,0,0,'Données projet'!$E$12+1,1))-AVERAGE(OFFSET($H$3,0,0,'Données projet'!$E$12+1,1))</f>
        <v>#N/A</v>
      </c>
      <c r="CE169" s="61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1" t="e">
        <f t="shared" si="122"/>
        <v>#N/A</v>
      </c>
      <c r="CY169" s="61" t="e">
        <f ca="1">AVERAGE(OFFSET($CX$3,0,0,'Données projet'!$E$13+1,1))-AVERAGE(OFFSET($H$3,0,0,'Données projet'!$E$13+1,1))</f>
        <v>#N/A</v>
      </c>
      <c r="CZ169" s="61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1" t="e">
        <f t="shared" si="125"/>
        <v>#N/A</v>
      </c>
      <c r="DT169" s="61" t="e">
        <f ca="1">AVERAGE(OFFSET($DS$3,0,0,'Données projet'!$E$14+1,1))-AVERAGE(OFFSET($H$3,0,0,'Données projet'!$E$14+1,1))</f>
        <v>#N/A</v>
      </c>
      <c r="DU169" s="61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1" t="e">
        <f t="shared" si="128"/>
        <v>#N/A</v>
      </c>
      <c r="EO169" s="61" t="e">
        <f ca="1">AVERAGE(OFFSET($EN$3,0,0,'Données projet'!$E$15+1,1))-AVERAGE(OFFSET($H$3,0,0,'Données projet'!$E$15+1,1))</f>
        <v>#N/A</v>
      </c>
      <c r="EP169" s="61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1" t="e">
        <f t="shared" si="131"/>
        <v>#N/A</v>
      </c>
      <c r="FJ169" s="61" t="e">
        <f ca="1">AVERAGE(OFFSET($FI$3,0,0,'Données projet'!$E$16+1,1))-AVERAGE(OFFSET($H$3,0,0,'Données projet'!$E$16+1,1))</f>
        <v>#N/A</v>
      </c>
      <c r="FK169" s="61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1" t="e">
        <f t="shared" si="134"/>
        <v>#N/A</v>
      </c>
      <c r="GE169" s="61" t="e">
        <f ca="1">AVERAGE(OFFSET($GD$3,0,0,'Données projet'!$E$17+1,1))-AVERAGE(OFFSET($H$3,0,0,'Données projet'!$E$17+1,1))</f>
        <v>#N/A</v>
      </c>
      <c r="GF169" s="61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1" t="e">
        <f t="shared" si="137"/>
        <v>#N/A</v>
      </c>
      <c r="GZ169" s="61" t="e">
        <f ca="1">AVERAGE(OFFSET($GY$3,0,0,'Données projet'!$E$18+1,1))-AVERAGE(OFFSET($H$3,0,0,'Données projet'!$E$18+1,1))</f>
        <v>#N/A</v>
      </c>
      <c r="HA169" s="61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45">
      <c r="A170" s="11">
        <f t="shared" si="161"/>
        <v>167</v>
      </c>
      <c r="B170" s="76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9">
        <f t="shared" si="110"/>
        <v>183.33333333333334</v>
      </c>
      <c r="I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-3.4106051316484809E-13</v>
      </c>
      <c r="O170" s="14">
        <f>N170*VLOOKUP('Données projet'!$B$9,Paramètres!$A$1:$I$88,3,0)*VLOOKUP('Données projet'!$B$9,Paramètres!$A$1:$I$88,5,0)</f>
        <v>-2.0395418687257919E-13</v>
      </c>
      <c r="P170" s="14" t="e">
        <f t="shared" si="141"/>
        <v>#NUM!</v>
      </c>
      <c r="Q170" s="22" t="e">
        <f t="shared" si="162"/>
        <v>#NUM!</v>
      </c>
      <c r="R170" s="61" t="e">
        <f t="shared" si="109"/>
        <v>#NUM!</v>
      </c>
      <c r="S170" s="61">
        <f ca="1">AVERAGE(OFFSET($R$3,0,0,'Données projet'!$E$9+1,1))-AVERAGE(OFFSET($H$3,0,0,'Données projet'!$E$9+1,1))</f>
        <v>445.53168057836308</v>
      </c>
      <c r="T170" s="61">
        <f t="shared" si="142"/>
        <v>326.78684646135241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58.928930604634161</v>
      </c>
      <c r="AA170" s="23">
        <f>EXP(-LN(2)/25)*AA169+(1-EXP(-LN(2)/25))/(LN(2)/25)*Calculateur!V170*Calculateur!X170*VLOOKUP('Données projet'!$B$9,Paramètres!$A$1:$I$88,3,0)*0.475*44/12</f>
        <v>2.6467804610918528</v>
      </c>
      <c r="AB170" s="23">
        <f>EXP(-LN(2)/2)*AB169+(1-EXP(-LN(2)/2))/(LN(2)/2)*V170*Y170*VLOOKUP('Données projet'!$B$9,Paramètres!$A$1:$I$88,3,0)*0.475*44/12</f>
        <v>1.6874821313800581E-15</v>
      </c>
      <c r="AC170" s="24">
        <f t="shared" si="163"/>
        <v>61.575711065726011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-6.8212102632969618E-13</v>
      </c>
      <c r="AJ170" s="14">
        <f>AI170*VLOOKUP('Données projet'!$B$10,Paramètres!$A$1:$I$88,3,0)*VLOOKUP('Données projet'!$B$10,Paramètres!$A$1:$I$88,5,0)</f>
        <v>-3.1923264032229784E-13</v>
      </c>
      <c r="AK170" s="14" t="e">
        <f t="shared" si="164"/>
        <v>#NUM!</v>
      </c>
      <c r="AL170" s="22" t="e">
        <f t="shared" si="165"/>
        <v>#NUM!</v>
      </c>
      <c r="AM170" s="61" t="e">
        <f t="shared" si="113"/>
        <v>#NUM!</v>
      </c>
      <c r="AN170" s="61">
        <f ca="1">AVERAGE(OFFSET($AM$3,0,0,'Données projet'!$E$10+1,1))-AVERAGE(OFFSET($H$3,0,0,'Données projet'!$E$10+1,1))</f>
        <v>375.77859820466693</v>
      </c>
      <c r="AO170" s="61">
        <f t="shared" si="144"/>
        <v>242.84781402593856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94.346009637370159</v>
      </c>
      <c r="AV170" s="23">
        <f>EXP(-LN(2)/25)*AV169+(1-EXP(-LN(2)/25))/(LN(2)/25)*Calculateur!AQ170*Calculateur!AS170*VLOOKUP('Données projet'!$B$9,Paramètres!$A$1:$I$88,3,0)*0.475*44/12</f>
        <v>6.3678803503692034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100.71388998773936</v>
      </c>
      <c r="AY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5.2</v>
      </c>
      <c r="BD170" s="13">
        <f>IF('Données projet'!$A$88&gt;35,BD169+BC170-BL169,IF(A170&lt;'Données projet'!$A$88,$BA$205^A170,IF(A170='Données projet'!$A$88,'Données projet'!$B$88,BD169+BC170-BL169)))</f>
        <v>258.60000000000025</v>
      </c>
      <c r="BE170" s="14">
        <f>BD170*VLOOKUP('Données projet'!$B$11,Paramètres!$A$1:$I$88,3,0)*VLOOKUP('Données projet'!$B$11,Paramètres!$A$1:$I$88,5,0)</f>
        <v>262.22040000000027</v>
      </c>
      <c r="BF170" s="14">
        <f t="shared" si="167"/>
        <v>63.195443008884105</v>
      </c>
      <c r="BG170" s="22">
        <f t="shared" si="168"/>
        <v>566.76592657380695</v>
      </c>
      <c r="BH170" s="61">
        <f t="shared" si="116"/>
        <v>855.16768293772657</v>
      </c>
      <c r="BI170" s="61">
        <f ca="1">AVERAGE(OFFSET($BH$3,0,0,'Données projet'!$E$11+1,1))-AVERAGE(OFFSET($H$3,0,0,'Données projet'!$E$11+1,1))</f>
        <v>433.57989081194</v>
      </c>
      <c r="BJ170" s="61">
        <f t="shared" si="146"/>
        <v>182.52060621271355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41.635638618913745</v>
      </c>
      <c r="BQ170" s="23">
        <f>EXP(-LN(2)/25)*BQ169+(1-EXP(-LN(2)/25))/(LN(2)/25)*Calculateur!BL170*Calculateur!BN170*VLOOKUP('Données projet'!$B$9,Paramètres!$A$1:$I$88,3,0)*0.475*44/12</f>
        <v>4.4843625261479865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46.120001145061735</v>
      </c>
      <c r="BT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1" t="e">
        <f t="shared" si="119"/>
        <v>#N/A</v>
      </c>
      <c r="CD170" s="61" t="e">
        <f ca="1">AVERAGE(OFFSET($CC$3,0,0,'Données projet'!$E$12+1,1))-AVERAGE(OFFSET($H$3,0,0,'Données projet'!$E$12+1,1))</f>
        <v>#N/A</v>
      </c>
      <c r="CE170" s="61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1" t="e">
        <f t="shared" si="122"/>
        <v>#N/A</v>
      </c>
      <c r="CY170" s="61" t="e">
        <f ca="1">AVERAGE(OFFSET($CX$3,0,0,'Données projet'!$E$13+1,1))-AVERAGE(OFFSET($H$3,0,0,'Données projet'!$E$13+1,1))</f>
        <v>#N/A</v>
      </c>
      <c r="CZ170" s="61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1" t="e">
        <f t="shared" si="125"/>
        <v>#N/A</v>
      </c>
      <c r="DT170" s="61" t="e">
        <f ca="1">AVERAGE(OFFSET($DS$3,0,0,'Données projet'!$E$14+1,1))-AVERAGE(OFFSET($H$3,0,0,'Données projet'!$E$14+1,1))</f>
        <v>#N/A</v>
      </c>
      <c r="DU170" s="61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1" t="e">
        <f t="shared" si="128"/>
        <v>#N/A</v>
      </c>
      <c r="EO170" s="61" t="e">
        <f ca="1">AVERAGE(OFFSET($EN$3,0,0,'Données projet'!$E$15+1,1))-AVERAGE(OFFSET($H$3,0,0,'Données projet'!$E$15+1,1))</f>
        <v>#N/A</v>
      </c>
      <c r="EP170" s="61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1" t="e">
        <f t="shared" si="131"/>
        <v>#N/A</v>
      </c>
      <c r="FJ170" s="61" t="e">
        <f ca="1">AVERAGE(OFFSET($FI$3,0,0,'Données projet'!$E$16+1,1))-AVERAGE(OFFSET($H$3,0,0,'Données projet'!$E$16+1,1))</f>
        <v>#N/A</v>
      </c>
      <c r="FK170" s="61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1" t="e">
        <f t="shared" si="134"/>
        <v>#N/A</v>
      </c>
      <c r="GE170" s="61" t="e">
        <f ca="1">AVERAGE(OFFSET($GD$3,0,0,'Données projet'!$E$17+1,1))-AVERAGE(OFFSET($H$3,0,0,'Données projet'!$E$17+1,1))</f>
        <v>#N/A</v>
      </c>
      <c r="GF170" s="61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1" t="e">
        <f t="shared" si="137"/>
        <v>#N/A</v>
      </c>
      <c r="GZ170" s="61" t="e">
        <f ca="1">AVERAGE(OFFSET($GY$3,0,0,'Données projet'!$E$18+1,1))-AVERAGE(OFFSET($H$3,0,0,'Données projet'!$E$18+1,1))</f>
        <v>#N/A</v>
      </c>
      <c r="HA170" s="61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45">
      <c r="A171" s="11">
        <f t="shared" si="161"/>
        <v>168</v>
      </c>
      <c r="B171" s="76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9">
        <f t="shared" si="110"/>
        <v>183.33333333333334</v>
      </c>
      <c r="I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-3.4106051316484809E-13</v>
      </c>
      <c r="O171" s="14">
        <f>N171*VLOOKUP('Données projet'!$B$9,Paramètres!$A$1:$I$88,3,0)*VLOOKUP('Données projet'!$B$9,Paramètres!$A$1:$I$88,5,0)</f>
        <v>-2.0395418687257919E-13</v>
      </c>
      <c r="P171" s="14" t="e">
        <f t="shared" si="141"/>
        <v>#NUM!</v>
      </c>
      <c r="Q171" s="22" t="e">
        <f t="shared" si="162"/>
        <v>#NUM!</v>
      </c>
      <c r="R171" s="61" t="e">
        <f t="shared" si="109"/>
        <v>#NUM!</v>
      </c>
      <c r="S171" s="61">
        <f ca="1">AVERAGE(OFFSET($R$3,0,0,'Données projet'!$E$9+1,1))-AVERAGE(OFFSET($H$3,0,0,'Données projet'!$E$9+1,1))</f>
        <v>445.53168057836308</v>
      </c>
      <c r="T171" s="61">
        <f t="shared" si="142"/>
        <v>326.78684646135241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57.77337021857587</v>
      </c>
      <c r="AA171" s="23">
        <f>EXP(-LN(2)/25)*AA170+(1-EXP(-LN(2)/25))/(LN(2)/25)*Calculateur!V171*Calculateur!X171*VLOOKUP('Données projet'!$B$9,Paramètres!$A$1:$I$88,3,0)*0.475*44/12</f>
        <v>2.5744041101951609</v>
      </c>
      <c r="AB171" s="23">
        <f>EXP(-LN(2)/2)*AB170+(1-EXP(-LN(2)/2))/(LN(2)/2)*V171*Y171*VLOOKUP('Données projet'!$B$9,Paramètres!$A$1:$I$88,3,0)*0.475*44/12</f>
        <v>1.1932300582299676E-15</v>
      </c>
      <c r="AC171" s="24">
        <f t="shared" si="163"/>
        <v>60.347774328771031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-6.8212102632969618E-13</v>
      </c>
      <c r="AJ171" s="14">
        <f>AI171*VLOOKUP('Données projet'!$B$10,Paramètres!$A$1:$I$88,3,0)*VLOOKUP('Données projet'!$B$10,Paramètres!$A$1:$I$88,5,0)</f>
        <v>-3.1923264032229784E-13</v>
      </c>
      <c r="AK171" s="14" t="e">
        <f t="shared" si="164"/>
        <v>#NUM!</v>
      </c>
      <c r="AL171" s="22" t="e">
        <f t="shared" si="165"/>
        <v>#NUM!</v>
      </c>
      <c r="AM171" s="61" t="e">
        <f t="shared" si="113"/>
        <v>#NUM!</v>
      </c>
      <c r="AN171" s="61">
        <f ca="1">AVERAGE(OFFSET($AM$3,0,0,'Données projet'!$E$10+1,1))-AVERAGE(OFFSET($H$3,0,0,'Données projet'!$E$10+1,1))</f>
        <v>375.77859820466693</v>
      </c>
      <c r="AO171" s="61">
        <f t="shared" si="144"/>
        <v>242.84781402593856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92.495941933765067</v>
      </c>
      <c r="AV171" s="23">
        <f>EXP(-LN(2)/25)*AV170+(1-EXP(-LN(2)/25))/(LN(2)/25)*Calculateur!AQ171*Calculateur!AS171*VLOOKUP('Données projet'!$B$9,Paramètres!$A$1:$I$88,3,0)*0.475*44/12</f>
        <v>6.1937503273160841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98.689692261081149</v>
      </c>
      <c r="AY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5.2</v>
      </c>
      <c r="BD171" s="13">
        <f>IF('Données projet'!$A$88&gt;35,BD170+BC171-BL170,IF(A171&lt;'Données projet'!$A$88,$BA$205^A171,IF(A171='Données projet'!$A$88,'Données projet'!$B$88,BD170+BC171-BL170)))</f>
        <v>263.80000000000024</v>
      </c>
      <c r="BE171" s="14">
        <f>BD171*VLOOKUP('Données projet'!$B$11,Paramètres!$A$1:$I$88,3,0)*VLOOKUP('Données projet'!$B$11,Paramètres!$A$1:$I$88,5,0)</f>
        <v>267.49320000000029</v>
      </c>
      <c r="BF171" s="14">
        <f t="shared" si="167"/>
        <v>64.316974590266341</v>
      </c>
      <c r="BG171" s="22">
        <f t="shared" si="168"/>
        <v>577.90272074471432</v>
      </c>
      <c r="BH171" s="61">
        <f t="shared" si="116"/>
        <v>866.39002894369878</v>
      </c>
      <c r="BI171" s="61">
        <f ca="1">AVERAGE(OFFSET($BH$3,0,0,'Données projet'!$E$11+1,1))-AVERAGE(OFFSET($H$3,0,0,'Données projet'!$E$11+1,1))</f>
        <v>433.57989081194</v>
      </c>
      <c r="BJ171" s="61">
        <f t="shared" si="146"/>
        <v>182.52060621271355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40.819189140828833</v>
      </c>
      <c r="BQ171" s="23">
        <f>EXP(-LN(2)/25)*BQ170+(1-EXP(-LN(2)/25))/(LN(2)/25)*Calculateur!BL171*Calculateur!BN171*VLOOKUP('Données projet'!$B$9,Paramètres!$A$1:$I$88,3,0)*0.475*44/12</f>
        <v>4.3617373970480937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45.180926537876928</v>
      </c>
      <c r="BT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1" t="e">
        <f t="shared" si="119"/>
        <v>#N/A</v>
      </c>
      <c r="CD171" s="61" t="e">
        <f ca="1">AVERAGE(OFFSET($CC$3,0,0,'Données projet'!$E$12+1,1))-AVERAGE(OFFSET($H$3,0,0,'Données projet'!$E$12+1,1))</f>
        <v>#N/A</v>
      </c>
      <c r="CE171" s="61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1" t="e">
        <f t="shared" si="122"/>
        <v>#N/A</v>
      </c>
      <c r="CY171" s="61" t="e">
        <f ca="1">AVERAGE(OFFSET($CX$3,0,0,'Données projet'!$E$13+1,1))-AVERAGE(OFFSET($H$3,0,0,'Données projet'!$E$13+1,1))</f>
        <v>#N/A</v>
      </c>
      <c r="CZ171" s="61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1" t="e">
        <f t="shared" si="125"/>
        <v>#N/A</v>
      </c>
      <c r="DT171" s="61" t="e">
        <f ca="1">AVERAGE(OFFSET($DS$3,0,0,'Données projet'!$E$14+1,1))-AVERAGE(OFFSET($H$3,0,0,'Données projet'!$E$14+1,1))</f>
        <v>#N/A</v>
      </c>
      <c r="DU171" s="61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1" t="e">
        <f t="shared" si="128"/>
        <v>#N/A</v>
      </c>
      <c r="EO171" s="61" t="e">
        <f ca="1">AVERAGE(OFFSET($EN$3,0,0,'Données projet'!$E$15+1,1))-AVERAGE(OFFSET($H$3,0,0,'Données projet'!$E$15+1,1))</f>
        <v>#N/A</v>
      </c>
      <c r="EP171" s="61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1" t="e">
        <f t="shared" si="131"/>
        <v>#N/A</v>
      </c>
      <c r="FJ171" s="61" t="e">
        <f ca="1">AVERAGE(OFFSET($FI$3,0,0,'Données projet'!$E$16+1,1))-AVERAGE(OFFSET($H$3,0,0,'Données projet'!$E$16+1,1))</f>
        <v>#N/A</v>
      </c>
      <c r="FK171" s="61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1" t="e">
        <f t="shared" si="134"/>
        <v>#N/A</v>
      </c>
      <c r="GE171" s="61" t="e">
        <f ca="1">AVERAGE(OFFSET($GD$3,0,0,'Données projet'!$E$17+1,1))-AVERAGE(OFFSET($H$3,0,0,'Données projet'!$E$17+1,1))</f>
        <v>#N/A</v>
      </c>
      <c r="GF171" s="61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1" t="e">
        <f t="shared" si="137"/>
        <v>#N/A</v>
      </c>
      <c r="GZ171" s="61" t="e">
        <f ca="1">AVERAGE(OFFSET($GY$3,0,0,'Données projet'!$E$18+1,1))-AVERAGE(OFFSET($H$3,0,0,'Données projet'!$E$18+1,1))</f>
        <v>#N/A</v>
      </c>
      <c r="HA171" s="61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45">
      <c r="A172" s="11">
        <f t="shared" si="161"/>
        <v>169</v>
      </c>
      <c r="B172" s="76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9">
        <f t="shared" si="110"/>
        <v>183.33333333333334</v>
      </c>
      <c r="I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-3.4106051316484809E-13</v>
      </c>
      <c r="O172" s="14">
        <f>N172*VLOOKUP('Données projet'!$B$9,Paramètres!$A$1:$I$88,3,0)*VLOOKUP('Données projet'!$B$9,Paramètres!$A$1:$I$88,5,0)</f>
        <v>-2.0395418687257919E-13</v>
      </c>
      <c r="P172" s="14" t="e">
        <f t="shared" si="141"/>
        <v>#NUM!</v>
      </c>
      <c r="Q172" s="22" t="e">
        <f t="shared" si="162"/>
        <v>#NUM!</v>
      </c>
      <c r="R172" s="61" t="e">
        <f t="shared" si="109"/>
        <v>#NUM!</v>
      </c>
      <c r="S172" s="61">
        <f ca="1">AVERAGE(OFFSET($R$3,0,0,'Données projet'!$E$9+1,1))-AVERAGE(OFFSET($H$3,0,0,'Données projet'!$E$9+1,1))</f>
        <v>445.53168057836308</v>
      </c>
      <c r="T172" s="61">
        <f t="shared" si="142"/>
        <v>326.78684646135241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56.64046966686594</v>
      </c>
      <c r="AA172" s="23">
        <f>EXP(-LN(2)/25)*AA171+(1-EXP(-LN(2)/25))/(LN(2)/25)*Calculateur!V172*Calculateur!X172*VLOOKUP('Données projet'!$B$9,Paramètres!$A$1:$I$88,3,0)*0.475*44/12</f>
        <v>2.5040068944198461</v>
      </c>
      <c r="AB172" s="23">
        <f>EXP(-LN(2)/2)*AB171+(1-EXP(-LN(2)/2))/(LN(2)/2)*V172*Y172*VLOOKUP('Données projet'!$B$9,Paramètres!$A$1:$I$88,3,0)*0.475*44/12</f>
        <v>8.4374106569002904E-16</v>
      </c>
      <c r="AC172" s="24">
        <f t="shared" si="163"/>
        <v>59.144476561285785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-6.8212102632969618E-13</v>
      </c>
      <c r="AJ172" s="14">
        <f>AI172*VLOOKUP('Données projet'!$B$10,Paramètres!$A$1:$I$88,3,0)*VLOOKUP('Données projet'!$B$10,Paramètres!$A$1:$I$88,5,0)</f>
        <v>-3.1923264032229784E-13</v>
      </c>
      <c r="AK172" s="14" t="e">
        <f t="shared" si="164"/>
        <v>#NUM!</v>
      </c>
      <c r="AL172" s="22" t="e">
        <f t="shared" si="165"/>
        <v>#NUM!</v>
      </c>
      <c r="AM172" s="61" t="e">
        <f t="shared" si="113"/>
        <v>#NUM!</v>
      </c>
      <c r="AN172" s="61">
        <f ca="1">AVERAGE(OFFSET($AM$3,0,0,'Données projet'!$E$10+1,1))-AVERAGE(OFFSET($H$3,0,0,'Données projet'!$E$10+1,1))</f>
        <v>375.77859820466693</v>
      </c>
      <c r="AO172" s="61">
        <f t="shared" si="144"/>
        <v>242.84781402593856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90.682152929397802</v>
      </c>
      <c r="AV172" s="23">
        <f>EXP(-LN(2)/25)*AV171+(1-EXP(-LN(2)/25))/(LN(2)/25)*Calculateur!AQ172*Calculateur!AS172*VLOOKUP('Données projet'!$B$9,Paramètres!$A$1:$I$88,3,0)*0.475*44/12</f>
        <v>6.0243818989004518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96.70653482829826</v>
      </c>
      <c r="AY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5.2</v>
      </c>
      <c r="BD172" s="13">
        <f>IF('Données projet'!$A$88&gt;35,BD171+BC172-BL171,IF(A172&lt;'Données projet'!$A$88,$BA$205^A172,IF(A172='Données projet'!$A$88,'Données projet'!$B$88,BD171+BC172-BL171)))</f>
        <v>269.00000000000023</v>
      </c>
      <c r="BE172" s="14">
        <f>BD172*VLOOKUP('Données projet'!$B$11,Paramètres!$A$1:$I$88,3,0)*VLOOKUP('Données projet'!$B$11,Paramètres!$A$1:$I$88,5,0)</f>
        <v>272.76600000000025</v>
      </c>
      <c r="BF172" s="14">
        <f t="shared" si="167"/>
        <v>65.435935630087627</v>
      </c>
      <c r="BG172" s="22">
        <f t="shared" si="168"/>
        <v>589.03503788906971</v>
      </c>
      <c r="BH172" s="61">
        <f t="shared" si="116"/>
        <v>877.60641379004619</v>
      </c>
      <c r="BI172" s="61">
        <f ca="1">AVERAGE(OFFSET($BH$3,0,0,'Données projet'!$E$11+1,1))-AVERAGE(OFFSET($H$3,0,0,'Données projet'!$E$11+1,1))</f>
        <v>433.57989081194</v>
      </c>
      <c r="BJ172" s="61">
        <f t="shared" si="146"/>
        <v>182.52060621271355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40.018749739024159</v>
      </c>
      <c r="BQ172" s="23">
        <f>EXP(-LN(2)/25)*BQ171+(1-EXP(-LN(2)/25))/(LN(2)/25)*Calculateur!BL172*Calculateur!BN172*VLOOKUP('Données projet'!$B$9,Paramètres!$A$1:$I$88,3,0)*0.475*44/12</f>
        <v>4.2424654585520125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44.261215197576171</v>
      </c>
      <c r="BT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1" t="e">
        <f t="shared" si="119"/>
        <v>#N/A</v>
      </c>
      <c r="CD172" s="61" t="e">
        <f ca="1">AVERAGE(OFFSET($CC$3,0,0,'Données projet'!$E$12+1,1))-AVERAGE(OFFSET($H$3,0,0,'Données projet'!$E$12+1,1))</f>
        <v>#N/A</v>
      </c>
      <c r="CE172" s="61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1" t="e">
        <f t="shared" si="122"/>
        <v>#N/A</v>
      </c>
      <c r="CY172" s="61" t="e">
        <f ca="1">AVERAGE(OFFSET($CX$3,0,0,'Données projet'!$E$13+1,1))-AVERAGE(OFFSET($H$3,0,0,'Données projet'!$E$13+1,1))</f>
        <v>#N/A</v>
      </c>
      <c r="CZ172" s="61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1" t="e">
        <f t="shared" si="125"/>
        <v>#N/A</v>
      </c>
      <c r="DT172" s="61" t="e">
        <f ca="1">AVERAGE(OFFSET($DS$3,0,0,'Données projet'!$E$14+1,1))-AVERAGE(OFFSET($H$3,0,0,'Données projet'!$E$14+1,1))</f>
        <v>#N/A</v>
      </c>
      <c r="DU172" s="61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1" t="e">
        <f t="shared" si="128"/>
        <v>#N/A</v>
      </c>
      <c r="EO172" s="61" t="e">
        <f ca="1">AVERAGE(OFFSET($EN$3,0,0,'Données projet'!$E$15+1,1))-AVERAGE(OFFSET($H$3,0,0,'Données projet'!$E$15+1,1))</f>
        <v>#N/A</v>
      </c>
      <c r="EP172" s="61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1" t="e">
        <f t="shared" si="131"/>
        <v>#N/A</v>
      </c>
      <c r="FJ172" s="61" t="e">
        <f ca="1">AVERAGE(OFFSET($FI$3,0,0,'Données projet'!$E$16+1,1))-AVERAGE(OFFSET($H$3,0,0,'Données projet'!$E$16+1,1))</f>
        <v>#N/A</v>
      </c>
      <c r="FK172" s="61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1" t="e">
        <f t="shared" si="134"/>
        <v>#N/A</v>
      </c>
      <c r="GE172" s="61" t="e">
        <f ca="1">AVERAGE(OFFSET($GD$3,0,0,'Données projet'!$E$17+1,1))-AVERAGE(OFFSET($H$3,0,0,'Données projet'!$E$17+1,1))</f>
        <v>#N/A</v>
      </c>
      <c r="GF172" s="61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1" t="e">
        <f t="shared" si="137"/>
        <v>#N/A</v>
      </c>
      <c r="GZ172" s="61" t="e">
        <f ca="1">AVERAGE(OFFSET($GY$3,0,0,'Données projet'!$E$18+1,1))-AVERAGE(OFFSET($H$3,0,0,'Données projet'!$E$18+1,1))</f>
        <v>#N/A</v>
      </c>
      <c r="HA172" s="61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45">
      <c r="A173" s="11">
        <f t="shared" si="161"/>
        <v>170</v>
      </c>
      <c r="B173" s="76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9">
        <f t="shared" si="110"/>
        <v>183.33333333333334</v>
      </c>
      <c r="I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-3.4106051316484809E-13</v>
      </c>
      <c r="O173" s="14">
        <f>N173*VLOOKUP('Données projet'!$B$9,Paramètres!$A$1:$I$88,3,0)*VLOOKUP('Données projet'!$B$9,Paramètres!$A$1:$I$88,5,0)</f>
        <v>-2.0395418687257919E-13</v>
      </c>
      <c r="P173" s="14" t="e">
        <f t="shared" si="141"/>
        <v>#NUM!</v>
      </c>
      <c r="Q173" s="22" t="e">
        <f t="shared" si="162"/>
        <v>#NUM!</v>
      </c>
      <c r="R173" s="61" t="e">
        <f t="shared" si="109"/>
        <v>#NUM!</v>
      </c>
      <c r="S173" s="61">
        <f ca="1">AVERAGE(OFFSET($R$3,0,0,'Données projet'!$E$9+1,1))-AVERAGE(OFFSET($H$3,0,0,'Données projet'!$E$9+1,1))</f>
        <v>445.53168057836308</v>
      </c>
      <c r="T173" s="61">
        <f t="shared" si="142"/>
        <v>326.78684646135241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55.529784603973937</v>
      </c>
      <c r="AA173" s="23">
        <f>EXP(-LN(2)/25)*AA172+(1-EXP(-LN(2)/25))/(LN(2)/25)*Calculateur!V173*Calculateur!X173*VLOOKUP('Données projet'!$B$9,Paramètres!$A$1:$I$88,3,0)*0.475*44/12</f>
        <v>2.435534694211936</v>
      </c>
      <c r="AB173" s="23">
        <f>EXP(-LN(2)/2)*AB172+(1-EXP(-LN(2)/2))/(LN(2)/2)*V173*Y173*VLOOKUP('Données projet'!$B$9,Paramètres!$A$1:$I$88,3,0)*0.475*44/12</f>
        <v>5.9661502911498378E-16</v>
      </c>
      <c r="AC173" s="24">
        <f t="shared" si="163"/>
        <v>57.965319298185875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-6.8212102632969618E-13</v>
      </c>
      <c r="AJ173" s="14">
        <f>AI173*VLOOKUP('Données projet'!$B$10,Paramètres!$A$1:$I$88,3,0)*VLOOKUP('Données projet'!$B$10,Paramètres!$A$1:$I$88,5,0)</f>
        <v>-3.1923264032229784E-13</v>
      </c>
      <c r="AK173" s="14" t="e">
        <f t="shared" si="164"/>
        <v>#NUM!</v>
      </c>
      <c r="AL173" s="22" t="e">
        <f t="shared" si="165"/>
        <v>#NUM!</v>
      </c>
      <c r="AM173" s="61" t="e">
        <f t="shared" si="113"/>
        <v>#NUM!</v>
      </c>
      <c r="AN173" s="61">
        <f ca="1">AVERAGE(OFFSET($AM$3,0,0,'Données projet'!$E$10+1,1))-AVERAGE(OFFSET($H$3,0,0,'Données projet'!$E$10+1,1))</f>
        <v>375.77859820466693</v>
      </c>
      <c r="AO173" s="61">
        <f t="shared" si="144"/>
        <v>242.84781402593856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88.903931221104131</v>
      </c>
      <c r="AV173" s="23">
        <f>EXP(-LN(2)/25)*AV172+(1-EXP(-LN(2)/25))/(LN(2)/25)*Calculateur!AQ173*Calculateur!AS173*VLOOKUP('Données projet'!$B$9,Paramètres!$A$1:$I$88,3,0)*0.475*44/12</f>
        <v>5.8596448590665435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94.763576080170679</v>
      </c>
      <c r="AY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5.2</v>
      </c>
      <c r="BD173" s="13">
        <f>IF('Données projet'!$A$88&gt;35,BD172+BC173-BL172,IF(A173&lt;'Données projet'!$A$88,$BA$205^A173,IF(A173='Données projet'!$A$88,'Données projet'!$B$88,BD172+BC173-BL172)))</f>
        <v>274.20000000000022</v>
      </c>
      <c r="BE173" s="14">
        <f>BD173*VLOOKUP('Données projet'!$B$11,Paramètres!$A$1:$I$88,3,0)*VLOOKUP('Données projet'!$B$11,Paramètres!$A$1:$I$88,5,0)</f>
        <v>278.03880000000026</v>
      </c>
      <c r="BF173" s="14">
        <f t="shared" si="167"/>
        <v>66.552381547717857</v>
      </c>
      <c r="BG173" s="22">
        <f t="shared" si="168"/>
        <v>600.1629745289423</v>
      </c>
      <c r="BH173" s="61">
        <f t="shared" si="116"/>
        <v>888.81695974522813</v>
      </c>
      <c r="BI173" s="61">
        <f ca="1">AVERAGE(OFFSET($BH$3,0,0,'Données projet'!$E$11+1,1))-AVERAGE(OFFSET($H$3,0,0,'Données projet'!$E$11+1,1))</f>
        <v>433.57989081194</v>
      </c>
      <c r="BJ173" s="61">
        <f t="shared" si="146"/>
        <v>182.52060621271355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39.234006465669047</v>
      </c>
      <c r="BQ173" s="23">
        <f>EXP(-LN(2)/25)*BQ172+(1-EXP(-LN(2)/25))/(LN(2)/25)*Calculateur!BL173*Calculateur!BN173*VLOOKUP('Données projet'!$B$9,Paramètres!$A$1:$I$88,3,0)*0.475*44/12</f>
        <v>4.1264550174863457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43.36046148315539</v>
      </c>
      <c r="BT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1" t="e">
        <f t="shared" si="119"/>
        <v>#N/A</v>
      </c>
      <c r="CD173" s="61" t="e">
        <f ca="1">AVERAGE(OFFSET($CC$3,0,0,'Données projet'!$E$12+1,1))-AVERAGE(OFFSET($H$3,0,0,'Données projet'!$E$12+1,1))</f>
        <v>#N/A</v>
      </c>
      <c r="CE173" s="61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1" t="e">
        <f t="shared" si="122"/>
        <v>#N/A</v>
      </c>
      <c r="CY173" s="61" t="e">
        <f ca="1">AVERAGE(OFFSET($CX$3,0,0,'Données projet'!$E$13+1,1))-AVERAGE(OFFSET($H$3,0,0,'Données projet'!$E$13+1,1))</f>
        <v>#N/A</v>
      </c>
      <c r="CZ173" s="61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1" t="e">
        <f t="shared" si="125"/>
        <v>#N/A</v>
      </c>
      <c r="DT173" s="61" t="e">
        <f ca="1">AVERAGE(OFFSET($DS$3,0,0,'Données projet'!$E$14+1,1))-AVERAGE(OFFSET($H$3,0,0,'Données projet'!$E$14+1,1))</f>
        <v>#N/A</v>
      </c>
      <c r="DU173" s="61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1" t="e">
        <f t="shared" si="128"/>
        <v>#N/A</v>
      </c>
      <c r="EO173" s="61" t="e">
        <f ca="1">AVERAGE(OFFSET($EN$3,0,0,'Données projet'!$E$15+1,1))-AVERAGE(OFFSET($H$3,0,0,'Données projet'!$E$15+1,1))</f>
        <v>#N/A</v>
      </c>
      <c r="EP173" s="61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1" t="e">
        <f t="shared" si="131"/>
        <v>#N/A</v>
      </c>
      <c r="FJ173" s="61" t="e">
        <f ca="1">AVERAGE(OFFSET($FI$3,0,0,'Données projet'!$E$16+1,1))-AVERAGE(OFFSET($H$3,0,0,'Données projet'!$E$16+1,1))</f>
        <v>#N/A</v>
      </c>
      <c r="FK173" s="61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1" t="e">
        <f t="shared" si="134"/>
        <v>#N/A</v>
      </c>
      <c r="GE173" s="61" t="e">
        <f ca="1">AVERAGE(OFFSET($GD$3,0,0,'Données projet'!$E$17+1,1))-AVERAGE(OFFSET($H$3,0,0,'Données projet'!$E$17+1,1))</f>
        <v>#N/A</v>
      </c>
      <c r="GF173" s="61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1" t="e">
        <f t="shared" si="137"/>
        <v>#N/A</v>
      </c>
      <c r="GZ173" s="61" t="e">
        <f ca="1">AVERAGE(OFFSET($GY$3,0,0,'Données projet'!$E$18+1,1))-AVERAGE(OFFSET($H$3,0,0,'Données projet'!$E$18+1,1))</f>
        <v>#N/A</v>
      </c>
      <c r="HA173" s="61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45">
      <c r="A174" s="11">
        <f t="shared" si="161"/>
        <v>171</v>
      </c>
      <c r="B174" s="76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9">
        <f t="shared" si="110"/>
        <v>183.33333333333334</v>
      </c>
      <c r="I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-3.4106051316484809E-13</v>
      </c>
      <c r="O174" s="14">
        <f>N174*VLOOKUP('Données projet'!$B$9,Paramètres!$A$1:$I$88,3,0)*VLOOKUP('Données projet'!$B$9,Paramètres!$A$1:$I$88,5,0)</f>
        <v>-2.0395418687257919E-13</v>
      </c>
      <c r="P174" s="14" t="e">
        <f t="shared" si="141"/>
        <v>#NUM!</v>
      </c>
      <c r="Q174" s="22" t="e">
        <f t="shared" si="162"/>
        <v>#NUM!</v>
      </c>
      <c r="R174" s="61" t="e">
        <f t="shared" si="109"/>
        <v>#NUM!</v>
      </c>
      <c r="S174" s="61">
        <f ca="1">AVERAGE(OFFSET($R$3,0,0,'Données projet'!$E$9+1,1))-AVERAGE(OFFSET($H$3,0,0,'Données projet'!$E$9+1,1))</f>
        <v>445.53168057836308</v>
      </c>
      <c r="T174" s="61">
        <f t="shared" si="142"/>
        <v>326.78684646135241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54.440879397714248</v>
      </c>
      <c r="AA174" s="23">
        <f>EXP(-LN(2)/25)*AA173+(1-EXP(-LN(2)/25))/(LN(2)/25)*Calculateur!V174*Calculateur!X174*VLOOKUP('Données projet'!$B$9,Paramètres!$A$1:$I$88,3,0)*0.475*44/12</f>
        <v>2.3689348699195074</v>
      </c>
      <c r="AB174" s="23">
        <f>EXP(-LN(2)/2)*AB173+(1-EXP(-LN(2)/2))/(LN(2)/2)*V174*Y174*VLOOKUP('Données projet'!$B$9,Paramètres!$A$1:$I$88,3,0)*0.475*44/12</f>
        <v>4.2187053284501452E-16</v>
      </c>
      <c r="AC174" s="24">
        <f t="shared" si="163"/>
        <v>56.809814267633755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-6.8212102632969618E-13</v>
      </c>
      <c r="AJ174" s="14">
        <f>AI174*VLOOKUP('Données projet'!$B$10,Paramètres!$A$1:$I$88,3,0)*VLOOKUP('Données projet'!$B$10,Paramètres!$A$1:$I$88,5,0)</f>
        <v>-3.1923264032229784E-13</v>
      </c>
      <c r="AK174" s="14" t="e">
        <f t="shared" si="164"/>
        <v>#NUM!</v>
      </c>
      <c r="AL174" s="22" t="e">
        <f t="shared" si="165"/>
        <v>#NUM!</v>
      </c>
      <c r="AM174" s="61" t="e">
        <f t="shared" si="113"/>
        <v>#NUM!</v>
      </c>
      <c r="AN174" s="61">
        <f ca="1">AVERAGE(OFFSET($AM$3,0,0,'Données projet'!$E$10+1,1))-AVERAGE(OFFSET($H$3,0,0,'Données projet'!$E$10+1,1))</f>
        <v>375.77859820466693</v>
      </c>
      <c r="AO174" s="61">
        <f t="shared" si="144"/>
        <v>242.84781402593856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87.160579355901945</v>
      </c>
      <c r="AV174" s="23">
        <f>EXP(-LN(2)/25)*AV173+(1-EXP(-LN(2)/25))/(LN(2)/25)*Calculateur!AQ174*Calculateur!AS174*VLOOKUP('Données projet'!$B$9,Paramètres!$A$1:$I$88,3,0)*0.475*44/12</f>
        <v>5.6994125622500382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92.859991918151977</v>
      </c>
      <c r="AY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5.2</v>
      </c>
      <c r="BD174" s="13">
        <f>IF('Données projet'!$A$88&gt;35,BD173+BC174-BL173,IF(A174&lt;'Données projet'!$A$88,$BA$205^A174,IF(A174='Données projet'!$A$88,'Données projet'!$B$88,BD173+BC174-BL173)))</f>
        <v>279.4000000000002</v>
      </c>
      <c r="BE174" s="14">
        <f>BD174*VLOOKUP('Données projet'!$B$11,Paramètres!$A$1:$I$88,3,0)*VLOOKUP('Données projet'!$B$11,Paramètres!$A$1:$I$88,5,0)</f>
        <v>283.31160000000023</v>
      </c>
      <c r="BF174" s="14">
        <f t="shared" si="167"/>
        <v>67.666365540271329</v>
      </c>
      <c r="BG174" s="22">
        <f t="shared" si="168"/>
        <v>611.28662331597286</v>
      </c>
      <c r="BH174" s="61">
        <f t="shared" si="116"/>
        <v>900.02178476063432</v>
      </c>
      <c r="BI174" s="61">
        <f ca="1">AVERAGE(OFFSET($BH$3,0,0,'Données projet'!$E$11+1,1))-AVERAGE(OFFSET($H$3,0,0,'Données projet'!$E$11+1,1))</f>
        <v>433.57989081194</v>
      </c>
      <c r="BJ174" s="61">
        <f t="shared" si="146"/>
        <v>182.52060621271355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38.46465152925829</v>
      </c>
      <c r="BQ174" s="23">
        <f>EXP(-LN(2)/25)*BQ173+(1-EXP(-LN(2)/25))/(LN(2)/25)*Calculateur!BL174*Calculateur!BN174*VLOOKUP('Données projet'!$B$9,Paramètres!$A$1:$I$88,3,0)*0.475*44/12</f>
        <v>4.0136168880323435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42.478268417290636</v>
      </c>
      <c r="BT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1" t="e">
        <f t="shared" si="119"/>
        <v>#N/A</v>
      </c>
      <c r="CD174" s="61" t="e">
        <f ca="1">AVERAGE(OFFSET($CC$3,0,0,'Données projet'!$E$12+1,1))-AVERAGE(OFFSET($H$3,0,0,'Données projet'!$E$12+1,1))</f>
        <v>#N/A</v>
      </c>
      <c r="CE174" s="61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1" t="e">
        <f t="shared" si="122"/>
        <v>#N/A</v>
      </c>
      <c r="CY174" s="61" t="e">
        <f ca="1">AVERAGE(OFFSET($CX$3,0,0,'Données projet'!$E$13+1,1))-AVERAGE(OFFSET($H$3,0,0,'Données projet'!$E$13+1,1))</f>
        <v>#N/A</v>
      </c>
      <c r="CZ174" s="61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1" t="e">
        <f t="shared" si="125"/>
        <v>#N/A</v>
      </c>
      <c r="DT174" s="61" t="e">
        <f ca="1">AVERAGE(OFFSET($DS$3,0,0,'Données projet'!$E$14+1,1))-AVERAGE(OFFSET($H$3,0,0,'Données projet'!$E$14+1,1))</f>
        <v>#N/A</v>
      </c>
      <c r="DU174" s="61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1" t="e">
        <f t="shared" si="128"/>
        <v>#N/A</v>
      </c>
      <c r="EO174" s="61" t="e">
        <f ca="1">AVERAGE(OFFSET($EN$3,0,0,'Données projet'!$E$15+1,1))-AVERAGE(OFFSET($H$3,0,0,'Données projet'!$E$15+1,1))</f>
        <v>#N/A</v>
      </c>
      <c r="EP174" s="61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1" t="e">
        <f t="shared" si="131"/>
        <v>#N/A</v>
      </c>
      <c r="FJ174" s="61" t="e">
        <f ca="1">AVERAGE(OFFSET($FI$3,0,0,'Données projet'!$E$16+1,1))-AVERAGE(OFFSET($H$3,0,0,'Données projet'!$E$16+1,1))</f>
        <v>#N/A</v>
      </c>
      <c r="FK174" s="61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1" t="e">
        <f t="shared" si="134"/>
        <v>#N/A</v>
      </c>
      <c r="GE174" s="61" t="e">
        <f ca="1">AVERAGE(OFFSET($GD$3,0,0,'Données projet'!$E$17+1,1))-AVERAGE(OFFSET($H$3,0,0,'Données projet'!$E$17+1,1))</f>
        <v>#N/A</v>
      </c>
      <c r="GF174" s="61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1" t="e">
        <f t="shared" si="137"/>
        <v>#N/A</v>
      </c>
      <c r="GZ174" s="61" t="e">
        <f ca="1">AVERAGE(OFFSET($GY$3,0,0,'Données projet'!$E$18+1,1))-AVERAGE(OFFSET($H$3,0,0,'Données projet'!$E$18+1,1))</f>
        <v>#N/A</v>
      </c>
      <c r="HA174" s="61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45">
      <c r="A175" s="11">
        <f t="shared" si="161"/>
        <v>172</v>
      </c>
      <c r="B175" s="76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9">
        <f t="shared" si="110"/>
        <v>183.33333333333334</v>
      </c>
      <c r="I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-3.4106051316484809E-13</v>
      </c>
      <c r="O175" s="14">
        <f>N175*VLOOKUP('Données projet'!$B$9,Paramètres!$A$1:$I$88,3,0)*VLOOKUP('Données projet'!$B$9,Paramètres!$A$1:$I$88,5,0)</f>
        <v>-2.0395418687257919E-13</v>
      </c>
      <c r="P175" s="14" t="e">
        <f t="shared" si="141"/>
        <v>#NUM!</v>
      </c>
      <c r="Q175" s="22" t="e">
        <f t="shared" si="162"/>
        <v>#NUM!</v>
      </c>
      <c r="R175" s="61" t="e">
        <f t="shared" si="109"/>
        <v>#NUM!</v>
      </c>
      <c r="S175" s="61">
        <f ca="1">AVERAGE(OFFSET($R$3,0,0,'Données projet'!$E$9+1,1))-AVERAGE(OFFSET($H$3,0,0,'Données projet'!$E$9+1,1))</f>
        <v>445.53168057836308</v>
      </c>
      <c r="T175" s="61">
        <f t="shared" si="142"/>
        <v>326.78684646135241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53.373326958382719</v>
      </c>
      <c r="AA175" s="23">
        <f>EXP(-LN(2)/25)*AA174+(1-EXP(-LN(2)/25))/(LN(2)/25)*Calculateur!V175*Calculateur!X175*VLOOKUP('Données projet'!$B$9,Paramètres!$A$1:$I$88,3,0)*0.475*44/12</f>
        <v>2.3041562213246878</v>
      </c>
      <c r="AB175" s="23">
        <f>EXP(-LN(2)/2)*AB174+(1-EXP(-LN(2)/2))/(LN(2)/2)*V175*Y175*VLOOKUP('Données projet'!$B$9,Paramètres!$A$1:$I$88,3,0)*0.475*44/12</f>
        <v>2.9830751455749189E-16</v>
      </c>
      <c r="AC175" s="24">
        <f t="shared" si="163"/>
        <v>55.677483179707409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-6.8212102632969618E-13</v>
      </c>
      <c r="AJ175" s="14">
        <f>AI175*VLOOKUP('Données projet'!$B$10,Paramètres!$A$1:$I$88,3,0)*VLOOKUP('Données projet'!$B$10,Paramètres!$A$1:$I$88,5,0)</f>
        <v>-3.1923264032229784E-13</v>
      </c>
      <c r="AK175" s="14" t="e">
        <f t="shared" si="164"/>
        <v>#NUM!</v>
      </c>
      <c r="AL175" s="22" t="e">
        <f t="shared" si="165"/>
        <v>#NUM!</v>
      </c>
      <c r="AM175" s="61" t="e">
        <f t="shared" si="113"/>
        <v>#NUM!</v>
      </c>
      <c r="AN175" s="61">
        <f ca="1">AVERAGE(OFFSET($AM$3,0,0,'Données projet'!$E$10+1,1))-AVERAGE(OFFSET($H$3,0,0,'Données projet'!$E$10+1,1))</f>
        <v>375.77859820466693</v>
      </c>
      <c r="AO175" s="61">
        <f t="shared" si="144"/>
        <v>242.84781402593856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85.451413557436737</v>
      </c>
      <c r="AV175" s="23">
        <f>EXP(-LN(2)/25)*AV174+(1-EXP(-LN(2)/25))/(LN(2)/25)*Calculateur!AQ175*Calculateur!AS175*VLOOKUP('Données projet'!$B$9,Paramètres!$A$1:$I$88,3,0)*0.475*44/12</f>
        <v>5.54356182601623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90.994975383452967</v>
      </c>
      <c r="AY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5.2</v>
      </c>
      <c r="BD175" s="13">
        <f>IF('Données projet'!$A$88&gt;35,BD174+BC175-BL174,IF(A175&lt;'Données projet'!$A$88,$BA$205^A175,IF(A175='Données projet'!$A$88,'Données projet'!$B$88,BD174+BC175-BL174)))</f>
        <v>284.60000000000019</v>
      </c>
      <c r="BE175" s="14">
        <f>BD175*VLOOKUP('Données projet'!$B$11,Paramètres!$A$1:$I$88,3,0)*VLOOKUP('Données projet'!$B$11,Paramètres!$A$1:$I$88,5,0)</f>
        <v>288.58440000000019</v>
      </c>
      <c r="BF175" s="14">
        <f t="shared" si="167"/>
        <v>68.777938711388614</v>
      </c>
      <c r="BG175" s="22">
        <f t="shared" si="168"/>
        <v>622.40607325566884</v>
      </c>
      <c r="BH175" s="61">
        <f t="shared" si="116"/>
        <v>911.22100270262649</v>
      </c>
      <c r="BI175" s="61">
        <f ca="1">AVERAGE(OFFSET($BH$3,0,0,'Données projet'!$E$11+1,1))-AVERAGE(OFFSET($H$3,0,0,'Données projet'!$E$11+1,1))</f>
        <v>433.57989081194</v>
      </c>
      <c r="BJ175" s="61">
        <f t="shared" si="146"/>
        <v>182.52060621271355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37.710383173890378</v>
      </c>
      <c r="BQ175" s="23">
        <f>EXP(-LN(2)/25)*BQ174+(1-EXP(-LN(2)/25))/(LN(2)/25)*Calculateur!BL175*Calculateur!BN175*VLOOKUP('Données projet'!$B$9,Paramètres!$A$1:$I$88,3,0)*0.475*44/12</f>
        <v>3.9038643231621601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41.614247497052538</v>
      </c>
      <c r="BT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1" t="e">
        <f t="shared" si="119"/>
        <v>#N/A</v>
      </c>
      <c r="CD175" s="61" t="e">
        <f ca="1">AVERAGE(OFFSET($CC$3,0,0,'Données projet'!$E$12+1,1))-AVERAGE(OFFSET($H$3,0,0,'Données projet'!$E$12+1,1))</f>
        <v>#N/A</v>
      </c>
      <c r="CE175" s="61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1" t="e">
        <f t="shared" si="122"/>
        <v>#N/A</v>
      </c>
      <c r="CY175" s="61" t="e">
        <f ca="1">AVERAGE(OFFSET($CX$3,0,0,'Données projet'!$E$13+1,1))-AVERAGE(OFFSET($H$3,0,0,'Données projet'!$E$13+1,1))</f>
        <v>#N/A</v>
      </c>
      <c r="CZ175" s="61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1" t="e">
        <f t="shared" si="125"/>
        <v>#N/A</v>
      </c>
      <c r="DT175" s="61" t="e">
        <f ca="1">AVERAGE(OFFSET($DS$3,0,0,'Données projet'!$E$14+1,1))-AVERAGE(OFFSET($H$3,0,0,'Données projet'!$E$14+1,1))</f>
        <v>#N/A</v>
      </c>
      <c r="DU175" s="61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1" t="e">
        <f t="shared" si="128"/>
        <v>#N/A</v>
      </c>
      <c r="EO175" s="61" t="e">
        <f ca="1">AVERAGE(OFFSET($EN$3,0,0,'Données projet'!$E$15+1,1))-AVERAGE(OFFSET($H$3,0,0,'Données projet'!$E$15+1,1))</f>
        <v>#N/A</v>
      </c>
      <c r="EP175" s="61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1" t="e">
        <f t="shared" si="131"/>
        <v>#N/A</v>
      </c>
      <c r="FJ175" s="61" t="e">
        <f ca="1">AVERAGE(OFFSET($FI$3,0,0,'Données projet'!$E$16+1,1))-AVERAGE(OFFSET($H$3,0,0,'Données projet'!$E$16+1,1))</f>
        <v>#N/A</v>
      </c>
      <c r="FK175" s="61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1" t="e">
        <f t="shared" si="134"/>
        <v>#N/A</v>
      </c>
      <c r="GE175" s="61" t="e">
        <f ca="1">AVERAGE(OFFSET($GD$3,0,0,'Données projet'!$E$17+1,1))-AVERAGE(OFFSET($H$3,0,0,'Données projet'!$E$17+1,1))</f>
        <v>#N/A</v>
      </c>
      <c r="GF175" s="61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1" t="e">
        <f t="shared" si="137"/>
        <v>#N/A</v>
      </c>
      <c r="GZ175" s="61" t="e">
        <f ca="1">AVERAGE(OFFSET($GY$3,0,0,'Données projet'!$E$18+1,1))-AVERAGE(OFFSET($H$3,0,0,'Données projet'!$E$18+1,1))</f>
        <v>#N/A</v>
      </c>
      <c r="HA175" s="61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45">
      <c r="A176" s="11">
        <f t="shared" si="161"/>
        <v>173</v>
      </c>
      <c r="B176" s="76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9">
        <f t="shared" si="110"/>
        <v>183.33333333333334</v>
      </c>
      <c r="I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-3.4106051316484809E-13</v>
      </c>
      <c r="O176" s="14">
        <f>N176*VLOOKUP('Données projet'!$B$9,Paramètres!$A$1:$I$88,3,0)*VLOOKUP('Données projet'!$B$9,Paramètres!$A$1:$I$88,5,0)</f>
        <v>-2.0395418687257919E-13</v>
      </c>
      <c r="P176" s="14" t="e">
        <f t="shared" si="141"/>
        <v>#NUM!</v>
      </c>
      <c r="Q176" s="22" t="e">
        <f t="shared" si="162"/>
        <v>#NUM!</v>
      </c>
      <c r="R176" s="61" t="e">
        <f t="shared" si="109"/>
        <v>#NUM!</v>
      </c>
      <c r="S176" s="61">
        <f ca="1">AVERAGE(OFFSET($R$3,0,0,'Données projet'!$E$9+1,1))-AVERAGE(OFFSET($H$3,0,0,'Données projet'!$E$9+1,1))</f>
        <v>445.53168057836308</v>
      </c>
      <c r="T176" s="61">
        <f t="shared" si="142"/>
        <v>326.78684646135241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52.326708571243785</v>
      </c>
      <c r="AA176" s="23">
        <f>EXP(-LN(2)/25)*AA175+(1-EXP(-LN(2)/25))/(LN(2)/25)*Calculateur!V176*Calculateur!X176*VLOOKUP('Données projet'!$B$9,Paramètres!$A$1:$I$88,3,0)*0.475*44/12</f>
        <v>2.2411489482822549</v>
      </c>
      <c r="AB176" s="23">
        <f>EXP(-LN(2)/2)*AB175+(1-EXP(-LN(2)/2))/(LN(2)/2)*V176*Y176*VLOOKUP('Données projet'!$B$9,Paramètres!$A$1:$I$88,3,0)*0.475*44/12</f>
        <v>2.1093526642250726E-16</v>
      </c>
      <c r="AC176" s="24">
        <f t="shared" si="163"/>
        <v>54.567857519526036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-6.8212102632969618E-13</v>
      </c>
      <c r="AJ176" s="14">
        <f>AI176*VLOOKUP('Données projet'!$B$10,Paramètres!$A$1:$I$88,3,0)*VLOOKUP('Données projet'!$B$10,Paramètres!$A$1:$I$88,5,0)</f>
        <v>-3.1923264032229784E-13</v>
      </c>
      <c r="AK176" s="14" t="e">
        <f t="shared" si="164"/>
        <v>#NUM!</v>
      </c>
      <c r="AL176" s="22" t="e">
        <f t="shared" si="165"/>
        <v>#NUM!</v>
      </c>
      <c r="AM176" s="61" t="e">
        <f t="shared" si="113"/>
        <v>#NUM!</v>
      </c>
      <c r="AN176" s="61">
        <f ca="1">AVERAGE(OFFSET($AM$3,0,0,'Données projet'!$E$10+1,1))-AVERAGE(OFFSET($H$3,0,0,'Données projet'!$E$10+1,1))</f>
        <v>375.77859820466693</v>
      </c>
      <c r="AO176" s="61">
        <f t="shared" si="144"/>
        <v>242.84781402593856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83.775763457791228</v>
      </c>
      <c r="AV176" s="23">
        <f>EXP(-LN(2)/25)*AV175+(1-EXP(-LN(2)/25))/(LN(2)/25)*Calculateur!AQ176*Calculateur!AS176*VLOOKUP('Données projet'!$B$9,Paramètres!$A$1:$I$88,3,0)*0.475*44/12</f>
        <v>5.3919728363605701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89.167736294151794</v>
      </c>
      <c r="AY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5.2</v>
      </c>
      <c r="BD176" s="13">
        <f>IF('Données projet'!$A$88&gt;35,BD175+BC176-BL175,IF(A176&lt;'Données projet'!$A$88,$BA$205^A176,IF(A176='Données projet'!$A$88,'Données projet'!$B$88,BD175+BC176-BL175)))</f>
        <v>289.80000000000018</v>
      </c>
      <c r="BE176" s="14">
        <f>BD176*VLOOKUP('Données projet'!$B$11,Paramètres!$A$1:$I$88,3,0)*VLOOKUP('Données projet'!$B$11,Paramètres!$A$1:$I$88,5,0)</f>
        <v>293.8572000000002</v>
      </c>
      <c r="BF176" s="14">
        <f t="shared" si="167"/>
        <v>69.887150190339838</v>
      </c>
      <c r="BG176" s="22">
        <f t="shared" si="168"/>
        <v>633.52140991484214</v>
      </c>
      <c r="BH176" s="61">
        <f t="shared" si="116"/>
        <v>922.41472356759061</v>
      </c>
      <c r="BI176" s="61">
        <f ca="1">AVERAGE(OFFSET($BH$3,0,0,'Données projet'!$E$11+1,1))-AVERAGE(OFFSET($H$3,0,0,'Données projet'!$E$11+1,1))</f>
        <v>433.57989081194</v>
      </c>
      <c r="BJ176" s="61">
        <f t="shared" si="146"/>
        <v>182.52060621271355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36.970905560912961</v>
      </c>
      <c r="BQ176" s="23">
        <f>EXP(-LN(2)/25)*BQ175+(1-EXP(-LN(2)/25))/(LN(2)/25)*Calculateur!BL176*Calculateur!BN176*VLOOKUP('Données projet'!$B$9,Paramètres!$A$1:$I$88,3,0)*0.475*44/12</f>
        <v>3.7971129479499885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40.768018508862951</v>
      </c>
      <c r="BT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1" t="e">
        <f t="shared" si="119"/>
        <v>#N/A</v>
      </c>
      <c r="CD176" s="61" t="e">
        <f ca="1">AVERAGE(OFFSET($CC$3,0,0,'Données projet'!$E$12+1,1))-AVERAGE(OFFSET($H$3,0,0,'Données projet'!$E$12+1,1))</f>
        <v>#N/A</v>
      </c>
      <c r="CE176" s="61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1" t="e">
        <f t="shared" si="122"/>
        <v>#N/A</v>
      </c>
      <c r="CY176" s="61" t="e">
        <f ca="1">AVERAGE(OFFSET($CX$3,0,0,'Données projet'!$E$13+1,1))-AVERAGE(OFFSET($H$3,0,0,'Données projet'!$E$13+1,1))</f>
        <v>#N/A</v>
      </c>
      <c r="CZ176" s="61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1" t="e">
        <f t="shared" si="125"/>
        <v>#N/A</v>
      </c>
      <c r="DT176" s="61" t="e">
        <f ca="1">AVERAGE(OFFSET($DS$3,0,0,'Données projet'!$E$14+1,1))-AVERAGE(OFFSET($H$3,0,0,'Données projet'!$E$14+1,1))</f>
        <v>#N/A</v>
      </c>
      <c r="DU176" s="61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1" t="e">
        <f t="shared" si="128"/>
        <v>#N/A</v>
      </c>
      <c r="EO176" s="61" t="e">
        <f ca="1">AVERAGE(OFFSET($EN$3,0,0,'Données projet'!$E$15+1,1))-AVERAGE(OFFSET($H$3,0,0,'Données projet'!$E$15+1,1))</f>
        <v>#N/A</v>
      </c>
      <c r="EP176" s="61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1" t="e">
        <f t="shared" si="131"/>
        <v>#N/A</v>
      </c>
      <c r="FJ176" s="61" t="e">
        <f ca="1">AVERAGE(OFFSET($FI$3,0,0,'Données projet'!$E$16+1,1))-AVERAGE(OFFSET($H$3,0,0,'Données projet'!$E$16+1,1))</f>
        <v>#N/A</v>
      </c>
      <c r="FK176" s="61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1" t="e">
        <f t="shared" si="134"/>
        <v>#N/A</v>
      </c>
      <c r="GE176" s="61" t="e">
        <f ca="1">AVERAGE(OFFSET($GD$3,0,0,'Données projet'!$E$17+1,1))-AVERAGE(OFFSET($H$3,0,0,'Données projet'!$E$17+1,1))</f>
        <v>#N/A</v>
      </c>
      <c r="GF176" s="61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1" t="e">
        <f t="shared" si="137"/>
        <v>#N/A</v>
      </c>
      <c r="GZ176" s="61" t="e">
        <f ca="1">AVERAGE(OFFSET($GY$3,0,0,'Données projet'!$E$18+1,1))-AVERAGE(OFFSET($H$3,0,0,'Données projet'!$E$18+1,1))</f>
        <v>#N/A</v>
      </c>
      <c r="HA176" s="61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45">
      <c r="A177" s="11">
        <f t="shared" si="161"/>
        <v>174</v>
      </c>
      <c r="B177" s="76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9">
        <f t="shared" si="110"/>
        <v>183.33333333333334</v>
      </c>
      <c r="I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-3.4106051316484809E-13</v>
      </c>
      <c r="O177" s="14">
        <f>N177*VLOOKUP('Données projet'!$B$9,Paramètres!$A$1:$I$88,3,0)*VLOOKUP('Données projet'!$B$9,Paramètres!$A$1:$I$88,5,0)</f>
        <v>-2.0395418687257919E-13</v>
      </c>
      <c r="P177" s="14" t="e">
        <f t="shared" si="141"/>
        <v>#NUM!</v>
      </c>
      <c r="Q177" s="22" t="e">
        <f t="shared" si="162"/>
        <v>#NUM!</v>
      </c>
      <c r="R177" s="61" t="e">
        <f t="shared" si="109"/>
        <v>#NUM!</v>
      </c>
      <c r="S177" s="61">
        <f ca="1">AVERAGE(OFFSET($R$3,0,0,'Données projet'!$E$9+1,1))-AVERAGE(OFFSET($H$3,0,0,'Données projet'!$E$9+1,1))</f>
        <v>445.53168057836308</v>
      </c>
      <c r="T177" s="61">
        <f t="shared" si="142"/>
        <v>326.78684646135241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51.300613732302466</v>
      </c>
      <c r="AA177" s="23">
        <f>EXP(-LN(2)/25)*AA176+(1-EXP(-LN(2)/25))/(LN(2)/25)*Calculateur!V177*Calculateur!X177*VLOOKUP('Données projet'!$B$9,Paramètres!$A$1:$I$88,3,0)*0.475*44/12</f>
        <v>2.1798646124345757</v>
      </c>
      <c r="AB177" s="23">
        <f>EXP(-LN(2)/2)*AB176+(1-EXP(-LN(2)/2))/(LN(2)/2)*V177*Y177*VLOOKUP('Données projet'!$B$9,Paramètres!$A$1:$I$88,3,0)*0.475*44/12</f>
        <v>1.4915375727874595E-16</v>
      </c>
      <c r="AC177" s="24">
        <f t="shared" si="163"/>
        <v>53.480478344737044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-6.8212102632969618E-13</v>
      </c>
      <c r="AJ177" s="14">
        <f>AI177*VLOOKUP('Données projet'!$B$10,Paramètres!$A$1:$I$88,3,0)*VLOOKUP('Données projet'!$B$10,Paramètres!$A$1:$I$88,5,0)</f>
        <v>-3.1923264032229784E-13</v>
      </c>
      <c r="AK177" s="14" t="e">
        <f t="shared" si="164"/>
        <v>#NUM!</v>
      </c>
      <c r="AL177" s="22" t="e">
        <f t="shared" si="165"/>
        <v>#NUM!</v>
      </c>
      <c r="AM177" s="61" t="e">
        <f t="shared" si="113"/>
        <v>#NUM!</v>
      </c>
      <c r="AN177" s="61">
        <f ca="1">AVERAGE(OFFSET($AM$3,0,0,'Données projet'!$E$10+1,1))-AVERAGE(OFFSET($H$3,0,0,'Données projet'!$E$10+1,1))</f>
        <v>375.77859820466693</v>
      </c>
      <c r="AO177" s="61">
        <f t="shared" si="144"/>
        <v>242.84781402593856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82.132971834554127</v>
      </c>
      <c r="AV177" s="23">
        <f>EXP(-LN(2)/25)*AV176+(1-EXP(-LN(2)/25))/(LN(2)/25)*Calculateur!AQ177*Calculateur!AS177*VLOOKUP('Données projet'!$B$9,Paramètres!$A$1:$I$88,3,0)*0.475*44/12</f>
        <v>5.244529055598762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87.377500890152888</v>
      </c>
      <c r="AY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5.2</v>
      </c>
      <c r="BD177" s="13">
        <f>IF('Données projet'!$A$88&gt;35,BD176+BC177-BL176,IF(A177&lt;'Données projet'!$A$88,$BA$205^A177,IF(A177='Données projet'!$A$88,'Données projet'!$B$88,BD176+BC177-BL176)))</f>
        <v>295.00000000000017</v>
      </c>
      <c r="BE177" s="14">
        <f>BD177*VLOOKUP('Données projet'!$B$11,Paramètres!$A$1:$I$88,3,0)*VLOOKUP('Données projet'!$B$11,Paramètres!$A$1:$I$88,5,0)</f>
        <v>299.13000000000017</v>
      </c>
      <c r="BF177" s="14">
        <f t="shared" si="167"/>
        <v>70.994047242337274</v>
      </c>
      <c r="BG177" s="22">
        <f t="shared" si="168"/>
        <v>644.63271561373767</v>
      </c>
      <c r="BH177" s="61">
        <f t="shared" si="116"/>
        <v>933.60305368154741</v>
      </c>
      <c r="BI177" s="61">
        <f ca="1">AVERAGE(OFFSET($BH$3,0,0,'Données projet'!$E$11+1,1))-AVERAGE(OFFSET($H$3,0,0,'Données projet'!$E$11+1,1))</f>
        <v>433.57989081194</v>
      </c>
      <c r="BJ177" s="61">
        <f t="shared" si="146"/>
        <v>182.52060621271355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36.245928652889219</v>
      </c>
      <c r="BQ177" s="23">
        <f>EXP(-LN(2)/25)*BQ176+(1-EXP(-LN(2)/25))/(LN(2)/25)*Calculateur!BL177*Calculateur!BN177*VLOOKUP('Données projet'!$B$9,Paramètres!$A$1:$I$88,3,0)*0.475*44/12</f>
        <v>3.6932806947068046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39.939209347596027</v>
      </c>
      <c r="BT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1" t="e">
        <f t="shared" si="119"/>
        <v>#N/A</v>
      </c>
      <c r="CD177" s="61" t="e">
        <f ca="1">AVERAGE(OFFSET($CC$3,0,0,'Données projet'!$E$12+1,1))-AVERAGE(OFFSET($H$3,0,0,'Données projet'!$E$12+1,1))</f>
        <v>#N/A</v>
      </c>
      <c r="CE177" s="61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1" t="e">
        <f t="shared" si="122"/>
        <v>#N/A</v>
      </c>
      <c r="CY177" s="61" t="e">
        <f ca="1">AVERAGE(OFFSET($CX$3,0,0,'Données projet'!$E$13+1,1))-AVERAGE(OFFSET($H$3,0,0,'Données projet'!$E$13+1,1))</f>
        <v>#N/A</v>
      </c>
      <c r="CZ177" s="61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1" t="e">
        <f t="shared" si="125"/>
        <v>#N/A</v>
      </c>
      <c r="DT177" s="61" t="e">
        <f ca="1">AVERAGE(OFFSET($DS$3,0,0,'Données projet'!$E$14+1,1))-AVERAGE(OFFSET($H$3,0,0,'Données projet'!$E$14+1,1))</f>
        <v>#N/A</v>
      </c>
      <c r="DU177" s="61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1" t="e">
        <f t="shared" si="128"/>
        <v>#N/A</v>
      </c>
      <c r="EO177" s="61" t="e">
        <f ca="1">AVERAGE(OFFSET($EN$3,0,0,'Données projet'!$E$15+1,1))-AVERAGE(OFFSET($H$3,0,0,'Données projet'!$E$15+1,1))</f>
        <v>#N/A</v>
      </c>
      <c r="EP177" s="61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1" t="e">
        <f t="shared" si="131"/>
        <v>#N/A</v>
      </c>
      <c r="FJ177" s="61" t="e">
        <f ca="1">AVERAGE(OFFSET($FI$3,0,0,'Données projet'!$E$16+1,1))-AVERAGE(OFFSET($H$3,0,0,'Données projet'!$E$16+1,1))</f>
        <v>#N/A</v>
      </c>
      <c r="FK177" s="61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1" t="e">
        <f t="shared" si="134"/>
        <v>#N/A</v>
      </c>
      <c r="GE177" s="61" t="e">
        <f ca="1">AVERAGE(OFFSET($GD$3,0,0,'Données projet'!$E$17+1,1))-AVERAGE(OFFSET($H$3,0,0,'Données projet'!$E$17+1,1))</f>
        <v>#N/A</v>
      </c>
      <c r="GF177" s="61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1" t="e">
        <f t="shared" si="137"/>
        <v>#N/A</v>
      </c>
      <c r="GZ177" s="61" t="e">
        <f ca="1">AVERAGE(OFFSET($GY$3,0,0,'Données projet'!$E$18+1,1))-AVERAGE(OFFSET($H$3,0,0,'Données projet'!$E$18+1,1))</f>
        <v>#N/A</v>
      </c>
      <c r="HA177" s="61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45">
      <c r="A178" s="11">
        <f t="shared" si="161"/>
        <v>175</v>
      </c>
      <c r="B178" s="76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9">
        <f t="shared" si="110"/>
        <v>183.33333333333334</v>
      </c>
      <c r="I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-3.4106051316484809E-13</v>
      </c>
      <c r="O178" s="14">
        <f>N178*VLOOKUP('Données projet'!$B$9,Paramètres!$A$1:$I$88,3,0)*VLOOKUP('Données projet'!$B$9,Paramètres!$A$1:$I$88,5,0)</f>
        <v>-2.0395418687257919E-13</v>
      </c>
      <c r="P178" s="14" t="e">
        <f t="shared" si="141"/>
        <v>#NUM!</v>
      </c>
      <c r="Q178" s="22" t="e">
        <f t="shared" si="162"/>
        <v>#NUM!</v>
      </c>
      <c r="R178" s="61" t="e">
        <f t="shared" si="109"/>
        <v>#NUM!</v>
      </c>
      <c r="S178" s="61">
        <f ca="1">AVERAGE(OFFSET($R$3,0,0,'Données projet'!$E$9+1,1))-AVERAGE(OFFSET($H$3,0,0,'Données projet'!$E$9+1,1))</f>
        <v>445.53168057836308</v>
      </c>
      <c r="T178" s="61">
        <f t="shared" si="142"/>
        <v>326.78684646135241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50.294639987296733</v>
      </c>
      <c r="AA178" s="23">
        <f>EXP(-LN(2)/25)*AA177+(1-EXP(-LN(2)/25))/(LN(2)/25)*Calculateur!V178*Calculateur!X178*VLOOKUP('Données projet'!$B$9,Paramètres!$A$1:$I$88,3,0)*0.475*44/12</f>
        <v>2.1202560999734543</v>
      </c>
      <c r="AB178" s="23">
        <f>EXP(-LN(2)/2)*AB177+(1-EXP(-LN(2)/2))/(LN(2)/2)*V178*Y178*VLOOKUP('Données projet'!$B$9,Paramètres!$A$1:$I$88,3,0)*0.475*44/12</f>
        <v>1.0546763321125363E-16</v>
      </c>
      <c r="AC178" s="24">
        <f t="shared" si="163"/>
        <v>52.414896087270186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-6.8212102632969618E-13</v>
      </c>
      <c r="AJ178" s="14">
        <f>AI178*VLOOKUP('Données projet'!$B$10,Paramètres!$A$1:$I$88,3,0)*VLOOKUP('Données projet'!$B$10,Paramètres!$A$1:$I$88,5,0)</f>
        <v>-3.1923264032229784E-13</v>
      </c>
      <c r="AK178" s="14" t="e">
        <f t="shared" si="164"/>
        <v>#NUM!</v>
      </c>
      <c r="AL178" s="22" t="e">
        <f t="shared" si="165"/>
        <v>#NUM!</v>
      </c>
      <c r="AM178" s="61" t="e">
        <f t="shared" si="113"/>
        <v>#NUM!</v>
      </c>
      <c r="AN178" s="61">
        <f ca="1">AVERAGE(OFFSET($AM$3,0,0,'Données projet'!$E$10+1,1))-AVERAGE(OFFSET($H$3,0,0,'Données projet'!$E$10+1,1))</f>
        <v>375.77859820466693</v>
      </c>
      <c r="AO178" s="61">
        <f t="shared" si="144"/>
        <v>242.84781402593856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80.52239435304476</v>
      </c>
      <c r="AV178" s="23">
        <f>EXP(-LN(2)/25)*AV177+(1-EXP(-LN(2)/25))/(LN(2)/25)*Calculateur!AQ178*Calculateur!AS178*VLOOKUP('Données projet'!$B$9,Paramètres!$A$1:$I$88,3,0)*0.475*44/12</f>
        <v>5.1011171327756175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85.623511485820373</v>
      </c>
      <c r="AY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5.2</v>
      </c>
      <c r="BD178" s="13">
        <f>IF('Données projet'!$A$88&gt;35,BD177+BC178-BL177,IF(A178&lt;'Données projet'!$A$88,$BA$205^A178,IF(A178='Données projet'!$A$88,'Données projet'!$B$88,BD177+BC178-BL177)))</f>
        <v>300.20000000000016</v>
      </c>
      <c r="BE178" s="14">
        <f>BD178*VLOOKUP('Données projet'!$B$11,Paramètres!$A$1:$I$88,3,0)*VLOOKUP('Données projet'!$B$11,Paramètres!$A$1:$I$88,5,0)</f>
        <v>304.40280000000018</v>
      </c>
      <c r="BF178" s="14">
        <f t="shared" si="167"/>
        <v>72.098675370850486</v>
      </c>
      <c r="BG178" s="22">
        <f t="shared" si="168"/>
        <v>655.74006960423162</v>
      </c>
      <c r="BH178" s="61">
        <f t="shared" si="116"/>
        <v>944.78609588570203</v>
      </c>
      <c r="BI178" s="61">
        <f ca="1">AVERAGE(OFFSET($BH$3,0,0,'Données projet'!$E$11+1,1))-AVERAGE(OFFSET($H$3,0,0,'Données projet'!$E$11+1,1))</f>
        <v>433.57989081194</v>
      </c>
      <c r="BJ178" s="61">
        <f t="shared" si="146"/>
        <v>182.52060621271355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35.535168099839574</v>
      </c>
      <c r="BQ178" s="23">
        <f>EXP(-LN(2)/25)*BQ177+(1-EXP(-LN(2)/25))/(LN(2)/25)*Calculateur!BL178*Calculateur!BN178*VLOOKUP('Données projet'!$B$9,Paramètres!$A$1:$I$88,3,0)*0.475*44/12</f>
        <v>3.5922877398888566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39.127455839728427</v>
      </c>
      <c r="BT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1" t="e">
        <f t="shared" si="119"/>
        <v>#N/A</v>
      </c>
      <c r="CD178" s="61" t="e">
        <f ca="1">AVERAGE(OFFSET($CC$3,0,0,'Données projet'!$E$12+1,1))-AVERAGE(OFFSET($H$3,0,0,'Données projet'!$E$12+1,1))</f>
        <v>#N/A</v>
      </c>
      <c r="CE178" s="61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1" t="e">
        <f t="shared" si="122"/>
        <v>#N/A</v>
      </c>
      <c r="CY178" s="61" t="e">
        <f ca="1">AVERAGE(OFFSET($CX$3,0,0,'Données projet'!$E$13+1,1))-AVERAGE(OFFSET($H$3,0,0,'Données projet'!$E$13+1,1))</f>
        <v>#N/A</v>
      </c>
      <c r="CZ178" s="61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1" t="e">
        <f t="shared" si="125"/>
        <v>#N/A</v>
      </c>
      <c r="DT178" s="61" t="e">
        <f ca="1">AVERAGE(OFFSET($DS$3,0,0,'Données projet'!$E$14+1,1))-AVERAGE(OFFSET($H$3,0,0,'Données projet'!$E$14+1,1))</f>
        <v>#N/A</v>
      </c>
      <c r="DU178" s="61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1" t="e">
        <f t="shared" si="128"/>
        <v>#N/A</v>
      </c>
      <c r="EO178" s="61" t="e">
        <f ca="1">AVERAGE(OFFSET($EN$3,0,0,'Données projet'!$E$15+1,1))-AVERAGE(OFFSET($H$3,0,0,'Données projet'!$E$15+1,1))</f>
        <v>#N/A</v>
      </c>
      <c r="EP178" s="61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1" t="e">
        <f t="shared" si="131"/>
        <v>#N/A</v>
      </c>
      <c r="FJ178" s="61" t="e">
        <f ca="1">AVERAGE(OFFSET($FI$3,0,0,'Données projet'!$E$16+1,1))-AVERAGE(OFFSET($H$3,0,0,'Données projet'!$E$16+1,1))</f>
        <v>#N/A</v>
      </c>
      <c r="FK178" s="61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1" t="e">
        <f t="shared" si="134"/>
        <v>#N/A</v>
      </c>
      <c r="GE178" s="61" t="e">
        <f ca="1">AVERAGE(OFFSET($GD$3,0,0,'Données projet'!$E$17+1,1))-AVERAGE(OFFSET($H$3,0,0,'Données projet'!$E$17+1,1))</f>
        <v>#N/A</v>
      </c>
      <c r="GF178" s="61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1" t="e">
        <f t="shared" si="137"/>
        <v>#N/A</v>
      </c>
      <c r="GZ178" s="61" t="e">
        <f ca="1">AVERAGE(OFFSET($GY$3,0,0,'Données projet'!$E$18+1,1))-AVERAGE(OFFSET($H$3,0,0,'Données projet'!$E$18+1,1))</f>
        <v>#N/A</v>
      </c>
      <c r="HA178" s="61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45">
      <c r="A179" s="11">
        <f t="shared" si="161"/>
        <v>176</v>
      </c>
      <c r="B179" s="76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9">
        <f t="shared" si="110"/>
        <v>183.33333333333334</v>
      </c>
      <c r="I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-3.4106051316484809E-13</v>
      </c>
      <c r="O179" s="14">
        <f>N179*VLOOKUP('Données projet'!$B$9,Paramètres!$A$1:$I$88,3,0)*VLOOKUP('Données projet'!$B$9,Paramètres!$A$1:$I$88,5,0)</f>
        <v>-2.0395418687257919E-13</v>
      </c>
      <c r="P179" s="14" t="e">
        <f t="shared" si="141"/>
        <v>#NUM!</v>
      </c>
      <c r="Q179" s="22" t="e">
        <f t="shared" si="162"/>
        <v>#NUM!</v>
      </c>
      <c r="R179" s="61" t="e">
        <f t="shared" si="109"/>
        <v>#NUM!</v>
      </c>
      <c r="S179" s="61">
        <f ca="1">AVERAGE(OFFSET($R$3,0,0,'Données projet'!$E$9+1,1))-AVERAGE(OFFSET($H$3,0,0,'Données projet'!$E$9+1,1))</f>
        <v>445.53168057836308</v>
      </c>
      <c r="T179" s="61">
        <f t="shared" si="142"/>
        <v>326.78684646135241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49.308392773847167</v>
      </c>
      <c r="AA179" s="23">
        <f>EXP(-LN(2)/25)*AA178+(1-EXP(-LN(2)/25))/(LN(2)/25)*Calculateur!V179*Calculateur!X179*VLOOKUP('Données projet'!$B$9,Paramètres!$A$1:$I$88,3,0)*0.475*44/12</f>
        <v>2.062277585420258</v>
      </c>
      <c r="AB179" s="23">
        <f>EXP(-LN(2)/2)*AB178+(1-EXP(-LN(2)/2))/(LN(2)/2)*V179*Y179*VLOOKUP('Données projet'!$B$9,Paramètres!$A$1:$I$88,3,0)*0.475*44/12</f>
        <v>7.4576878639372973E-17</v>
      </c>
      <c r="AC179" s="24">
        <f t="shared" si="163"/>
        <v>51.370670359267422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-6.8212102632969618E-13</v>
      </c>
      <c r="AJ179" s="14">
        <f>AI179*VLOOKUP('Données projet'!$B$10,Paramètres!$A$1:$I$88,3,0)*VLOOKUP('Données projet'!$B$10,Paramètres!$A$1:$I$88,5,0)</f>
        <v>-3.1923264032229784E-13</v>
      </c>
      <c r="AK179" s="14" t="e">
        <f t="shared" si="164"/>
        <v>#NUM!</v>
      </c>
      <c r="AL179" s="22" t="e">
        <f t="shared" si="165"/>
        <v>#NUM!</v>
      </c>
      <c r="AM179" s="61" t="e">
        <f t="shared" si="113"/>
        <v>#NUM!</v>
      </c>
      <c r="AN179" s="61">
        <f ca="1">AVERAGE(OFFSET($AM$3,0,0,'Données projet'!$E$10+1,1))-AVERAGE(OFFSET($H$3,0,0,'Données projet'!$E$10+1,1))</f>
        <v>375.77859820466693</v>
      </c>
      <c r="AO179" s="61">
        <f t="shared" si="144"/>
        <v>242.84781402593856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78.943399313592522</v>
      </c>
      <c r="AV179" s="23">
        <f>EXP(-LN(2)/25)*AV178+(1-EXP(-LN(2)/25))/(LN(2)/25)*Calculateur!AQ179*Calculateur!AS179*VLOOKUP('Données projet'!$B$9,Paramètres!$A$1:$I$88,3,0)*0.475*44/12</f>
        <v>4.9616268165237774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83.905026130116298</v>
      </c>
      <c r="AY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5.2</v>
      </c>
      <c r="BD179" s="13">
        <f>IF('Données projet'!$A$88&gt;35,BD178+BC179-BL178,IF(A179&lt;'Données projet'!$A$88,$BA$205^A179,IF(A179='Données projet'!$A$88,'Données projet'!$B$88,BD178+BC179-BL178)))</f>
        <v>305.40000000000015</v>
      </c>
      <c r="BE179" s="14">
        <f>BD179*VLOOKUP('Données projet'!$B$11,Paramètres!$A$1:$I$88,3,0)*VLOOKUP('Données projet'!$B$11,Paramètres!$A$1:$I$88,5,0)</f>
        <v>309.6756000000002</v>
      </c>
      <c r="BF179" s="14">
        <f t="shared" si="167"/>
        <v>73.201078412630807</v>
      </c>
      <c r="BG179" s="22">
        <f t="shared" si="168"/>
        <v>666.84354823533238</v>
      </c>
      <c r="BH179" s="61">
        <f t="shared" si="116"/>
        <v>955.96394970917004</v>
      </c>
      <c r="BI179" s="61">
        <f ca="1">AVERAGE(OFFSET($BH$3,0,0,'Données projet'!$E$11+1,1))-AVERAGE(OFFSET($H$3,0,0,'Données projet'!$E$11+1,1))</f>
        <v>433.57989081194</v>
      </c>
      <c r="BJ179" s="61">
        <f t="shared" si="146"/>
        <v>182.52060621271355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34.838345127714099</v>
      </c>
      <c r="BQ179" s="23">
        <f>EXP(-LN(2)/25)*BQ178+(1-EXP(-LN(2)/25))/(LN(2)/25)*Calculateur!BL179*Calculateur!BN179*VLOOKUP('Données projet'!$B$9,Paramètres!$A$1:$I$88,3,0)*0.475*44/12</f>
        <v>3.4940564427313938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38.332401570445491</v>
      </c>
      <c r="BT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1" t="e">
        <f t="shared" si="119"/>
        <v>#N/A</v>
      </c>
      <c r="CD179" s="61" t="e">
        <f ca="1">AVERAGE(OFFSET($CC$3,0,0,'Données projet'!$E$12+1,1))-AVERAGE(OFFSET($H$3,0,0,'Données projet'!$E$12+1,1))</f>
        <v>#N/A</v>
      </c>
      <c r="CE179" s="61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1" t="e">
        <f t="shared" si="122"/>
        <v>#N/A</v>
      </c>
      <c r="CY179" s="61" t="e">
        <f ca="1">AVERAGE(OFFSET($CX$3,0,0,'Données projet'!$E$13+1,1))-AVERAGE(OFFSET($H$3,0,0,'Données projet'!$E$13+1,1))</f>
        <v>#N/A</v>
      </c>
      <c r="CZ179" s="61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1" t="e">
        <f t="shared" si="125"/>
        <v>#N/A</v>
      </c>
      <c r="DT179" s="61" t="e">
        <f ca="1">AVERAGE(OFFSET($DS$3,0,0,'Données projet'!$E$14+1,1))-AVERAGE(OFFSET($H$3,0,0,'Données projet'!$E$14+1,1))</f>
        <v>#N/A</v>
      </c>
      <c r="DU179" s="61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1" t="e">
        <f t="shared" si="128"/>
        <v>#N/A</v>
      </c>
      <c r="EO179" s="61" t="e">
        <f ca="1">AVERAGE(OFFSET($EN$3,0,0,'Données projet'!$E$15+1,1))-AVERAGE(OFFSET($H$3,0,0,'Données projet'!$E$15+1,1))</f>
        <v>#N/A</v>
      </c>
      <c r="EP179" s="61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1" t="e">
        <f t="shared" si="131"/>
        <v>#N/A</v>
      </c>
      <c r="FJ179" s="61" t="e">
        <f ca="1">AVERAGE(OFFSET($FI$3,0,0,'Données projet'!$E$16+1,1))-AVERAGE(OFFSET($H$3,0,0,'Données projet'!$E$16+1,1))</f>
        <v>#N/A</v>
      </c>
      <c r="FK179" s="61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1" t="e">
        <f t="shared" si="134"/>
        <v>#N/A</v>
      </c>
      <c r="GE179" s="61" t="e">
        <f ca="1">AVERAGE(OFFSET($GD$3,0,0,'Données projet'!$E$17+1,1))-AVERAGE(OFFSET($H$3,0,0,'Données projet'!$E$17+1,1))</f>
        <v>#N/A</v>
      </c>
      <c r="GF179" s="61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1" t="e">
        <f t="shared" si="137"/>
        <v>#N/A</v>
      </c>
      <c r="GZ179" s="61" t="e">
        <f ca="1">AVERAGE(OFFSET($GY$3,0,0,'Données projet'!$E$18+1,1))-AVERAGE(OFFSET($H$3,0,0,'Données projet'!$E$18+1,1))</f>
        <v>#N/A</v>
      </c>
      <c r="HA179" s="61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45">
      <c r="A180" s="11">
        <f t="shared" si="161"/>
        <v>177</v>
      </c>
      <c r="B180" s="76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9">
        <f t="shared" si="110"/>
        <v>183.33333333333334</v>
      </c>
      <c r="I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-3.4106051316484809E-13</v>
      </c>
      <c r="O180" s="14">
        <f>N180*VLOOKUP('Données projet'!$B$9,Paramètres!$A$1:$I$88,3,0)*VLOOKUP('Données projet'!$B$9,Paramètres!$A$1:$I$88,5,0)</f>
        <v>-2.0395418687257919E-13</v>
      </c>
      <c r="P180" s="14" t="e">
        <f t="shared" si="141"/>
        <v>#NUM!</v>
      </c>
      <c r="Q180" s="22" t="e">
        <f t="shared" si="162"/>
        <v>#NUM!</v>
      </c>
      <c r="R180" s="61" t="e">
        <f t="shared" si="109"/>
        <v>#NUM!</v>
      </c>
      <c r="S180" s="61">
        <f ca="1">AVERAGE(OFFSET($R$3,0,0,'Données projet'!$E$9+1,1))-AVERAGE(OFFSET($H$3,0,0,'Données projet'!$E$9+1,1))</f>
        <v>445.53168057836308</v>
      </c>
      <c r="T180" s="61">
        <f t="shared" si="142"/>
        <v>326.78684646135241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48.341485266701945</v>
      </c>
      <c r="AA180" s="23">
        <f>EXP(-LN(2)/25)*AA179+(1-EXP(-LN(2)/25))/(LN(2)/25)*Calculateur!V180*Calculateur!X180*VLOOKUP('Données projet'!$B$9,Paramètres!$A$1:$I$88,3,0)*0.475*44/12</f>
        <v>2.0058844963964764</v>
      </c>
      <c r="AB180" s="23">
        <f>EXP(-LN(2)/2)*AB179+(1-EXP(-LN(2)/2))/(LN(2)/2)*V180*Y180*VLOOKUP('Données projet'!$B$9,Paramètres!$A$1:$I$88,3,0)*0.475*44/12</f>
        <v>5.2733816605626815E-17</v>
      </c>
      <c r="AC180" s="24">
        <f t="shared" si="163"/>
        <v>50.34736976309842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-6.8212102632969618E-13</v>
      </c>
      <c r="AJ180" s="14">
        <f>AI180*VLOOKUP('Données projet'!$B$10,Paramètres!$A$1:$I$88,3,0)*VLOOKUP('Données projet'!$B$10,Paramètres!$A$1:$I$88,5,0)</f>
        <v>-3.1923264032229784E-13</v>
      </c>
      <c r="AK180" s="14" t="e">
        <f t="shared" si="164"/>
        <v>#NUM!</v>
      </c>
      <c r="AL180" s="22" t="e">
        <f t="shared" si="165"/>
        <v>#NUM!</v>
      </c>
      <c r="AM180" s="61" t="e">
        <f t="shared" si="113"/>
        <v>#NUM!</v>
      </c>
      <c r="AN180" s="61">
        <f ca="1">AVERAGE(OFFSET($AM$3,0,0,'Données projet'!$E$10+1,1))-AVERAGE(OFFSET($H$3,0,0,'Données projet'!$E$10+1,1))</f>
        <v>375.77859820466693</v>
      </c>
      <c r="AO180" s="61">
        <f t="shared" si="144"/>
        <v>242.84781402593856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77.39536740377207</v>
      </c>
      <c r="AV180" s="23">
        <f>EXP(-LN(2)/25)*AV179+(1-EXP(-LN(2)/25))/(LN(2)/25)*Calculateur!AQ180*Calculateur!AS180*VLOOKUP('Données projet'!$B$9,Paramètres!$A$1:$I$88,3,0)*0.475*44/12</f>
        <v>4.82595087030532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82.22131827407739</v>
      </c>
      <c r="AY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5.2</v>
      </c>
      <c r="BD180" s="13">
        <f>IF('Données projet'!$A$88&gt;35,BD179+BC180-BL179,IF(A180&lt;'Données projet'!$A$88,$BA$205^A180,IF(A180='Données projet'!$A$88,'Données projet'!$B$88,BD179+BC180-BL179)))</f>
        <v>310.60000000000014</v>
      </c>
      <c r="BE180" s="14">
        <f>BD180*VLOOKUP('Données projet'!$B$11,Paramètres!$A$1:$I$88,3,0)*VLOOKUP('Données projet'!$B$11,Paramètres!$A$1:$I$88,5,0)</f>
        <v>314.94840000000016</v>
      </c>
      <c r="BF180" s="14">
        <f t="shared" si="167"/>
        <v>74.30129862608122</v>
      </c>
      <c r="BG180" s="22">
        <f t="shared" si="168"/>
        <v>677.94322510709173</v>
      </c>
      <c r="BH180" s="61">
        <f t="shared" si="116"/>
        <v>967.136711529987</v>
      </c>
      <c r="BI180" s="61">
        <f ca="1">AVERAGE(OFFSET($BH$3,0,0,'Données projet'!$E$11+1,1))-AVERAGE(OFFSET($H$3,0,0,'Données projet'!$E$11+1,1))</f>
        <v>433.57989081194</v>
      </c>
      <c r="BJ180" s="61">
        <f t="shared" si="146"/>
        <v>182.52060621271355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34.155186429051959</v>
      </c>
      <c r="BQ180" s="23">
        <f>EXP(-LN(2)/25)*BQ179+(1-EXP(-LN(2)/25))/(LN(2)/25)*Calculateur!BL180*Calculateur!BN180*VLOOKUP('Données projet'!$B$9,Paramètres!$A$1:$I$88,3,0)*0.475*44/12</f>
        <v>3.3985112855604611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37.553697714612419</v>
      </c>
      <c r="BT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1" t="e">
        <f t="shared" si="119"/>
        <v>#N/A</v>
      </c>
      <c r="CD180" s="61" t="e">
        <f ca="1">AVERAGE(OFFSET($CC$3,0,0,'Données projet'!$E$12+1,1))-AVERAGE(OFFSET($H$3,0,0,'Données projet'!$E$12+1,1))</f>
        <v>#N/A</v>
      </c>
      <c r="CE180" s="61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1" t="e">
        <f t="shared" si="122"/>
        <v>#N/A</v>
      </c>
      <c r="CY180" s="61" t="e">
        <f ca="1">AVERAGE(OFFSET($CX$3,0,0,'Données projet'!$E$13+1,1))-AVERAGE(OFFSET($H$3,0,0,'Données projet'!$E$13+1,1))</f>
        <v>#N/A</v>
      </c>
      <c r="CZ180" s="61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1" t="e">
        <f t="shared" si="125"/>
        <v>#N/A</v>
      </c>
      <c r="DT180" s="61" t="e">
        <f ca="1">AVERAGE(OFFSET($DS$3,0,0,'Données projet'!$E$14+1,1))-AVERAGE(OFFSET($H$3,0,0,'Données projet'!$E$14+1,1))</f>
        <v>#N/A</v>
      </c>
      <c r="DU180" s="61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1" t="e">
        <f t="shared" si="128"/>
        <v>#N/A</v>
      </c>
      <c r="EO180" s="61" t="e">
        <f ca="1">AVERAGE(OFFSET($EN$3,0,0,'Données projet'!$E$15+1,1))-AVERAGE(OFFSET($H$3,0,0,'Données projet'!$E$15+1,1))</f>
        <v>#N/A</v>
      </c>
      <c r="EP180" s="61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1" t="e">
        <f t="shared" si="131"/>
        <v>#N/A</v>
      </c>
      <c r="FJ180" s="61" t="e">
        <f ca="1">AVERAGE(OFFSET($FI$3,0,0,'Données projet'!$E$16+1,1))-AVERAGE(OFFSET($H$3,0,0,'Données projet'!$E$16+1,1))</f>
        <v>#N/A</v>
      </c>
      <c r="FK180" s="61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1" t="e">
        <f t="shared" si="134"/>
        <v>#N/A</v>
      </c>
      <c r="GE180" s="61" t="e">
        <f ca="1">AVERAGE(OFFSET($GD$3,0,0,'Données projet'!$E$17+1,1))-AVERAGE(OFFSET($H$3,0,0,'Données projet'!$E$17+1,1))</f>
        <v>#N/A</v>
      </c>
      <c r="GF180" s="61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1" t="e">
        <f t="shared" si="137"/>
        <v>#N/A</v>
      </c>
      <c r="GZ180" s="61" t="e">
        <f ca="1">AVERAGE(OFFSET($GY$3,0,0,'Données projet'!$E$18+1,1))-AVERAGE(OFFSET($H$3,0,0,'Données projet'!$E$18+1,1))</f>
        <v>#N/A</v>
      </c>
      <c r="HA180" s="61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45">
      <c r="A181" s="11">
        <f t="shared" si="161"/>
        <v>178</v>
      </c>
      <c r="B181" s="76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9">
        <f t="shared" si="110"/>
        <v>183.33333333333334</v>
      </c>
      <c r="I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-3.4106051316484809E-13</v>
      </c>
      <c r="O181" s="14">
        <f>N181*VLOOKUP('Données projet'!$B$9,Paramètres!$A$1:$I$88,3,0)*VLOOKUP('Données projet'!$B$9,Paramètres!$A$1:$I$88,5,0)</f>
        <v>-2.0395418687257919E-13</v>
      </c>
      <c r="P181" s="14" t="e">
        <f t="shared" si="141"/>
        <v>#NUM!</v>
      </c>
      <c r="Q181" s="22" t="e">
        <f t="shared" si="162"/>
        <v>#NUM!</v>
      </c>
      <c r="R181" s="61" t="e">
        <f t="shared" si="109"/>
        <v>#NUM!</v>
      </c>
      <c r="S181" s="61">
        <f ca="1">AVERAGE(OFFSET($R$3,0,0,'Données projet'!$E$9+1,1))-AVERAGE(OFFSET($H$3,0,0,'Données projet'!$E$9+1,1))</f>
        <v>445.53168057836308</v>
      </c>
      <c r="T181" s="61">
        <f t="shared" si="142"/>
        <v>326.78684646135241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47.393538226016489</v>
      </c>
      <c r="AA181" s="23">
        <f>EXP(-LN(2)/25)*AA180+(1-EXP(-LN(2)/25))/(LN(2)/25)*Calculateur!V181*Calculateur!X181*VLOOKUP('Données projet'!$B$9,Paramètres!$A$1:$I$88,3,0)*0.475*44/12</f>
        <v>1.9510334793576336</v>
      </c>
      <c r="AB181" s="23">
        <f>EXP(-LN(2)/2)*AB180+(1-EXP(-LN(2)/2))/(LN(2)/2)*V181*Y181*VLOOKUP('Données projet'!$B$9,Paramètres!$A$1:$I$88,3,0)*0.475*44/12</f>
        <v>3.7288439319686486E-17</v>
      </c>
      <c r="AC181" s="24">
        <f t="shared" si="163"/>
        <v>49.344571705374122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-6.8212102632969618E-13</v>
      </c>
      <c r="AJ181" s="14">
        <f>AI181*VLOOKUP('Données projet'!$B$10,Paramètres!$A$1:$I$88,3,0)*VLOOKUP('Données projet'!$B$10,Paramètres!$A$1:$I$88,5,0)</f>
        <v>-3.1923264032229784E-13</v>
      </c>
      <c r="AK181" s="14" t="e">
        <f t="shared" si="164"/>
        <v>#NUM!</v>
      </c>
      <c r="AL181" s="22" t="e">
        <f t="shared" si="165"/>
        <v>#NUM!</v>
      </c>
      <c r="AM181" s="61" t="e">
        <f t="shared" si="113"/>
        <v>#NUM!</v>
      </c>
      <c r="AN181" s="61">
        <f ca="1">AVERAGE(OFFSET($AM$3,0,0,'Données projet'!$E$10+1,1))-AVERAGE(OFFSET($H$3,0,0,'Données projet'!$E$10+1,1))</f>
        <v>375.77859820466693</v>
      </c>
      <c r="AO181" s="61">
        <f t="shared" si="144"/>
        <v>242.84781402593856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75.877691455496958</v>
      </c>
      <c r="AV181" s="23">
        <f>EXP(-LN(2)/25)*AV180+(1-EXP(-LN(2)/25))/(LN(2)/25)*Calculateur!AQ181*Calculateur!AS181*VLOOKUP('Données projet'!$B$9,Paramètres!$A$1:$I$88,3,0)*0.475*44/12</f>
        <v>4.6939849899710948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80.571676445468057</v>
      </c>
      <c r="AY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5.2</v>
      </c>
      <c r="BD181" s="13">
        <f>IF('Données projet'!$A$88&gt;35,BD180+BC181-BL180,IF(A181&lt;'Données projet'!$A$88,$BA$205^A181,IF(A181='Données projet'!$A$88,'Données projet'!$B$88,BD180+BC181-BL180)))</f>
        <v>315.80000000000013</v>
      </c>
      <c r="BE181" s="14">
        <f>BD181*VLOOKUP('Données projet'!$B$11,Paramètres!$A$1:$I$88,3,0)*VLOOKUP('Données projet'!$B$11,Paramètres!$A$1:$I$88,5,0)</f>
        <v>320.22120000000018</v>
      </c>
      <c r="BF181" s="14">
        <f t="shared" si="167"/>
        <v>75.399376773540212</v>
      </c>
      <c r="BG181" s="22">
        <f t="shared" si="168"/>
        <v>689.03917121391612</v>
      </c>
      <c r="BH181" s="61">
        <f t="shared" si="116"/>
        <v>978.30447472539629</v>
      </c>
      <c r="BI181" s="61">
        <f ca="1">AVERAGE(OFFSET($BH$3,0,0,'Données projet'!$E$11+1,1))-AVERAGE(OFFSET($H$3,0,0,'Données projet'!$E$11+1,1))</f>
        <v>433.57989081194</v>
      </c>
      <c r="BJ181" s="61">
        <f t="shared" si="146"/>
        <v>182.52060621271355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33.485424055784925</v>
      </c>
      <c r="BQ181" s="23">
        <f>EXP(-LN(2)/25)*BQ180+(1-EXP(-LN(2)/25))/(LN(2)/25)*Calculateur!BL181*Calculateur!BN181*VLOOKUP('Données projet'!$B$9,Paramètres!$A$1:$I$88,3,0)*0.475*44/12</f>
        <v>3.3055788157368693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36.791002871521798</v>
      </c>
      <c r="BT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1" t="e">
        <f t="shared" si="119"/>
        <v>#N/A</v>
      </c>
      <c r="CD181" s="61" t="e">
        <f ca="1">AVERAGE(OFFSET($CC$3,0,0,'Données projet'!$E$12+1,1))-AVERAGE(OFFSET($H$3,0,0,'Données projet'!$E$12+1,1))</f>
        <v>#N/A</v>
      </c>
      <c r="CE181" s="61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1" t="e">
        <f t="shared" si="122"/>
        <v>#N/A</v>
      </c>
      <c r="CY181" s="61" t="e">
        <f ca="1">AVERAGE(OFFSET($CX$3,0,0,'Données projet'!$E$13+1,1))-AVERAGE(OFFSET($H$3,0,0,'Données projet'!$E$13+1,1))</f>
        <v>#N/A</v>
      </c>
      <c r="CZ181" s="61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1" t="e">
        <f t="shared" si="125"/>
        <v>#N/A</v>
      </c>
      <c r="DT181" s="61" t="e">
        <f ca="1">AVERAGE(OFFSET($DS$3,0,0,'Données projet'!$E$14+1,1))-AVERAGE(OFFSET($H$3,0,0,'Données projet'!$E$14+1,1))</f>
        <v>#N/A</v>
      </c>
      <c r="DU181" s="61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1" t="e">
        <f t="shared" si="128"/>
        <v>#N/A</v>
      </c>
      <c r="EO181" s="61" t="e">
        <f ca="1">AVERAGE(OFFSET($EN$3,0,0,'Données projet'!$E$15+1,1))-AVERAGE(OFFSET($H$3,0,0,'Données projet'!$E$15+1,1))</f>
        <v>#N/A</v>
      </c>
      <c r="EP181" s="61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1" t="e">
        <f t="shared" si="131"/>
        <v>#N/A</v>
      </c>
      <c r="FJ181" s="61" t="e">
        <f ca="1">AVERAGE(OFFSET($FI$3,0,0,'Données projet'!$E$16+1,1))-AVERAGE(OFFSET($H$3,0,0,'Données projet'!$E$16+1,1))</f>
        <v>#N/A</v>
      </c>
      <c r="FK181" s="61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1" t="e">
        <f t="shared" si="134"/>
        <v>#N/A</v>
      </c>
      <c r="GE181" s="61" t="e">
        <f ca="1">AVERAGE(OFFSET($GD$3,0,0,'Données projet'!$E$17+1,1))-AVERAGE(OFFSET($H$3,0,0,'Données projet'!$E$17+1,1))</f>
        <v>#N/A</v>
      </c>
      <c r="GF181" s="61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1" t="e">
        <f t="shared" si="137"/>
        <v>#N/A</v>
      </c>
      <c r="GZ181" s="61" t="e">
        <f ca="1">AVERAGE(OFFSET($GY$3,0,0,'Données projet'!$E$18+1,1))-AVERAGE(OFFSET($H$3,0,0,'Données projet'!$E$18+1,1))</f>
        <v>#N/A</v>
      </c>
      <c r="HA181" s="61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45">
      <c r="A182" s="11">
        <f t="shared" si="161"/>
        <v>179</v>
      </c>
      <c r="B182" s="76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9">
        <f t="shared" si="110"/>
        <v>183.33333333333334</v>
      </c>
      <c r="I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-3.4106051316484809E-13</v>
      </c>
      <c r="O182" s="14">
        <f>N182*VLOOKUP('Données projet'!$B$9,Paramètres!$A$1:$I$88,3,0)*VLOOKUP('Données projet'!$B$9,Paramètres!$A$1:$I$88,5,0)</f>
        <v>-2.0395418687257919E-13</v>
      </c>
      <c r="P182" s="14" t="e">
        <f t="shared" si="141"/>
        <v>#NUM!</v>
      </c>
      <c r="Q182" s="22" t="e">
        <f t="shared" si="162"/>
        <v>#NUM!</v>
      </c>
      <c r="R182" s="61" t="e">
        <f t="shared" si="109"/>
        <v>#NUM!</v>
      </c>
      <c r="S182" s="61">
        <f ca="1">AVERAGE(OFFSET($R$3,0,0,'Données projet'!$E$9+1,1))-AVERAGE(OFFSET($H$3,0,0,'Données projet'!$E$9+1,1))</f>
        <v>445.53168057836308</v>
      </c>
      <c r="T182" s="61">
        <f t="shared" si="142"/>
        <v>326.78684646135241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46.464179848608275</v>
      </c>
      <c r="AA182" s="23">
        <f>EXP(-LN(2)/25)*AA181+(1-EXP(-LN(2)/25))/(LN(2)/25)*Calculateur!V182*Calculateur!X182*VLOOKUP('Données projet'!$B$9,Paramètres!$A$1:$I$88,3,0)*0.475*44/12</f>
        <v>1.8976823662642075</v>
      </c>
      <c r="AB182" s="23">
        <f>EXP(-LN(2)/2)*AB181+(1-EXP(-LN(2)/2))/(LN(2)/2)*V182*Y182*VLOOKUP('Données projet'!$B$9,Paramètres!$A$1:$I$88,3,0)*0.475*44/12</f>
        <v>2.6366908302813408E-17</v>
      </c>
      <c r="AC182" s="24">
        <f t="shared" si="163"/>
        <v>48.361862214872481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-6.8212102632969618E-13</v>
      </c>
      <c r="AJ182" s="14">
        <f>AI182*VLOOKUP('Données projet'!$B$10,Paramètres!$A$1:$I$88,3,0)*VLOOKUP('Données projet'!$B$10,Paramètres!$A$1:$I$88,5,0)</f>
        <v>-3.1923264032229784E-13</v>
      </c>
      <c r="AK182" s="14" t="e">
        <f t="shared" si="164"/>
        <v>#NUM!</v>
      </c>
      <c r="AL182" s="22" t="e">
        <f t="shared" si="165"/>
        <v>#NUM!</v>
      </c>
      <c r="AM182" s="61" t="e">
        <f t="shared" si="113"/>
        <v>#NUM!</v>
      </c>
      <c r="AN182" s="61">
        <f ca="1">AVERAGE(OFFSET($AM$3,0,0,'Données projet'!$E$10+1,1))-AVERAGE(OFFSET($H$3,0,0,'Données projet'!$E$10+1,1))</f>
        <v>375.77859820466693</v>
      </c>
      <c r="AO182" s="61">
        <f t="shared" si="144"/>
        <v>242.84781402593856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74.389776206876604</v>
      </c>
      <c r="AV182" s="23">
        <f>EXP(-LN(2)/25)*AV181+(1-EXP(-LN(2)/25))/(LN(2)/25)*Calculateur!AQ182*Calculateur!AS182*VLOOKUP('Données projet'!$B$9,Paramètres!$A$1:$I$88,3,0)*0.475*44/12</f>
        <v>4.5656277235743925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78.955403930450998</v>
      </c>
      <c r="AY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>
        <f>VLOOKUP(A182,'Données projet'!$A$87:$I$107,2,0)</f>
        <v>321</v>
      </c>
      <c r="BB182" s="13">
        <f>VLOOKUP(A182,'Données projet'!$A$87:$I$107,9,0)</f>
        <v>5.2</v>
      </c>
      <c r="BC182" s="13">
        <f t="array" ref="BC182">INDEX(BB:BB,MIN(IF(ISNUMBER(BB182:BB378),ROW(BB182:BB378),"")))</f>
        <v>5.2</v>
      </c>
      <c r="BD182" s="13">
        <f>IF('Données projet'!$A$88&gt;35,BD181+BC182-BL181,IF(A182&lt;'Données projet'!$A$88,$BA$205^A182,IF(A182='Données projet'!$A$88,'Données projet'!$B$88,BD181+BC182-BL181)))</f>
        <v>321.00000000000011</v>
      </c>
      <c r="BE182" s="14">
        <f>BD182*VLOOKUP('Données projet'!$B$11,Paramètres!$A$1:$I$88,3,0)*VLOOKUP('Données projet'!$B$11,Paramètres!$A$1:$I$88,5,0)</f>
        <v>325.49400000000014</v>
      </c>
      <c r="BF182" s="14">
        <f t="shared" si="167"/>
        <v>76.495352197992943</v>
      </c>
      <c r="BG182" s="22">
        <f t="shared" si="168"/>
        <v>700.13145507817126</v>
      </c>
      <c r="BH182" s="61">
        <f t="shared" si="116"/>
        <v>989.46732981230844</v>
      </c>
      <c r="BI182" s="61">
        <f ca="1">AVERAGE(OFFSET($BH$3,0,0,'Données projet'!$E$11+1,1))-AVERAGE(OFFSET($H$3,0,0,'Données projet'!$E$11+1,1))</f>
        <v>433.57989081194</v>
      </c>
      <c r="BJ182" s="61">
        <f t="shared" si="146"/>
        <v>182.52060621271355</v>
      </c>
      <c r="BK182" s="16">
        <f>IF(ISNA(VLOOKUP(A182,'Données projet'!$A$87:$I$107,3,0)),0,VLOOKUP(A182,'Données projet'!$A$87:$I$107,3,0))</f>
        <v>11</v>
      </c>
      <c r="BL182" s="16">
        <f>IF(ISNA(VLOOKUP(A182,'Données projet'!$A$87:$I$107,4,0)),0,VLOOKUP(A182,'Données projet'!$A$87:$I$107,4,0))</f>
        <v>56</v>
      </c>
      <c r="BM182" s="17">
        <f>IF(ISNA(VLOOKUP(A182,'Données projet'!$A$87:$I$107,5,0)),0%,VLOOKUP(A182,'Données projet'!$A$87:$I$107,5,0)*VLOOKUP('Données projet'!$B$11,Paramètres!$A$1:$I$88,7,0))</f>
        <v>0.38700000000000001</v>
      </c>
      <c r="BN182" s="17">
        <f>IF(ISNA(VLOOKUP(A182,'Données projet'!$A$87:$I$107,6,0)),0%,VLOOKUP(A182,'Données projet'!$A$87:$I$107,6,0)*VLOOKUP('Données projet'!$B$11,Paramètres!$A$1:$I$88,7,0))</f>
        <v>4.3000000000000003E-2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50.020879631357801</v>
      </c>
      <c r="BQ182" s="23">
        <f>EXP(-LN(2)/25)*BQ181+(1-EXP(-LN(2)/25))/(LN(2)/25)*Calculateur!BL182*Calculateur!BN182*VLOOKUP('Données projet'!$B$9,Paramètres!$A$1:$I$88,3,0)*0.475*44/12</f>
        <v>5.1178978703610758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55.138777501718877</v>
      </c>
      <c r="BT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1" t="e">
        <f t="shared" si="119"/>
        <v>#N/A</v>
      </c>
      <c r="CD182" s="61" t="e">
        <f ca="1">AVERAGE(OFFSET($CC$3,0,0,'Données projet'!$E$12+1,1))-AVERAGE(OFFSET($H$3,0,0,'Données projet'!$E$12+1,1))</f>
        <v>#N/A</v>
      </c>
      <c r="CE182" s="61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1" t="e">
        <f t="shared" si="122"/>
        <v>#N/A</v>
      </c>
      <c r="CY182" s="61" t="e">
        <f ca="1">AVERAGE(OFFSET($CX$3,0,0,'Données projet'!$E$13+1,1))-AVERAGE(OFFSET($H$3,0,0,'Données projet'!$E$13+1,1))</f>
        <v>#N/A</v>
      </c>
      <c r="CZ182" s="61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1" t="e">
        <f t="shared" si="125"/>
        <v>#N/A</v>
      </c>
      <c r="DT182" s="61" t="e">
        <f ca="1">AVERAGE(OFFSET($DS$3,0,0,'Données projet'!$E$14+1,1))-AVERAGE(OFFSET($H$3,0,0,'Données projet'!$E$14+1,1))</f>
        <v>#N/A</v>
      </c>
      <c r="DU182" s="61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1" t="e">
        <f t="shared" si="128"/>
        <v>#N/A</v>
      </c>
      <c r="EO182" s="61" t="e">
        <f ca="1">AVERAGE(OFFSET($EN$3,0,0,'Données projet'!$E$15+1,1))-AVERAGE(OFFSET($H$3,0,0,'Données projet'!$E$15+1,1))</f>
        <v>#N/A</v>
      </c>
      <c r="EP182" s="61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1" t="e">
        <f t="shared" si="131"/>
        <v>#N/A</v>
      </c>
      <c r="FJ182" s="61" t="e">
        <f ca="1">AVERAGE(OFFSET($FI$3,0,0,'Données projet'!$E$16+1,1))-AVERAGE(OFFSET($H$3,0,0,'Données projet'!$E$16+1,1))</f>
        <v>#N/A</v>
      </c>
      <c r="FK182" s="61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1" t="e">
        <f t="shared" si="134"/>
        <v>#N/A</v>
      </c>
      <c r="GE182" s="61" t="e">
        <f ca="1">AVERAGE(OFFSET($GD$3,0,0,'Données projet'!$E$17+1,1))-AVERAGE(OFFSET($H$3,0,0,'Données projet'!$E$17+1,1))</f>
        <v>#N/A</v>
      </c>
      <c r="GF182" s="61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1" t="e">
        <f t="shared" si="137"/>
        <v>#N/A</v>
      </c>
      <c r="GZ182" s="61" t="e">
        <f ca="1">AVERAGE(OFFSET($GY$3,0,0,'Données projet'!$E$18+1,1))-AVERAGE(OFFSET($H$3,0,0,'Données projet'!$E$18+1,1))</f>
        <v>#N/A</v>
      </c>
      <c r="HA182" s="61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45">
      <c r="A183" s="11">
        <f t="shared" si="161"/>
        <v>180</v>
      </c>
      <c r="B183" s="76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9">
        <f t="shared" si="110"/>
        <v>183.33333333333334</v>
      </c>
      <c r="I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-3.4106051316484809E-13</v>
      </c>
      <c r="O183" s="14">
        <f>N183*VLOOKUP('Données projet'!$B$9,Paramètres!$A$1:$I$88,3,0)*VLOOKUP('Données projet'!$B$9,Paramètres!$A$1:$I$88,5,0)</f>
        <v>-2.0395418687257919E-13</v>
      </c>
      <c r="P183" s="14" t="e">
        <f t="shared" si="141"/>
        <v>#NUM!</v>
      </c>
      <c r="Q183" s="22" t="e">
        <f t="shared" si="162"/>
        <v>#NUM!</v>
      </c>
      <c r="R183" s="61" t="e">
        <f t="shared" si="109"/>
        <v>#NUM!</v>
      </c>
      <c r="S183" s="61">
        <f ca="1">AVERAGE(OFFSET($R$3,0,0,'Données projet'!$E$9+1,1))-AVERAGE(OFFSET($H$3,0,0,'Données projet'!$E$9+1,1))</f>
        <v>445.53168057836308</v>
      </c>
      <c r="T183" s="61">
        <f t="shared" si="142"/>
        <v>326.78684646135241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45.553045622128394</v>
      </c>
      <c r="AA183" s="23">
        <f>EXP(-LN(2)/25)*AA182+(1-EXP(-LN(2)/25))/(LN(2)/25)*Calculateur!V183*Calculateur!X183*VLOOKUP('Données projet'!$B$9,Paramètres!$A$1:$I$88,3,0)*0.475*44/12</f>
        <v>1.8457901421639342</v>
      </c>
      <c r="AB183" s="23">
        <f>EXP(-LN(2)/2)*AB182+(1-EXP(-LN(2)/2))/(LN(2)/2)*V183*Y183*VLOOKUP('Données projet'!$B$9,Paramètres!$A$1:$I$88,3,0)*0.475*44/12</f>
        <v>1.8644219659843243E-17</v>
      </c>
      <c r="AC183" s="24">
        <f t="shared" si="163"/>
        <v>47.398835764292329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-6.8212102632969618E-13</v>
      </c>
      <c r="AJ183" s="14">
        <f>AI183*VLOOKUP('Données projet'!$B$10,Paramètres!$A$1:$I$88,3,0)*VLOOKUP('Données projet'!$B$10,Paramètres!$A$1:$I$88,5,0)</f>
        <v>-3.1923264032229784E-13</v>
      </c>
      <c r="AK183" s="14" t="e">
        <f t="shared" si="164"/>
        <v>#NUM!</v>
      </c>
      <c r="AL183" s="22" t="e">
        <f t="shared" si="165"/>
        <v>#NUM!</v>
      </c>
      <c r="AM183" s="61" t="e">
        <f t="shared" si="113"/>
        <v>#NUM!</v>
      </c>
      <c r="AN183" s="61">
        <f ca="1">AVERAGE(OFFSET($AM$3,0,0,'Données projet'!$E$10+1,1))-AVERAGE(OFFSET($H$3,0,0,'Données projet'!$E$10+1,1))</f>
        <v>375.77859820466693</v>
      </c>
      <c r="AO183" s="61">
        <f t="shared" si="144"/>
        <v>242.84781402593856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72.931038068743007</v>
      </c>
      <c r="AV183" s="23">
        <f>EXP(-LN(2)/25)*AV182+(1-EXP(-LN(2)/25))/(LN(2)/25)*Calculateur!AQ183*Calculateur!AS183*VLOOKUP('Données projet'!$B$9,Paramètres!$A$1:$I$88,3,0)*0.475*44/12</f>
        <v>4.4407803933773238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77.371818462120331</v>
      </c>
      <c r="AY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5.2727272727272725</v>
      </c>
      <c r="BD183" s="13">
        <f>IF('Données projet'!$A$88&gt;35,BD182+BC183-BL182,IF(A183&lt;'Données projet'!$A$88,$BA$205^A183,IF(A183='Données projet'!$A$88,'Données projet'!$B$88,BD182+BC183-BL182)))</f>
        <v>270.27272727272737</v>
      </c>
      <c r="BE183" s="14">
        <f>BD183*VLOOKUP('Données projet'!$B$11,Paramètres!$A$1:$I$88,3,0)*VLOOKUP('Données projet'!$B$11,Paramètres!$A$1:$I$88,5,0)</f>
        <v>274.05654545454559</v>
      </c>
      <c r="BF183" s="14">
        <f t="shared" si="167"/>
        <v>65.709422007789968</v>
      </c>
      <c r="BG183" s="22">
        <f t="shared" si="168"/>
        <v>591.7590599969011</v>
      </c>
      <c r="BH183" s="61">
        <f t="shared" si="116"/>
        <v>881.16428170075574</v>
      </c>
      <c r="BI183" s="61">
        <f ca="1">AVERAGE(OFFSET($BH$3,0,0,'Données projet'!$E$11+1,1))-AVERAGE(OFFSET($H$3,0,0,'Données projet'!$E$11+1,1))</f>
        <v>433.57989081194</v>
      </c>
      <c r="BJ183" s="61">
        <f t="shared" si="146"/>
        <v>182.52060621271355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49.040000691510862</v>
      </c>
      <c r="BQ183" s="23">
        <f>EXP(-LN(2)/25)*BQ182+(1-EXP(-LN(2)/25))/(LN(2)/25)*Calculateur!BL183*Calculateur!BN183*VLOOKUP('Données projet'!$B$9,Paramètres!$A$1:$I$88,3,0)*0.475*44/12</f>
        <v>4.9779486839575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54.017949375468362</v>
      </c>
      <c r="BT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1" t="e">
        <f t="shared" si="119"/>
        <v>#N/A</v>
      </c>
      <c r="CD183" s="61" t="e">
        <f ca="1">AVERAGE(OFFSET($CC$3,0,0,'Données projet'!$E$12+1,1))-AVERAGE(OFFSET($H$3,0,0,'Données projet'!$E$12+1,1))</f>
        <v>#N/A</v>
      </c>
      <c r="CE183" s="61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1" t="e">
        <f t="shared" si="122"/>
        <v>#N/A</v>
      </c>
      <c r="CY183" s="61" t="e">
        <f ca="1">AVERAGE(OFFSET($CX$3,0,0,'Données projet'!$E$13+1,1))-AVERAGE(OFFSET($H$3,0,0,'Données projet'!$E$13+1,1))</f>
        <v>#N/A</v>
      </c>
      <c r="CZ183" s="61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1" t="e">
        <f t="shared" si="125"/>
        <v>#N/A</v>
      </c>
      <c r="DT183" s="61" t="e">
        <f ca="1">AVERAGE(OFFSET($DS$3,0,0,'Données projet'!$E$14+1,1))-AVERAGE(OFFSET($H$3,0,0,'Données projet'!$E$14+1,1))</f>
        <v>#N/A</v>
      </c>
      <c r="DU183" s="61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1" t="e">
        <f t="shared" si="128"/>
        <v>#N/A</v>
      </c>
      <c r="EO183" s="61" t="e">
        <f ca="1">AVERAGE(OFFSET($EN$3,0,0,'Données projet'!$E$15+1,1))-AVERAGE(OFFSET($H$3,0,0,'Données projet'!$E$15+1,1))</f>
        <v>#N/A</v>
      </c>
      <c r="EP183" s="61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1" t="e">
        <f t="shared" si="131"/>
        <v>#N/A</v>
      </c>
      <c r="FJ183" s="61" t="e">
        <f ca="1">AVERAGE(OFFSET($FI$3,0,0,'Données projet'!$E$16+1,1))-AVERAGE(OFFSET($H$3,0,0,'Données projet'!$E$16+1,1))</f>
        <v>#N/A</v>
      </c>
      <c r="FK183" s="61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1" t="e">
        <f t="shared" si="134"/>
        <v>#N/A</v>
      </c>
      <c r="GE183" s="61" t="e">
        <f ca="1">AVERAGE(OFFSET($GD$3,0,0,'Données projet'!$E$17+1,1))-AVERAGE(OFFSET($H$3,0,0,'Données projet'!$E$17+1,1))</f>
        <v>#N/A</v>
      </c>
      <c r="GF183" s="61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1" t="e">
        <f t="shared" si="137"/>
        <v>#N/A</v>
      </c>
      <c r="GZ183" s="61" t="e">
        <f ca="1">AVERAGE(OFFSET($GY$3,0,0,'Données projet'!$E$18+1,1))-AVERAGE(OFFSET($H$3,0,0,'Données projet'!$E$18+1,1))</f>
        <v>#N/A</v>
      </c>
      <c r="HA183" s="61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45">
      <c r="A184" s="11">
        <f t="shared" si="161"/>
        <v>181</v>
      </c>
      <c r="B184" s="76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9">
        <f t="shared" si="110"/>
        <v>183.33333333333334</v>
      </c>
      <c r="I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-3.4106051316484809E-13</v>
      </c>
      <c r="O184" s="14">
        <f>N184*VLOOKUP('Données projet'!$B$9,Paramètres!$A$1:$I$88,3,0)*VLOOKUP('Données projet'!$B$9,Paramètres!$A$1:$I$88,5,0)</f>
        <v>-2.0395418687257919E-13</v>
      </c>
      <c r="P184" s="14" t="e">
        <f t="shared" si="141"/>
        <v>#NUM!</v>
      </c>
      <c r="Q184" s="22" t="e">
        <f t="shared" si="162"/>
        <v>#NUM!</v>
      </c>
      <c r="R184" s="61" t="e">
        <f t="shared" si="109"/>
        <v>#NUM!</v>
      </c>
      <c r="S184" s="61">
        <f ca="1">AVERAGE(OFFSET($R$3,0,0,'Données projet'!$E$9+1,1))-AVERAGE(OFFSET($H$3,0,0,'Données projet'!$E$9+1,1))</f>
        <v>445.53168057836308</v>
      </c>
      <c r="T184" s="61">
        <f t="shared" si="142"/>
        <v>326.78684646135241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44.659778182092786</v>
      </c>
      <c r="AA184" s="23">
        <f>EXP(-LN(2)/25)*AA183+(1-EXP(-LN(2)/25))/(LN(2)/25)*Calculateur!V184*Calculateur!X184*VLOOKUP('Données projet'!$B$9,Paramètres!$A$1:$I$88,3,0)*0.475*44/12</f>
        <v>1.7953169136605764</v>
      </c>
      <c r="AB184" s="23">
        <f>EXP(-LN(2)/2)*AB183+(1-EXP(-LN(2)/2))/(LN(2)/2)*V184*Y184*VLOOKUP('Données projet'!$B$9,Paramètres!$A$1:$I$88,3,0)*0.475*44/12</f>
        <v>1.3183454151406704E-17</v>
      </c>
      <c r="AC184" s="24">
        <f t="shared" si="163"/>
        <v>46.455095095753364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-6.8212102632969618E-13</v>
      </c>
      <c r="AJ184" s="14">
        <f>AI184*VLOOKUP('Données projet'!$B$10,Paramètres!$A$1:$I$88,3,0)*VLOOKUP('Données projet'!$B$10,Paramètres!$A$1:$I$88,5,0)</f>
        <v>-3.1923264032229784E-13</v>
      </c>
      <c r="AK184" s="14" t="e">
        <f t="shared" si="164"/>
        <v>#NUM!</v>
      </c>
      <c r="AL184" s="22" t="e">
        <f t="shared" si="165"/>
        <v>#NUM!</v>
      </c>
      <c r="AM184" s="61" t="e">
        <f t="shared" si="113"/>
        <v>#NUM!</v>
      </c>
      <c r="AN184" s="61">
        <f ca="1">AVERAGE(OFFSET($AM$3,0,0,'Données projet'!$E$10+1,1))-AVERAGE(OFFSET($H$3,0,0,'Données projet'!$E$10+1,1))</f>
        <v>375.77859820466693</v>
      </c>
      <c r="AO184" s="61">
        <f t="shared" si="144"/>
        <v>242.84781402593856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71.500904895755795</v>
      </c>
      <c r="AV184" s="23">
        <f>EXP(-LN(2)/25)*AV183+(1-EXP(-LN(2)/25))/(LN(2)/25)*Calculateur!AQ184*Calculateur!AS184*VLOOKUP('Données projet'!$B$9,Paramètres!$A$1:$I$88,3,0)*0.475*44/12</f>
        <v>4.3193470199899293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75.820251915745729</v>
      </c>
      <c r="AY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5.2727272727272725</v>
      </c>
      <c r="BD184" s="13">
        <f>IF('Données projet'!$A$88&gt;35,BD183+BC184-BL183,IF(A184&lt;'Données projet'!$A$88,$BA$205^A184,IF(A184='Données projet'!$A$88,'Données projet'!$B$88,BD183+BC184-BL183)))</f>
        <v>275.54545454545462</v>
      </c>
      <c r="BE184" s="14">
        <f>BD184*VLOOKUP('Données projet'!$B$11,Paramètres!$A$1:$I$88,3,0)*VLOOKUP('Données projet'!$B$11,Paramètres!$A$1:$I$88,5,0)</f>
        <v>279.40309090909102</v>
      </c>
      <c r="BF184" s="14">
        <f t="shared" si="167"/>
        <v>66.840849167741595</v>
      </c>
      <c r="BG184" s="22">
        <f t="shared" si="168"/>
        <v>603.04152896715016</v>
      </c>
      <c r="BH184" s="61">
        <f t="shared" si="116"/>
        <v>892.51489462583424</v>
      </c>
      <c r="BI184" s="61">
        <f ca="1">AVERAGE(OFFSET($BH$3,0,0,'Données projet'!$E$11+1,1))-AVERAGE(OFFSET($H$3,0,0,'Données projet'!$E$11+1,1))</f>
        <v>433.57989081194</v>
      </c>
      <c r="BJ184" s="61">
        <f t="shared" si="146"/>
        <v>182.52060621271355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48.078356189397248</v>
      </c>
      <c r="BQ184" s="23">
        <f>EXP(-LN(2)/25)*BQ183+(1-EXP(-LN(2)/25))/(LN(2)/25)*Calculateur!BL184*Calculateur!BN184*VLOOKUP('Données projet'!$B$9,Paramètres!$A$1:$I$88,3,0)*0.475*44/12</f>
        <v>4.8418264154157384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52.920182604812986</v>
      </c>
      <c r="BT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1" t="e">
        <f t="shared" si="119"/>
        <v>#N/A</v>
      </c>
      <c r="CD184" s="61" t="e">
        <f ca="1">AVERAGE(OFFSET($CC$3,0,0,'Données projet'!$E$12+1,1))-AVERAGE(OFFSET($H$3,0,0,'Données projet'!$E$12+1,1))</f>
        <v>#N/A</v>
      </c>
      <c r="CE184" s="61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1" t="e">
        <f t="shared" si="122"/>
        <v>#N/A</v>
      </c>
      <c r="CY184" s="61" t="e">
        <f ca="1">AVERAGE(OFFSET($CX$3,0,0,'Données projet'!$E$13+1,1))-AVERAGE(OFFSET($H$3,0,0,'Données projet'!$E$13+1,1))</f>
        <v>#N/A</v>
      </c>
      <c r="CZ184" s="61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1" t="e">
        <f t="shared" si="125"/>
        <v>#N/A</v>
      </c>
      <c r="DT184" s="61" t="e">
        <f ca="1">AVERAGE(OFFSET($DS$3,0,0,'Données projet'!$E$14+1,1))-AVERAGE(OFFSET($H$3,0,0,'Données projet'!$E$14+1,1))</f>
        <v>#N/A</v>
      </c>
      <c r="DU184" s="61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1" t="e">
        <f t="shared" si="128"/>
        <v>#N/A</v>
      </c>
      <c r="EO184" s="61" t="e">
        <f ca="1">AVERAGE(OFFSET($EN$3,0,0,'Données projet'!$E$15+1,1))-AVERAGE(OFFSET($H$3,0,0,'Données projet'!$E$15+1,1))</f>
        <v>#N/A</v>
      </c>
      <c r="EP184" s="61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1" t="e">
        <f t="shared" si="131"/>
        <v>#N/A</v>
      </c>
      <c r="FJ184" s="61" t="e">
        <f ca="1">AVERAGE(OFFSET($FI$3,0,0,'Données projet'!$E$16+1,1))-AVERAGE(OFFSET($H$3,0,0,'Données projet'!$E$16+1,1))</f>
        <v>#N/A</v>
      </c>
      <c r="FK184" s="61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1" t="e">
        <f t="shared" si="134"/>
        <v>#N/A</v>
      </c>
      <c r="GE184" s="61" t="e">
        <f ca="1">AVERAGE(OFFSET($GD$3,0,0,'Données projet'!$E$17+1,1))-AVERAGE(OFFSET($H$3,0,0,'Données projet'!$E$17+1,1))</f>
        <v>#N/A</v>
      </c>
      <c r="GF184" s="61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1" t="e">
        <f t="shared" si="137"/>
        <v>#N/A</v>
      </c>
      <c r="GZ184" s="61" t="e">
        <f ca="1">AVERAGE(OFFSET($GY$3,0,0,'Données projet'!$E$18+1,1))-AVERAGE(OFFSET($H$3,0,0,'Données projet'!$E$18+1,1))</f>
        <v>#N/A</v>
      </c>
      <c r="HA184" s="61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45">
      <c r="A185" s="11">
        <f t="shared" si="161"/>
        <v>182</v>
      </c>
      <c r="B185" s="76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9">
        <f t="shared" si="110"/>
        <v>183.33333333333334</v>
      </c>
      <c r="I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-3.4106051316484809E-13</v>
      </c>
      <c r="O185" s="14">
        <f>N185*VLOOKUP('Données projet'!$B$9,Paramètres!$A$1:$I$88,3,0)*VLOOKUP('Données projet'!$B$9,Paramètres!$A$1:$I$88,5,0)</f>
        <v>-2.0395418687257919E-13</v>
      </c>
      <c r="P185" s="14" t="e">
        <f t="shared" si="141"/>
        <v>#NUM!</v>
      </c>
      <c r="Q185" s="22" t="e">
        <f t="shared" si="162"/>
        <v>#NUM!</v>
      </c>
      <c r="R185" s="61" t="e">
        <f t="shared" si="109"/>
        <v>#NUM!</v>
      </c>
      <c r="S185" s="61">
        <f ca="1">AVERAGE(OFFSET($R$3,0,0,'Données projet'!$E$9+1,1))-AVERAGE(OFFSET($H$3,0,0,'Données projet'!$E$9+1,1))</f>
        <v>445.53168057836308</v>
      </c>
      <c r="T185" s="61">
        <f t="shared" si="142"/>
        <v>326.78684646135241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43.784027171716936</v>
      </c>
      <c r="AA185" s="23">
        <f>EXP(-LN(2)/25)*AA184+(1-EXP(-LN(2)/25))/(LN(2)/25)*Calculateur!V185*Calculateur!X185*VLOOKUP('Données projet'!$B$9,Paramètres!$A$1:$I$88,3,0)*0.475*44/12</f>
        <v>1.7462238782449147</v>
      </c>
      <c r="AB185" s="23">
        <f>EXP(-LN(2)/2)*AB184+(1-EXP(-LN(2)/2))/(LN(2)/2)*V185*Y185*VLOOKUP('Données projet'!$B$9,Paramètres!$A$1:$I$88,3,0)*0.475*44/12</f>
        <v>9.3221098299216216E-18</v>
      </c>
      <c r="AC185" s="24">
        <f t="shared" si="163"/>
        <v>45.530251049961848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-6.8212102632969618E-13</v>
      </c>
      <c r="AJ185" s="14">
        <f>AI185*VLOOKUP('Données projet'!$B$10,Paramètres!$A$1:$I$88,3,0)*VLOOKUP('Données projet'!$B$10,Paramètres!$A$1:$I$88,5,0)</f>
        <v>-3.1923264032229784E-13</v>
      </c>
      <c r="AK185" s="14" t="e">
        <f t="shared" si="164"/>
        <v>#NUM!</v>
      </c>
      <c r="AL185" s="22" t="e">
        <f t="shared" si="165"/>
        <v>#NUM!</v>
      </c>
      <c r="AM185" s="61" t="e">
        <f t="shared" si="113"/>
        <v>#NUM!</v>
      </c>
      <c r="AN185" s="61">
        <f ca="1">AVERAGE(OFFSET($AM$3,0,0,'Données projet'!$E$10+1,1))-AVERAGE(OFFSET($H$3,0,0,'Données projet'!$E$10+1,1))</f>
        <v>375.77859820466693</v>
      </c>
      <c r="AO185" s="61">
        <f t="shared" si="144"/>
        <v>242.84781402593856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70.098815761995752</v>
      </c>
      <c r="AV185" s="23">
        <f>EXP(-LN(2)/25)*AV184+(1-EXP(-LN(2)/25))/(LN(2)/25)*Calculateur!AQ185*Calculateur!AS185*VLOOKUP('Données projet'!$B$9,Paramètres!$A$1:$I$88,3,0)*0.475*44/12</f>
        <v>4.2012342485837166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74.300050010579469</v>
      </c>
      <c r="AY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5.2727272727272725</v>
      </c>
      <c r="BD185" s="13">
        <f>IF('Données projet'!$A$88&gt;35,BD184+BC185-BL184,IF(A185&lt;'Données projet'!$A$88,$BA$205^A185,IF(A185='Données projet'!$A$88,'Données projet'!$B$88,BD184+BC185-BL184)))</f>
        <v>280.81818181818187</v>
      </c>
      <c r="BE185" s="14">
        <f>BD185*VLOOKUP('Données projet'!$B$11,Paramètres!$A$1:$I$88,3,0)*VLOOKUP('Données projet'!$B$11,Paramètres!$A$1:$I$88,5,0)</f>
        <v>284.7496363636364</v>
      </c>
      <c r="BF185" s="14">
        <f t="shared" si="167"/>
        <v>67.969758847421261</v>
      </c>
      <c r="BG185" s="22">
        <f t="shared" si="168"/>
        <v>614.31961332592539</v>
      </c>
      <c r="BH185" s="61">
        <f t="shared" si="116"/>
        <v>903.8599407941698</v>
      </c>
      <c r="BI185" s="61">
        <f ca="1">AVERAGE(OFFSET($BH$3,0,0,'Données projet'!$E$11+1,1))-AVERAGE(OFFSET($H$3,0,0,'Données projet'!$E$11+1,1))</f>
        <v>433.57989081194</v>
      </c>
      <c r="BJ185" s="61">
        <f t="shared" si="146"/>
        <v>182.52060621271355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47.135568949424851</v>
      </c>
      <c r="BQ185" s="23">
        <f>EXP(-LN(2)/25)*BQ184+(1-EXP(-LN(2)/25))/(LN(2)/25)*Calculateur!BL185*Calculateur!BN185*VLOOKUP('Données projet'!$B$9,Paramètres!$A$1:$I$88,3,0)*0.475*44/12</f>
        <v>4.7094264174656102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51.844995366890458</v>
      </c>
      <c r="BT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1" t="e">
        <f t="shared" si="119"/>
        <v>#N/A</v>
      </c>
      <c r="CD185" s="61" t="e">
        <f ca="1">AVERAGE(OFFSET($CC$3,0,0,'Données projet'!$E$12+1,1))-AVERAGE(OFFSET($H$3,0,0,'Données projet'!$E$12+1,1))</f>
        <v>#N/A</v>
      </c>
      <c r="CE185" s="61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1" t="e">
        <f t="shared" si="122"/>
        <v>#N/A</v>
      </c>
      <c r="CY185" s="61" t="e">
        <f ca="1">AVERAGE(OFFSET($CX$3,0,0,'Données projet'!$E$13+1,1))-AVERAGE(OFFSET($H$3,0,0,'Données projet'!$E$13+1,1))</f>
        <v>#N/A</v>
      </c>
      <c r="CZ185" s="61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1" t="e">
        <f t="shared" si="125"/>
        <v>#N/A</v>
      </c>
      <c r="DT185" s="61" t="e">
        <f ca="1">AVERAGE(OFFSET($DS$3,0,0,'Données projet'!$E$14+1,1))-AVERAGE(OFFSET($H$3,0,0,'Données projet'!$E$14+1,1))</f>
        <v>#N/A</v>
      </c>
      <c r="DU185" s="61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1" t="e">
        <f t="shared" si="128"/>
        <v>#N/A</v>
      </c>
      <c r="EO185" s="61" t="e">
        <f ca="1">AVERAGE(OFFSET($EN$3,0,0,'Données projet'!$E$15+1,1))-AVERAGE(OFFSET($H$3,0,0,'Données projet'!$E$15+1,1))</f>
        <v>#N/A</v>
      </c>
      <c r="EP185" s="61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1" t="e">
        <f t="shared" si="131"/>
        <v>#N/A</v>
      </c>
      <c r="FJ185" s="61" t="e">
        <f ca="1">AVERAGE(OFFSET($FI$3,0,0,'Données projet'!$E$16+1,1))-AVERAGE(OFFSET($H$3,0,0,'Données projet'!$E$16+1,1))</f>
        <v>#N/A</v>
      </c>
      <c r="FK185" s="61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1" t="e">
        <f t="shared" si="134"/>
        <v>#N/A</v>
      </c>
      <c r="GE185" s="61" t="e">
        <f ca="1">AVERAGE(OFFSET($GD$3,0,0,'Données projet'!$E$17+1,1))-AVERAGE(OFFSET($H$3,0,0,'Données projet'!$E$17+1,1))</f>
        <v>#N/A</v>
      </c>
      <c r="GF185" s="61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1" t="e">
        <f t="shared" si="137"/>
        <v>#N/A</v>
      </c>
      <c r="GZ185" s="61" t="e">
        <f ca="1">AVERAGE(OFFSET($GY$3,0,0,'Données projet'!$E$18+1,1))-AVERAGE(OFFSET($H$3,0,0,'Données projet'!$E$18+1,1))</f>
        <v>#N/A</v>
      </c>
      <c r="HA185" s="61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45">
      <c r="A186" s="11">
        <f t="shared" si="161"/>
        <v>183</v>
      </c>
      <c r="B186" s="76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9">
        <f t="shared" si="110"/>
        <v>183.33333333333334</v>
      </c>
      <c r="I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-3.4106051316484809E-13</v>
      </c>
      <c r="O186" s="14">
        <f>N186*VLOOKUP('Données projet'!$B$9,Paramètres!$A$1:$I$88,3,0)*VLOOKUP('Données projet'!$B$9,Paramètres!$A$1:$I$88,5,0)</f>
        <v>-2.0395418687257919E-13</v>
      </c>
      <c r="P186" s="14" t="e">
        <f t="shared" si="141"/>
        <v>#NUM!</v>
      </c>
      <c r="Q186" s="22" t="e">
        <f t="shared" si="162"/>
        <v>#NUM!</v>
      </c>
      <c r="R186" s="61" t="e">
        <f t="shared" si="109"/>
        <v>#NUM!</v>
      </c>
      <c r="S186" s="61">
        <f ca="1">AVERAGE(OFFSET($R$3,0,0,'Données projet'!$E$9+1,1))-AVERAGE(OFFSET($H$3,0,0,'Données projet'!$E$9+1,1))</f>
        <v>445.53168057836308</v>
      </c>
      <c r="T186" s="61">
        <f t="shared" si="142"/>
        <v>326.78684646135241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42.925449104499179</v>
      </c>
      <c r="AA186" s="23">
        <f>EXP(-LN(2)/25)*AA185+(1-EXP(-LN(2)/25))/(LN(2)/25)*Calculateur!V186*Calculateur!X186*VLOOKUP('Données projet'!$B$9,Paramètres!$A$1:$I$88,3,0)*0.475*44/12</f>
        <v>1.6984732944643848</v>
      </c>
      <c r="AB186" s="23">
        <f>EXP(-LN(2)/2)*AB185+(1-EXP(-LN(2)/2))/(LN(2)/2)*V186*Y186*VLOOKUP('Données projet'!$B$9,Paramètres!$A$1:$I$88,3,0)*0.475*44/12</f>
        <v>6.5917270757033519E-18</v>
      </c>
      <c r="AC186" s="24">
        <f t="shared" si="163"/>
        <v>44.623922398963565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-6.8212102632969618E-13</v>
      </c>
      <c r="AJ186" s="14">
        <f>AI186*VLOOKUP('Données projet'!$B$10,Paramètres!$A$1:$I$88,3,0)*VLOOKUP('Données projet'!$B$10,Paramètres!$A$1:$I$88,5,0)</f>
        <v>-3.1923264032229784E-13</v>
      </c>
      <c r="AK186" s="14" t="e">
        <f t="shared" si="164"/>
        <v>#NUM!</v>
      </c>
      <c r="AL186" s="22" t="e">
        <f t="shared" si="165"/>
        <v>#NUM!</v>
      </c>
      <c r="AM186" s="61" t="e">
        <f t="shared" si="113"/>
        <v>#NUM!</v>
      </c>
      <c r="AN186" s="61">
        <f ca="1">AVERAGE(OFFSET($AM$3,0,0,'Données projet'!$E$10+1,1))-AVERAGE(OFFSET($H$3,0,0,'Données projet'!$E$10+1,1))</f>
        <v>375.77859820466693</v>
      </c>
      <c r="AO186" s="61">
        <f t="shared" si="144"/>
        <v>242.84781402593856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68.724220740958813</v>
      </c>
      <c r="AV186" s="23">
        <f>EXP(-LN(2)/25)*AV185+(1-EXP(-LN(2)/25))/(LN(2)/25)*Calculateur!AQ186*Calculateur!AS186*VLOOKUP('Données projet'!$B$9,Paramètres!$A$1:$I$88,3,0)*0.475*44/12</f>
        <v>4.0863512771228878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72.8105720180817</v>
      </c>
      <c r="AY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5.2727272727272725</v>
      </c>
      <c r="BD186" s="13">
        <f>IF('Données projet'!$A$88&gt;35,BD185+BC186-BL185,IF(A186&lt;'Données projet'!$A$88,$BA$205^A186,IF(A186='Données projet'!$A$88,'Données projet'!$B$88,BD185+BC186-BL185)))</f>
        <v>286.09090909090912</v>
      </c>
      <c r="BE186" s="14">
        <f>BD186*VLOOKUP('Données projet'!$B$11,Paramètres!$A$1:$I$88,3,0)*VLOOKUP('Données projet'!$B$11,Paramètres!$A$1:$I$88,5,0)</f>
        <v>290.09618181818189</v>
      </c>
      <c r="BF186" s="14">
        <f t="shared" si="167"/>
        <v>69.096203766533051</v>
      </c>
      <c r="BG186" s="22">
        <f t="shared" si="168"/>
        <v>625.59340489337853</v>
      </c>
      <c r="BH186" s="61">
        <f t="shared" si="116"/>
        <v>915.19953253349149</v>
      </c>
      <c r="BI186" s="61">
        <f ca="1">AVERAGE(OFFSET($BH$3,0,0,'Données projet'!$E$11+1,1))-AVERAGE(OFFSET($H$3,0,0,'Données projet'!$E$11+1,1))</f>
        <v>433.57989081194</v>
      </c>
      <c r="BJ186" s="61">
        <f t="shared" si="146"/>
        <v>182.52060621271355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46.211269192184879</v>
      </c>
      <c r="BQ186" s="23">
        <f>EXP(-LN(2)/25)*BQ185+(1-EXP(-LN(2)/25))/(LN(2)/25)*Calculateur!BL186*Calculateur!BN186*VLOOKUP('Données projet'!$B$9,Paramètres!$A$1:$I$88,3,0)*0.475*44/12</f>
        <v>4.580646904422041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50.791916096606919</v>
      </c>
      <c r="BT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1" t="e">
        <f t="shared" si="119"/>
        <v>#N/A</v>
      </c>
      <c r="CD186" s="61" t="e">
        <f ca="1">AVERAGE(OFFSET($CC$3,0,0,'Données projet'!$E$12+1,1))-AVERAGE(OFFSET($H$3,0,0,'Données projet'!$E$12+1,1))</f>
        <v>#N/A</v>
      </c>
      <c r="CE186" s="61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1" t="e">
        <f t="shared" si="122"/>
        <v>#N/A</v>
      </c>
      <c r="CY186" s="61" t="e">
        <f ca="1">AVERAGE(OFFSET($CX$3,0,0,'Données projet'!$E$13+1,1))-AVERAGE(OFFSET($H$3,0,0,'Données projet'!$E$13+1,1))</f>
        <v>#N/A</v>
      </c>
      <c r="CZ186" s="61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1" t="e">
        <f t="shared" si="125"/>
        <v>#N/A</v>
      </c>
      <c r="DT186" s="61" t="e">
        <f ca="1">AVERAGE(OFFSET($DS$3,0,0,'Données projet'!$E$14+1,1))-AVERAGE(OFFSET($H$3,0,0,'Données projet'!$E$14+1,1))</f>
        <v>#N/A</v>
      </c>
      <c r="DU186" s="61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1" t="e">
        <f t="shared" si="128"/>
        <v>#N/A</v>
      </c>
      <c r="EO186" s="61" t="e">
        <f ca="1">AVERAGE(OFFSET($EN$3,0,0,'Données projet'!$E$15+1,1))-AVERAGE(OFFSET($H$3,0,0,'Données projet'!$E$15+1,1))</f>
        <v>#N/A</v>
      </c>
      <c r="EP186" s="61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1" t="e">
        <f t="shared" si="131"/>
        <v>#N/A</v>
      </c>
      <c r="FJ186" s="61" t="e">
        <f ca="1">AVERAGE(OFFSET($FI$3,0,0,'Données projet'!$E$16+1,1))-AVERAGE(OFFSET($H$3,0,0,'Données projet'!$E$16+1,1))</f>
        <v>#N/A</v>
      </c>
      <c r="FK186" s="61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1" t="e">
        <f t="shared" si="134"/>
        <v>#N/A</v>
      </c>
      <c r="GE186" s="61" t="e">
        <f ca="1">AVERAGE(OFFSET($GD$3,0,0,'Données projet'!$E$17+1,1))-AVERAGE(OFFSET($H$3,0,0,'Données projet'!$E$17+1,1))</f>
        <v>#N/A</v>
      </c>
      <c r="GF186" s="61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1" t="e">
        <f t="shared" si="137"/>
        <v>#N/A</v>
      </c>
      <c r="GZ186" s="61" t="e">
        <f ca="1">AVERAGE(OFFSET($GY$3,0,0,'Données projet'!$E$18+1,1))-AVERAGE(OFFSET($H$3,0,0,'Données projet'!$E$18+1,1))</f>
        <v>#N/A</v>
      </c>
      <c r="HA186" s="61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45">
      <c r="A187" s="11">
        <f t="shared" si="161"/>
        <v>184</v>
      </c>
      <c r="B187" s="76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9">
        <f t="shared" si="110"/>
        <v>183.33333333333334</v>
      </c>
      <c r="I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-3.4106051316484809E-13</v>
      </c>
      <c r="O187" s="14">
        <f>N187*VLOOKUP('Données projet'!$B$9,Paramètres!$A$1:$I$88,3,0)*VLOOKUP('Données projet'!$B$9,Paramètres!$A$1:$I$88,5,0)</f>
        <v>-2.0395418687257919E-13</v>
      </c>
      <c r="P187" s="14" t="e">
        <f t="shared" si="141"/>
        <v>#NUM!</v>
      </c>
      <c r="Q187" s="22" t="e">
        <f t="shared" si="162"/>
        <v>#NUM!</v>
      </c>
      <c r="R187" s="61" t="e">
        <f t="shared" si="109"/>
        <v>#NUM!</v>
      </c>
      <c r="S187" s="61">
        <f ca="1">AVERAGE(OFFSET($R$3,0,0,'Données projet'!$E$9+1,1))-AVERAGE(OFFSET($H$3,0,0,'Données projet'!$E$9+1,1))</f>
        <v>445.53168057836308</v>
      </c>
      <c r="T187" s="61">
        <f t="shared" si="142"/>
        <v>326.78684646135241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42.08370722949865</v>
      </c>
      <c r="AA187" s="23">
        <f>EXP(-LN(2)/25)*AA186+(1-EXP(-LN(2)/25))/(LN(2)/25)*Calculateur!V187*Calculateur!X187*VLOOKUP('Données projet'!$B$9,Paramètres!$A$1:$I$88,3,0)*0.475*44/12</f>
        <v>1.6520284529084275</v>
      </c>
      <c r="AB187" s="23">
        <f>EXP(-LN(2)/2)*AB186+(1-EXP(-LN(2)/2))/(LN(2)/2)*V187*Y187*VLOOKUP('Données projet'!$B$9,Paramètres!$A$1:$I$88,3,0)*0.475*44/12</f>
        <v>4.6610549149608108E-18</v>
      </c>
      <c r="AC187" s="24">
        <f t="shared" si="163"/>
        <v>43.735735682407075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-6.8212102632969618E-13</v>
      </c>
      <c r="AJ187" s="14">
        <f>AI187*VLOOKUP('Données projet'!$B$10,Paramètres!$A$1:$I$88,3,0)*VLOOKUP('Données projet'!$B$10,Paramètres!$A$1:$I$88,5,0)</f>
        <v>-3.1923264032229784E-13</v>
      </c>
      <c r="AK187" s="14" t="e">
        <f t="shared" si="164"/>
        <v>#NUM!</v>
      </c>
      <c r="AL187" s="22" t="e">
        <f t="shared" si="165"/>
        <v>#NUM!</v>
      </c>
      <c r="AM187" s="61" t="e">
        <f t="shared" si="113"/>
        <v>#NUM!</v>
      </c>
      <c r="AN187" s="61">
        <f ca="1">AVERAGE(OFFSET($AM$3,0,0,'Données projet'!$E$10+1,1))-AVERAGE(OFFSET($H$3,0,0,'Données projet'!$E$10+1,1))</f>
        <v>375.77859820466693</v>
      </c>
      <c r="AO187" s="61">
        <f t="shared" si="144"/>
        <v>242.84781402593856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67.376580689864241</v>
      </c>
      <c r="AV187" s="23">
        <f>EXP(-LN(2)/25)*AV186+(1-EXP(-LN(2)/25))/(LN(2)/25)*Calculateur!AQ187*Calculateur!AS187*VLOOKUP('Données projet'!$B$9,Paramètres!$A$1:$I$88,3,0)*0.475*44/12</f>
        <v>3.9746097865580881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71.351190476422332</v>
      </c>
      <c r="AY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5.2727272727272725</v>
      </c>
      <c r="BD187" s="13">
        <f>IF('Données projet'!$A$88&gt;35,BD186+BC187-BL186,IF(A187&lt;'Données projet'!$A$88,$BA$205^A187,IF(A187='Données projet'!$A$88,'Données projet'!$B$88,BD186+BC187-BL186)))</f>
        <v>291.36363636363637</v>
      </c>
      <c r="BE187" s="14">
        <f>BD187*VLOOKUP('Données projet'!$B$11,Paramètres!$A$1:$I$88,3,0)*VLOOKUP('Données projet'!$B$11,Paramètres!$A$1:$I$88,5,0)</f>
        <v>295.44272727272732</v>
      </c>
      <c r="BF187" s="14">
        <f t="shared" si="167"/>
        <v>70.220234590263317</v>
      </c>
      <c r="BG187" s="22">
        <f t="shared" si="168"/>
        <v>636.86299191137539</v>
      </c>
      <c r="BH187" s="61">
        <f t="shared" si="116"/>
        <v>926.53377823748212</v>
      </c>
      <c r="BI187" s="61">
        <f ca="1">AVERAGE(OFFSET($BH$3,0,0,'Données projet'!$E$11+1,1))-AVERAGE(OFFSET($H$3,0,0,'Données projet'!$E$11+1,1))</f>
        <v>433.57989081194</v>
      </c>
      <c r="BJ187" s="61">
        <f t="shared" si="146"/>
        <v>182.52060621271355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45.305094389417192</v>
      </c>
      <c r="BQ187" s="23">
        <f>EXP(-LN(2)/25)*BQ186+(1-EXP(-LN(2)/25))/(LN(2)/25)*Calculateur!BL187*Calculateur!BN187*VLOOKUP('Données projet'!$B$9,Paramètres!$A$1:$I$88,3,0)*0.475*44/12</f>
        <v>4.4553888739348686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49.760483263352057</v>
      </c>
      <c r="BT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1" t="e">
        <f t="shared" si="119"/>
        <v>#N/A</v>
      </c>
      <c r="CD187" s="61" t="e">
        <f ca="1">AVERAGE(OFFSET($CC$3,0,0,'Données projet'!$E$12+1,1))-AVERAGE(OFFSET($H$3,0,0,'Données projet'!$E$12+1,1))</f>
        <v>#N/A</v>
      </c>
      <c r="CE187" s="61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1" t="e">
        <f t="shared" si="122"/>
        <v>#N/A</v>
      </c>
      <c r="CY187" s="61" t="e">
        <f ca="1">AVERAGE(OFFSET($CX$3,0,0,'Données projet'!$E$13+1,1))-AVERAGE(OFFSET($H$3,0,0,'Données projet'!$E$13+1,1))</f>
        <v>#N/A</v>
      </c>
      <c r="CZ187" s="61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1" t="e">
        <f t="shared" si="125"/>
        <v>#N/A</v>
      </c>
      <c r="DT187" s="61" t="e">
        <f ca="1">AVERAGE(OFFSET($DS$3,0,0,'Données projet'!$E$14+1,1))-AVERAGE(OFFSET($H$3,0,0,'Données projet'!$E$14+1,1))</f>
        <v>#N/A</v>
      </c>
      <c r="DU187" s="61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1" t="e">
        <f t="shared" si="128"/>
        <v>#N/A</v>
      </c>
      <c r="EO187" s="61" t="e">
        <f ca="1">AVERAGE(OFFSET($EN$3,0,0,'Données projet'!$E$15+1,1))-AVERAGE(OFFSET($H$3,0,0,'Données projet'!$E$15+1,1))</f>
        <v>#N/A</v>
      </c>
      <c r="EP187" s="61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1" t="e">
        <f t="shared" si="131"/>
        <v>#N/A</v>
      </c>
      <c r="FJ187" s="61" t="e">
        <f ca="1">AVERAGE(OFFSET($FI$3,0,0,'Données projet'!$E$16+1,1))-AVERAGE(OFFSET($H$3,0,0,'Données projet'!$E$16+1,1))</f>
        <v>#N/A</v>
      </c>
      <c r="FK187" s="61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1" t="e">
        <f t="shared" si="134"/>
        <v>#N/A</v>
      </c>
      <c r="GE187" s="61" t="e">
        <f ca="1">AVERAGE(OFFSET($GD$3,0,0,'Données projet'!$E$17+1,1))-AVERAGE(OFFSET($H$3,0,0,'Données projet'!$E$17+1,1))</f>
        <v>#N/A</v>
      </c>
      <c r="GF187" s="61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1" t="e">
        <f t="shared" si="137"/>
        <v>#N/A</v>
      </c>
      <c r="GZ187" s="61" t="e">
        <f ca="1">AVERAGE(OFFSET($GY$3,0,0,'Données projet'!$E$18+1,1))-AVERAGE(OFFSET($H$3,0,0,'Données projet'!$E$18+1,1))</f>
        <v>#N/A</v>
      </c>
      <c r="HA187" s="61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45">
      <c r="A188" s="11">
        <f t="shared" si="161"/>
        <v>185</v>
      </c>
      <c r="B188" s="76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9">
        <f t="shared" si="110"/>
        <v>183.33333333333334</v>
      </c>
      <c r="I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-3.4106051316484809E-13</v>
      </c>
      <c r="O188" s="14">
        <f>N188*VLOOKUP('Données projet'!$B$9,Paramètres!$A$1:$I$88,3,0)*VLOOKUP('Données projet'!$B$9,Paramètres!$A$1:$I$88,5,0)</f>
        <v>-2.0395418687257919E-13</v>
      </c>
      <c r="P188" s="14" t="e">
        <f t="shared" si="141"/>
        <v>#NUM!</v>
      </c>
      <c r="Q188" s="22" t="e">
        <f t="shared" si="162"/>
        <v>#NUM!</v>
      </c>
      <c r="R188" s="61" t="e">
        <f t="shared" si="109"/>
        <v>#NUM!</v>
      </c>
      <c r="S188" s="61">
        <f ca="1">AVERAGE(OFFSET($R$3,0,0,'Données projet'!$E$9+1,1))-AVERAGE(OFFSET($H$3,0,0,'Données projet'!$E$9+1,1))</f>
        <v>445.53168057836308</v>
      </c>
      <c r="T188" s="61">
        <f t="shared" si="142"/>
        <v>326.78684646135241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41.258471399255036</v>
      </c>
      <c r="AA188" s="23">
        <f>EXP(-LN(2)/25)*AA187+(1-EXP(-LN(2)/25))/(LN(2)/25)*Calculateur!V188*Calculateur!X188*VLOOKUP('Données projet'!$B$9,Paramètres!$A$1:$I$88,3,0)*0.475*44/12</f>
        <v>1.6068536479872459</v>
      </c>
      <c r="AB188" s="23">
        <f>EXP(-LN(2)/2)*AB187+(1-EXP(-LN(2)/2))/(LN(2)/2)*V188*Y188*VLOOKUP('Données projet'!$B$9,Paramètres!$A$1:$I$88,3,0)*0.475*44/12</f>
        <v>3.295863537851676E-18</v>
      </c>
      <c r="AC188" s="24">
        <f t="shared" si="163"/>
        <v>42.86532504724228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-6.8212102632969618E-13</v>
      </c>
      <c r="AJ188" s="14">
        <f>AI188*VLOOKUP('Données projet'!$B$10,Paramètres!$A$1:$I$88,3,0)*VLOOKUP('Données projet'!$B$10,Paramètres!$A$1:$I$88,5,0)</f>
        <v>-3.1923264032229784E-13</v>
      </c>
      <c r="AK188" s="14" t="e">
        <f t="shared" si="164"/>
        <v>#NUM!</v>
      </c>
      <c r="AL188" s="22" t="e">
        <f t="shared" si="165"/>
        <v>#NUM!</v>
      </c>
      <c r="AM188" s="61" t="e">
        <f t="shared" si="113"/>
        <v>#NUM!</v>
      </c>
      <c r="AN188" s="61">
        <f ca="1">AVERAGE(OFFSET($AM$3,0,0,'Données projet'!$E$10+1,1))-AVERAGE(OFFSET($H$3,0,0,'Données projet'!$E$10+1,1))</f>
        <v>375.77859820466693</v>
      </c>
      <c r="AO188" s="61">
        <f t="shared" si="144"/>
        <v>242.84781402593856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66.055367038192358</v>
      </c>
      <c r="AV188" s="23">
        <f>EXP(-LN(2)/25)*AV187+(1-EXP(-LN(2)/25))/(LN(2)/25)*Calculateur!AQ188*Calculateur!AS188*VLOOKUP('Données projet'!$B$9,Paramètres!$A$1:$I$88,3,0)*0.475*44/12</f>
        <v>3.8659238729290126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69.921290911121375</v>
      </c>
      <c r="AY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5.2727272727272725</v>
      </c>
      <c r="BD188" s="13">
        <f>IF('Données projet'!$A$88&gt;35,BD187+BC188-BL187,IF(A188&lt;'Données projet'!$A$88,$BA$205^A188,IF(A188='Données projet'!$A$88,'Données projet'!$B$88,BD187+BC188-BL187)))</f>
        <v>296.63636363636363</v>
      </c>
      <c r="BE188" s="14">
        <f>BD188*VLOOKUP('Données projet'!$B$11,Paramètres!$A$1:$I$88,3,0)*VLOOKUP('Données projet'!$B$11,Paramètres!$A$1:$I$88,5,0)</f>
        <v>300.78927272727276</v>
      </c>
      <c r="BF188" s="14">
        <f t="shared" si="167"/>
        <v>71.341900045052043</v>
      </c>
      <c r="BG188" s="22">
        <f t="shared" si="168"/>
        <v>648.12845924513238</v>
      </c>
      <c r="BH188" s="61">
        <f t="shared" si="116"/>
        <v>937.86278257358617</v>
      </c>
      <c r="BI188" s="61">
        <f ca="1">AVERAGE(OFFSET($BH$3,0,0,'Données projet'!$E$11+1,1))-AVERAGE(OFFSET($H$3,0,0,'Données projet'!$E$11+1,1))</f>
        <v>433.57989081194</v>
      </c>
      <c r="BJ188" s="61">
        <f t="shared" si="146"/>
        <v>182.52060621271355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44.416689121819729</v>
      </c>
      <c r="BQ188" s="23">
        <f>EXP(-LN(2)/25)*BQ187+(1-EXP(-LN(2)/25))/(LN(2)/25)*Calculateur!BL188*Calculateur!BN188*VLOOKUP('Données projet'!$B$9,Paramètres!$A$1:$I$88,3,0)*0.475*44/12</f>
        <v>4.3335560308784018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48.750245152698128</v>
      </c>
      <c r="BT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1" t="e">
        <f t="shared" si="119"/>
        <v>#N/A</v>
      </c>
      <c r="CD188" s="61" t="e">
        <f ca="1">AVERAGE(OFFSET($CC$3,0,0,'Données projet'!$E$12+1,1))-AVERAGE(OFFSET($H$3,0,0,'Données projet'!$E$12+1,1))</f>
        <v>#N/A</v>
      </c>
      <c r="CE188" s="61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1" t="e">
        <f t="shared" si="122"/>
        <v>#N/A</v>
      </c>
      <c r="CY188" s="61" t="e">
        <f ca="1">AVERAGE(OFFSET($CX$3,0,0,'Données projet'!$E$13+1,1))-AVERAGE(OFFSET($H$3,0,0,'Données projet'!$E$13+1,1))</f>
        <v>#N/A</v>
      </c>
      <c r="CZ188" s="61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1" t="e">
        <f t="shared" si="125"/>
        <v>#N/A</v>
      </c>
      <c r="DT188" s="61" t="e">
        <f ca="1">AVERAGE(OFFSET($DS$3,0,0,'Données projet'!$E$14+1,1))-AVERAGE(OFFSET($H$3,0,0,'Données projet'!$E$14+1,1))</f>
        <v>#N/A</v>
      </c>
      <c r="DU188" s="61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1" t="e">
        <f t="shared" si="128"/>
        <v>#N/A</v>
      </c>
      <c r="EO188" s="61" t="e">
        <f ca="1">AVERAGE(OFFSET($EN$3,0,0,'Données projet'!$E$15+1,1))-AVERAGE(OFFSET($H$3,0,0,'Données projet'!$E$15+1,1))</f>
        <v>#N/A</v>
      </c>
      <c r="EP188" s="61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1" t="e">
        <f t="shared" si="131"/>
        <v>#N/A</v>
      </c>
      <c r="FJ188" s="61" t="e">
        <f ca="1">AVERAGE(OFFSET($FI$3,0,0,'Données projet'!$E$16+1,1))-AVERAGE(OFFSET($H$3,0,0,'Données projet'!$E$16+1,1))</f>
        <v>#N/A</v>
      </c>
      <c r="FK188" s="61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1" t="e">
        <f t="shared" si="134"/>
        <v>#N/A</v>
      </c>
      <c r="GE188" s="61" t="e">
        <f ca="1">AVERAGE(OFFSET($GD$3,0,0,'Données projet'!$E$17+1,1))-AVERAGE(OFFSET($H$3,0,0,'Données projet'!$E$17+1,1))</f>
        <v>#N/A</v>
      </c>
      <c r="GF188" s="61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1" t="e">
        <f t="shared" si="137"/>
        <v>#N/A</v>
      </c>
      <c r="GZ188" s="61" t="e">
        <f ca="1">AVERAGE(OFFSET($GY$3,0,0,'Données projet'!$E$18+1,1))-AVERAGE(OFFSET($H$3,0,0,'Données projet'!$E$18+1,1))</f>
        <v>#N/A</v>
      </c>
      <c r="HA188" s="61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45">
      <c r="A189" s="11">
        <f t="shared" si="161"/>
        <v>186</v>
      </c>
      <c r="B189" s="76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9">
        <f t="shared" si="110"/>
        <v>183.33333333333334</v>
      </c>
      <c r="I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-3.4106051316484809E-13</v>
      </c>
      <c r="O189" s="14">
        <f>N189*VLOOKUP('Données projet'!$B$9,Paramètres!$A$1:$I$88,3,0)*VLOOKUP('Données projet'!$B$9,Paramètres!$A$1:$I$88,5,0)</f>
        <v>-2.0395418687257919E-13</v>
      </c>
      <c r="P189" s="14" t="e">
        <f t="shared" si="141"/>
        <v>#NUM!</v>
      </c>
      <c r="Q189" s="22" t="e">
        <f t="shared" si="162"/>
        <v>#NUM!</v>
      </c>
      <c r="R189" s="61" t="e">
        <f t="shared" si="109"/>
        <v>#NUM!</v>
      </c>
      <c r="S189" s="61">
        <f ca="1">AVERAGE(OFFSET($R$3,0,0,'Données projet'!$E$9+1,1))-AVERAGE(OFFSET($H$3,0,0,'Données projet'!$E$9+1,1))</f>
        <v>445.53168057836308</v>
      </c>
      <c r="T189" s="61">
        <f t="shared" si="142"/>
        <v>326.78684646135241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40.449417940298346</v>
      </c>
      <c r="AA189" s="23">
        <f>EXP(-LN(2)/25)*AA188+(1-EXP(-LN(2)/25))/(LN(2)/25)*Calculateur!V189*Calculateur!X189*VLOOKUP('Données projet'!$B$9,Paramètres!$A$1:$I$88,3,0)*0.475*44/12</f>
        <v>1.5629141504822739</v>
      </c>
      <c r="AB189" s="23">
        <f>EXP(-LN(2)/2)*AB188+(1-EXP(-LN(2)/2))/(LN(2)/2)*V189*Y189*VLOOKUP('Données projet'!$B$9,Paramètres!$A$1:$I$88,3,0)*0.475*44/12</f>
        <v>2.3305274574804054E-18</v>
      </c>
      <c r="AC189" s="24">
        <f t="shared" si="163"/>
        <v>42.012332090780617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-6.8212102632969618E-13</v>
      </c>
      <c r="AJ189" s="14">
        <f>AI189*VLOOKUP('Données projet'!$B$10,Paramètres!$A$1:$I$88,3,0)*VLOOKUP('Données projet'!$B$10,Paramètres!$A$1:$I$88,5,0)</f>
        <v>-3.1923264032229784E-13</v>
      </c>
      <c r="AK189" s="14" t="e">
        <f t="shared" si="164"/>
        <v>#NUM!</v>
      </c>
      <c r="AL189" s="22" t="e">
        <f t="shared" si="165"/>
        <v>#NUM!</v>
      </c>
      <c r="AM189" s="61" t="e">
        <f t="shared" si="113"/>
        <v>#NUM!</v>
      </c>
      <c r="AN189" s="61">
        <f ca="1">AVERAGE(OFFSET($AM$3,0,0,'Données projet'!$E$10+1,1))-AVERAGE(OFFSET($H$3,0,0,'Données projet'!$E$10+1,1))</f>
        <v>375.77859820466693</v>
      </c>
      <c r="AO189" s="61">
        <f t="shared" si="144"/>
        <v>242.84781402593856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64.760061580369012</v>
      </c>
      <c r="AV189" s="23">
        <f>EXP(-LN(2)/25)*AV188+(1-EXP(-LN(2)/25))/(LN(2)/25)*Calculateur!AQ189*Calculateur!AS189*VLOOKUP('Données projet'!$B$9,Paramètres!$A$1:$I$88,3,0)*0.475*44/12</f>
        <v>3.7602099813236678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68.520271561692681</v>
      </c>
      <c r="AY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5.2727272727272725</v>
      </c>
      <c r="BD189" s="13">
        <f>IF('Données projet'!$A$88&gt;35,BD188+BC189-BL188,IF(A189&lt;'Données projet'!$A$88,$BA$205^A189,IF(A189='Données projet'!$A$88,'Données projet'!$B$88,BD188+BC189-BL188)))</f>
        <v>301.90909090909088</v>
      </c>
      <c r="BE189" s="14">
        <f>BD189*VLOOKUP('Données projet'!$B$11,Paramètres!$A$1:$I$88,3,0)*VLOOKUP('Données projet'!$B$11,Paramètres!$A$1:$I$88,5,0)</f>
        <v>306.13581818181814</v>
      </c>
      <c r="BF189" s="14">
        <f t="shared" si="167"/>
        <v>72.46124702589988</v>
      </c>
      <c r="BG189" s="22">
        <f t="shared" si="168"/>
        <v>659.38988857010884</v>
      </c>
      <c r="BH189" s="61">
        <f t="shared" si="116"/>
        <v>949.18664667596624</v>
      </c>
      <c r="BI189" s="61">
        <f ca="1">AVERAGE(OFFSET($BH$3,0,0,'Données projet'!$E$11+1,1))-AVERAGE(OFFSET($H$3,0,0,'Données projet'!$E$11+1,1))</f>
        <v>433.57989081194</v>
      </c>
      <c r="BJ189" s="61">
        <f t="shared" si="146"/>
        <v>182.52060621271355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43.545704939646143</v>
      </c>
      <c r="BQ189" s="23">
        <f>EXP(-LN(2)/25)*BQ188+(1-EXP(-LN(2)/25))/(LN(2)/25)*Calculateur!BL189*Calculateur!BN189*VLOOKUP('Données projet'!$B$9,Paramètres!$A$1:$I$88,3,0)*0.475*44/12</f>
        <v>4.2150547133222247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47.760759652968368</v>
      </c>
      <c r="BT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1" t="e">
        <f t="shared" si="119"/>
        <v>#N/A</v>
      </c>
      <c r="CD189" s="61" t="e">
        <f ca="1">AVERAGE(OFFSET($CC$3,0,0,'Données projet'!$E$12+1,1))-AVERAGE(OFFSET($H$3,0,0,'Données projet'!$E$12+1,1))</f>
        <v>#N/A</v>
      </c>
      <c r="CE189" s="61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1" t="e">
        <f t="shared" si="122"/>
        <v>#N/A</v>
      </c>
      <c r="CY189" s="61" t="e">
        <f ca="1">AVERAGE(OFFSET($CX$3,0,0,'Données projet'!$E$13+1,1))-AVERAGE(OFFSET($H$3,0,0,'Données projet'!$E$13+1,1))</f>
        <v>#N/A</v>
      </c>
      <c r="CZ189" s="61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1" t="e">
        <f t="shared" si="125"/>
        <v>#N/A</v>
      </c>
      <c r="DT189" s="61" t="e">
        <f ca="1">AVERAGE(OFFSET($DS$3,0,0,'Données projet'!$E$14+1,1))-AVERAGE(OFFSET($H$3,0,0,'Données projet'!$E$14+1,1))</f>
        <v>#N/A</v>
      </c>
      <c r="DU189" s="61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1" t="e">
        <f t="shared" si="128"/>
        <v>#N/A</v>
      </c>
      <c r="EO189" s="61" t="e">
        <f ca="1">AVERAGE(OFFSET($EN$3,0,0,'Données projet'!$E$15+1,1))-AVERAGE(OFFSET($H$3,0,0,'Données projet'!$E$15+1,1))</f>
        <v>#N/A</v>
      </c>
      <c r="EP189" s="61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1" t="e">
        <f t="shared" si="131"/>
        <v>#N/A</v>
      </c>
      <c r="FJ189" s="61" t="e">
        <f ca="1">AVERAGE(OFFSET($FI$3,0,0,'Données projet'!$E$16+1,1))-AVERAGE(OFFSET($H$3,0,0,'Données projet'!$E$16+1,1))</f>
        <v>#N/A</v>
      </c>
      <c r="FK189" s="61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1" t="e">
        <f t="shared" si="134"/>
        <v>#N/A</v>
      </c>
      <c r="GE189" s="61" t="e">
        <f ca="1">AVERAGE(OFFSET($GD$3,0,0,'Données projet'!$E$17+1,1))-AVERAGE(OFFSET($H$3,0,0,'Données projet'!$E$17+1,1))</f>
        <v>#N/A</v>
      </c>
      <c r="GF189" s="61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1" t="e">
        <f t="shared" si="137"/>
        <v>#N/A</v>
      </c>
      <c r="GZ189" s="61" t="e">
        <f ca="1">AVERAGE(OFFSET($GY$3,0,0,'Données projet'!$E$18+1,1))-AVERAGE(OFFSET($H$3,0,0,'Données projet'!$E$18+1,1))</f>
        <v>#N/A</v>
      </c>
      <c r="HA189" s="61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45">
      <c r="A190" s="11">
        <f t="shared" si="161"/>
        <v>187</v>
      </c>
      <c r="B190" s="76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9">
        <f t="shared" si="110"/>
        <v>183.33333333333334</v>
      </c>
      <c r="I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-3.4106051316484809E-13</v>
      </c>
      <c r="O190" s="14">
        <f>N190*VLOOKUP('Données projet'!$B$9,Paramètres!$A$1:$I$88,3,0)*VLOOKUP('Données projet'!$B$9,Paramètres!$A$1:$I$88,5,0)</f>
        <v>-2.0395418687257919E-13</v>
      </c>
      <c r="P190" s="14" t="e">
        <f t="shared" si="141"/>
        <v>#NUM!</v>
      </c>
      <c r="Q190" s="22" t="e">
        <f t="shared" si="162"/>
        <v>#NUM!</v>
      </c>
      <c r="R190" s="61" t="e">
        <f t="shared" si="109"/>
        <v>#NUM!</v>
      </c>
      <c r="S190" s="61">
        <f ca="1">AVERAGE(OFFSET($R$3,0,0,'Données projet'!$E$9+1,1))-AVERAGE(OFFSET($H$3,0,0,'Données projet'!$E$9+1,1))</f>
        <v>445.53168057836308</v>
      </c>
      <c r="T190" s="61">
        <f t="shared" si="142"/>
        <v>326.78684646135241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39.656229526197912</v>
      </c>
      <c r="AA190" s="23">
        <f>EXP(-LN(2)/25)*AA189+(1-EXP(-LN(2)/25))/(LN(2)/25)*Calculateur!V190*Calculateur!X190*VLOOKUP('Données projet'!$B$9,Paramètres!$A$1:$I$88,3,0)*0.475*44/12</f>
        <v>1.5201761808472529</v>
      </c>
      <c r="AB190" s="23">
        <f>EXP(-LN(2)/2)*AB189+(1-EXP(-LN(2)/2))/(LN(2)/2)*V190*Y190*VLOOKUP('Données projet'!$B$9,Paramètres!$A$1:$I$88,3,0)*0.475*44/12</f>
        <v>1.647931768925838E-18</v>
      </c>
      <c r="AC190" s="24">
        <f t="shared" si="163"/>
        <v>41.176405707045163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-6.8212102632969618E-13</v>
      </c>
      <c r="AJ190" s="14">
        <f>AI190*VLOOKUP('Données projet'!$B$10,Paramètres!$A$1:$I$88,3,0)*VLOOKUP('Données projet'!$B$10,Paramètres!$A$1:$I$88,5,0)</f>
        <v>-3.1923264032229784E-13</v>
      </c>
      <c r="AK190" s="14" t="e">
        <f t="shared" si="164"/>
        <v>#NUM!</v>
      </c>
      <c r="AL190" s="22" t="e">
        <f t="shared" si="165"/>
        <v>#NUM!</v>
      </c>
      <c r="AM190" s="61" t="e">
        <f t="shared" si="113"/>
        <v>#NUM!</v>
      </c>
      <c r="AN190" s="61">
        <f ca="1">AVERAGE(OFFSET($AM$3,0,0,'Données projet'!$E$10+1,1))-AVERAGE(OFFSET($H$3,0,0,'Données projet'!$E$10+1,1))</f>
        <v>375.77859820466693</v>
      </c>
      <c r="AO190" s="61">
        <f t="shared" si="144"/>
        <v>242.84781402593856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63.490156272515264</v>
      </c>
      <c r="AV190" s="23">
        <f>EXP(-LN(2)/25)*AV189+(1-EXP(-LN(2)/25))/(LN(2)/25)*Calculateur!AQ190*Calculateur!AS190*VLOOKUP('Données projet'!$B$9,Paramètres!$A$1:$I$88,3,0)*0.475*44/12</f>
        <v>3.6573868416435231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67.147543114158793</v>
      </c>
      <c r="AY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5.2727272727272725</v>
      </c>
      <c r="BD190" s="13">
        <f>IF('Données projet'!$A$88&gt;35,BD189+BC190-BL189,IF(A190&lt;'Données projet'!$A$88,$BA$205^A190,IF(A190='Données projet'!$A$88,'Données projet'!$B$88,BD189+BC190-BL189)))</f>
        <v>307.18181818181813</v>
      </c>
      <c r="BE190" s="14">
        <f>BD190*VLOOKUP('Données projet'!$B$11,Paramètres!$A$1:$I$88,3,0)*VLOOKUP('Données projet'!$B$11,Paramètres!$A$1:$I$88,5,0)</f>
        <v>311.48236363636357</v>
      </c>
      <c r="BF190" s="14">
        <f t="shared" si="167"/>
        <v>73.578320695965743</v>
      </c>
      <c r="BG190" s="22">
        <f t="shared" si="168"/>
        <v>670.64735854547348</v>
      </c>
      <c r="BH190" s="61">
        <f t="shared" si="116"/>
        <v>960.50546832492989</v>
      </c>
      <c r="BI190" s="61">
        <f ca="1">AVERAGE(OFFSET($BH$3,0,0,'Données projet'!$E$11+1,1))-AVERAGE(OFFSET($H$3,0,0,'Données projet'!$E$11+1,1))</f>
        <v>433.57989081194</v>
      </c>
      <c r="BJ190" s="61">
        <f t="shared" si="146"/>
        <v>182.52060621271355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42.691800226037088</v>
      </c>
      <c r="BQ190" s="23">
        <f>EXP(-LN(2)/25)*BQ189+(1-EXP(-LN(2)/25))/(LN(2)/25)*Calculateur!BL190*Calculateur!BN190*VLOOKUP('Données projet'!$B$9,Paramètres!$A$1:$I$88,3,0)*0.475*44/12</f>
        <v>4.0997938205263349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46.791594046563425</v>
      </c>
      <c r="BT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1" t="e">
        <f t="shared" si="119"/>
        <v>#N/A</v>
      </c>
      <c r="CD190" s="61" t="e">
        <f ca="1">AVERAGE(OFFSET($CC$3,0,0,'Données projet'!$E$12+1,1))-AVERAGE(OFFSET($H$3,0,0,'Données projet'!$E$12+1,1))</f>
        <v>#N/A</v>
      </c>
      <c r="CE190" s="61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1" t="e">
        <f t="shared" si="122"/>
        <v>#N/A</v>
      </c>
      <c r="CY190" s="61" t="e">
        <f ca="1">AVERAGE(OFFSET($CX$3,0,0,'Données projet'!$E$13+1,1))-AVERAGE(OFFSET($H$3,0,0,'Données projet'!$E$13+1,1))</f>
        <v>#N/A</v>
      </c>
      <c r="CZ190" s="61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1" t="e">
        <f t="shared" si="125"/>
        <v>#N/A</v>
      </c>
      <c r="DT190" s="61" t="e">
        <f ca="1">AVERAGE(OFFSET($DS$3,0,0,'Données projet'!$E$14+1,1))-AVERAGE(OFFSET($H$3,0,0,'Données projet'!$E$14+1,1))</f>
        <v>#N/A</v>
      </c>
      <c r="DU190" s="61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1" t="e">
        <f t="shared" si="128"/>
        <v>#N/A</v>
      </c>
      <c r="EO190" s="61" t="e">
        <f ca="1">AVERAGE(OFFSET($EN$3,0,0,'Données projet'!$E$15+1,1))-AVERAGE(OFFSET($H$3,0,0,'Données projet'!$E$15+1,1))</f>
        <v>#N/A</v>
      </c>
      <c r="EP190" s="61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1" t="e">
        <f t="shared" si="131"/>
        <v>#N/A</v>
      </c>
      <c r="FJ190" s="61" t="e">
        <f ca="1">AVERAGE(OFFSET($FI$3,0,0,'Données projet'!$E$16+1,1))-AVERAGE(OFFSET($H$3,0,0,'Données projet'!$E$16+1,1))</f>
        <v>#N/A</v>
      </c>
      <c r="FK190" s="61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1" t="e">
        <f t="shared" si="134"/>
        <v>#N/A</v>
      </c>
      <c r="GE190" s="61" t="e">
        <f ca="1">AVERAGE(OFFSET($GD$3,0,0,'Données projet'!$E$17+1,1))-AVERAGE(OFFSET($H$3,0,0,'Données projet'!$E$17+1,1))</f>
        <v>#N/A</v>
      </c>
      <c r="GF190" s="61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1" t="e">
        <f t="shared" si="137"/>
        <v>#N/A</v>
      </c>
      <c r="GZ190" s="61" t="e">
        <f ca="1">AVERAGE(OFFSET($GY$3,0,0,'Données projet'!$E$18+1,1))-AVERAGE(OFFSET($H$3,0,0,'Données projet'!$E$18+1,1))</f>
        <v>#N/A</v>
      </c>
      <c r="HA190" s="61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45">
      <c r="A191" s="11">
        <f t="shared" si="161"/>
        <v>188</v>
      </c>
      <c r="B191" s="76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9">
        <f t="shared" si="110"/>
        <v>183.33333333333334</v>
      </c>
      <c r="I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-3.4106051316484809E-13</v>
      </c>
      <c r="O191" s="14">
        <f>N191*VLOOKUP('Données projet'!$B$9,Paramètres!$A$1:$I$88,3,0)*VLOOKUP('Données projet'!$B$9,Paramètres!$A$1:$I$88,5,0)</f>
        <v>-2.0395418687257919E-13</v>
      </c>
      <c r="P191" s="14" t="e">
        <f t="shared" si="141"/>
        <v>#NUM!</v>
      </c>
      <c r="Q191" s="22" t="e">
        <f t="shared" si="162"/>
        <v>#NUM!</v>
      </c>
      <c r="R191" s="61" t="e">
        <f t="shared" si="109"/>
        <v>#NUM!</v>
      </c>
      <c r="S191" s="61">
        <f ca="1">AVERAGE(OFFSET($R$3,0,0,'Données projet'!$E$9+1,1))-AVERAGE(OFFSET($H$3,0,0,'Données projet'!$E$9+1,1))</f>
        <v>445.53168057836308</v>
      </c>
      <c r="T191" s="61">
        <f t="shared" si="142"/>
        <v>326.78684646135241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38.878595053100824</v>
      </c>
      <c r="AA191" s="23">
        <f>EXP(-LN(2)/25)*AA190+(1-EXP(-LN(2)/25))/(LN(2)/25)*Calculateur!V191*Calculateur!X191*VLOOKUP('Données projet'!$B$9,Paramètres!$A$1:$I$88,3,0)*0.475*44/12</f>
        <v>1.4786068832393939</v>
      </c>
      <c r="AB191" s="23">
        <f>EXP(-LN(2)/2)*AB190+(1-EXP(-LN(2)/2))/(LN(2)/2)*V191*Y191*VLOOKUP('Données projet'!$B$9,Paramètres!$A$1:$I$88,3,0)*0.475*44/12</f>
        <v>1.1652637287402027E-18</v>
      </c>
      <c r="AC191" s="24">
        <f t="shared" si="163"/>
        <v>40.357201936340218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-6.8212102632969618E-13</v>
      </c>
      <c r="AJ191" s="14">
        <f>AI191*VLOOKUP('Données projet'!$B$10,Paramètres!$A$1:$I$88,3,0)*VLOOKUP('Données projet'!$B$10,Paramètres!$A$1:$I$88,5,0)</f>
        <v>-3.1923264032229784E-13</v>
      </c>
      <c r="AK191" s="14" t="e">
        <f t="shared" si="164"/>
        <v>#NUM!</v>
      </c>
      <c r="AL191" s="22" t="e">
        <f t="shared" si="165"/>
        <v>#NUM!</v>
      </c>
      <c r="AM191" s="61" t="e">
        <f t="shared" si="113"/>
        <v>#NUM!</v>
      </c>
      <c r="AN191" s="61">
        <f ca="1">AVERAGE(OFFSET($AM$3,0,0,'Données projet'!$E$10+1,1))-AVERAGE(OFFSET($H$3,0,0,'Données projet'!$E$10+1,1))</f>
        <v>375.77859820466693</v>
      </c>
      <c r="AO191" s="61">
        <f t="shared" si="144"/>
        <v>242.84781402593856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62.245153033182774</v>
      </c>
      <c r="AV191" s="23">
        <f>EXP(-LN(2)/25)*AV190+(1-EXP(-LN(2)/25))/(LN(2)/25)*Calculateur!AQ191*Calculateur!AS191*VLOOKUP('Données projet'!$B$9,Paramètres!$A$1:$I$88,3,0)*0.475*44/12</f>
        <v>3.5573754061251659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65.802528439307935</v>
      </c>
      <c r="AY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5.2727272727272725</v>
      </c>
      <c r="BD191" s="13">
        <f>IF('Données projet'!$A$88&gt;35,BD190+BC191-BL190,IF(A191&lt;'Données projet'!$A$88,$BA$205^A191,IF(A191='Données projet'!$A$88,'Données projet'!$B$88,BD190+BC191-BL190)))</f>
        <v>312.45454545454538</v>
      </c>
      <c r="BE191" s="14">
        <f>BD191*VLOOKUP('Données projet'!$B$11,Paramètres!$A$1:$I$88,3,0)*VLOOKUP('Données projet'!$B$11,Paramètres!$A$1:$I$88,5,0)</f>
        <v>316.82890909090906</v>
      </c>
      <c r="BF191" s="14">
        <f t="shared" si="167"/>
        <v>74.693164579133665</v>
      </c>
      <c r="BG191" s="22">
        <f t="shared" si="168"/>
        <v>681.90094497532448</v>
      </c>
      <c r="BH191" s="61">
        <f t="shared" si="116"/>
        <v>971.81934211400471</v>
      </c>
      <c r="BI191" s="61">
        <f ca="1">AVERAGE(OFFSET($BH$3,0,0,'Données projet'!$E$11+1,1))-AVERAGE(OFFSET($H$3,0,0,'Données projet'!$E$11+1,1))</f>
        <v>433.57989081194</v>
      </c>
      <c r="BJ191" s="61">
        <f t="shared" si="146"/>
        <v>182.52060621271355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41.854640063031461</v>
      </c>
      <c r="BQ191" s="23">
        <f>EXP(-LN(2)/25)*BQ190+(1-EXP(-LN(2)/25))/(LN(2)/25)*Calculateur!BL191*Calculateur!BN191*VLOOKUP('Données projet'!$B$9,Paramètres!$A$1:$I$88,3,0)*0.475*44/12</f>
        <v>3.9876847429052553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45.842324805936713</v>
      </c>
      <c r="BT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1" t="e">
        <f t="shared" si="119"/>
        <v>#N/A</v>
      </c>
      <c r="CD191" s="61" t="e">
        <f ca="1">AVERAGE(OFFSET($CC$3,0,0,'Données projet'!$E$12+1,1))-AVERAGE(OFFSET($H$3,0,0,'Données projet'!$E$12+1,1))</f>
        <v>#N/A</v>
      </c>
      <c r="CE191" s="61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1" t="e">
        <f t="shared" si="122"/>
        <v>#N/A</v>
      </c>
      <c r="CY191" s="61" t="e">
        <f ca="1">AVERAGE(OFFSET($CX$3,0,0,'Données projet'!$E$13+1,1))-AVERAGE(OFFSET($H$3,0,0,'Données projet'!$E$13+1,1))</f>
        <v>#N/A</v>
      </c>
      <c r="CZ191" s="61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1" t="e">
        <f t="shared" si="125"/>
        <v>#N/A</v>
      </c>
      <c r="DT191" s="61" t="e">
        <f ca="1">AVERAGE(OFFSET($DS$3,0,0,'Données projet'!$E$14+1,1))-AVERAGE(OFFSET($H$3,0,0,'Données projet'!$E$14+1,1))</f>
        <v>#N/A</v>
      </c>
      <c r="DU191" s="61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1" t="e">
        <f t="shared" si="128"/>
        <v>#N/A</v>
      </c>
      <c r="EO191" s="61" t="e">
        <f ca="1">AVERAGE(OFFSET($EN$3,0,0,'Données projet'!$E$15+1,1))-AVERAGE(OFFSET($H$3,0,0,'Données projet'!$E$15+1,1))</f>
        <v>#N/A</v>
      </c>
      <c r="EP191" s="61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1" t="e">
        <f t="shared" si="131"/>
        <v>#N/A</v>
      </c>
      <c r="FJ191" s="61" t="e">
        <f ca="1">AVERAGE(OFFSET($FI$3,0,0,'Données projet'!$E$16+1,1))-AVERAGE(OFFSET($H$3,0,0,'Données projet'!$E$16+1,1))</f>
        <v>#N/A</v>
      </c>
      <c r="FK191" s="61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1" t="e">
        <f t="shared" si="134"/>
        <v>#N/A</v>
      </c>
      <c r="GE191" s="61" t="e">
        <f ca="1">AVERAGE(OFFSET($GD$3,0,0,'Données projet'!$E$17+1,1))-AVERAGE(OFFSET($H$3,0,0,'Données projet'!$E$17+1,1))</f>
        <v>#N/A</v>
      </c>
      <c r="GF191" s="61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1" t="e">
        <f t="shared" si="137"/>
        <v>#N/A</v>
      </c>
      <c r="GZ191" s="61" t="e">
        <f ca="1">AVERAGE(OFFSET($GY$3,0,0,'Données projet'!$E$18+1,1))-AVERAGE(OFFSET($H$3,0,0,'Données projet'!$E$18+1,1))</f>
        <v>#N/A</v>
      </c>
      <c r="HA191" s="61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45">
      <c r="A192" s="11">
        <f t="shared" si="161"/>
        <v>189</v>
      </c>
      <c r="B192" s="76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9">
        <f t="shared" si="110"/>
        <v>183.33333333333334</v>
      </c>
      <c r="I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-3.4106051316484809E-13</v>
      </c>
      <c r="O192" s="14">
        <f>N192*VLOOKUP('Données projet'!$B$9,Paramètres!$A$1:$I$88,3,0)*VLOOKUP('Données projet'!$B$9,Paramètres!$A$1:$I$88,5,0)</f>
        <v>-2.0395418687257919E-13</v>
      </c>
      <c r="P192" s="14" t="e">
        <f t="shared" si="141"/>
        <v>#NUM!</v>
      </c>
      <c r="Q192" s="22" t="e">
        <f t="shared" si="162"/>
        <v>#NUM!</v>
      </c>
      <c r="R192" s="61" t="e">
        <f t="shared" si="109"/>
        <v>#NUM!</v>
      </c>
      <c r="S192" s="61">
        <f ca="1">AVERAGE(OFFSET($R$3,0,0,'Données projet'!$E$9+1,1))-AVERAGE(OFFSET($H$3,0,0,'Données projet'!$E$9+1,1))</f>
        <v>445.53168057836308</v>
      </c>
      <c r="T192" s="61">
        <f t="shared" si="142"/>
        <v>326.78684646135241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38.116209517710978</v>
      </c>
      <c r="AA192" s="23">
        <f>EXP(-LN(2)/25)*AA191+(1-EXP(-LN(2)/25))/(LN(2)/25)*Calculateur!V192*Calculateur!X192*VLOOKUP('Données projet'!$B$9,Paramètres!$A$1:$I$88,3,0)*0.475*44/12</f>
        <v>1.4381743002606562</v>
      </c>
      <c r="AB192" s="23">
        <f>EXP(-LN(2)/2)*AB191+(1-EXP(-LN(2)/2))/(LN(2)/2)*V192*Y192*VLOOKUP('Données projet'!$B$9,Paramètres!$A$1:$I$88,3,0)*0.475*44/12</f>
        <v>8.2396588446291899E-19</v>
      </c>
      <c r="AC192" s="24">
        <f t="shared" si="163"/>
        <v>39.554383817971633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-6.8212102632969618E-13</v>
      </c>
      <c r="AJ192" s="14">
        <f>AI192*VLOOKUP('Données projet'!$B$10,Paramètres!$A$1:$I$88,3,0)*VLOOKUP('Données projet'!$B$10,Paramètres!$A$1:$I$88,5,0)</f>
        <v>-3.1923264032229784E-13</v>
      </c>
      <c r="AK192" s="14" t="e">
        <f t="shared" si="164"/>
        <v>#NUM!</v>
      </c>
      <c r="AL192" s="22" t="e">
        <f t="shared" si="165"/>
        <v>#NUM!</v>
      </c>
      <c r="AM192" s="61" t="e">
        <f t="shared" si="113"/>
        <v>#NUM!</v>
      </c>
      <c r="AN192" s="61">
        <f ca="1">AVERAGE(OFFSET($AM$3,0,0,'Données projet'!$E$10+1,1))-AVERAGE(OFFSET($H$3,0,0,'Données projet'!$E$10+1,1))</f>
        <v>375.77859820466693</v>
      </c>
      <c r="AO192" s="61">
        <f t="shared" si="144"/>
        <v>242.84781402593856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61.0245635479966</v>
      </c>
      <c r="AV192" s="23">
        <f>EXP(-LN(2)/25)*AV191+(1-EXP(-LN(2)/25))/(LN(2)/25)*Calculateur!AQ192*Calculateur!AS192*VLOOKUP('Données projet'!$B$9,Paramètres!$A$1:$I$88,3,0)*0.475*44/12</f>
        <v>3.4600987885704311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64.484662336567027</v>
      </c>
      <c r="AY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5.2727272727272725</v>
      </c>
      <c r="BD192" s="13">
        <f>IF('Données projet'!$A$88&gt;35,BD191+BC192-BL191,IF(A192&lt;'Données projet'!$A$88,$BA$205^A192,IF(A192='Données projet'!$A$88,'Données projet'!$B$88,BD191+BC192-BL191)))</f>
        <v>317.72727272727263</v>
      </c>
      <c r="BE192" s="14">
        <f>BD192*VLOOKUP('Données projet'!$B$11,Paramètres!$A$1:$I$88,3,0)*VLOOKUP('Données projet'!$B$11,Paramètres!$A$1:$I$88,5,0)</f>
        <v>322.1754545454545</v>
      </c>
      <c r="BF192" s="14">
        <f t="shared" si="167"/>
        <v>75.805820646153023</v>
      </c>
      <c r="BG192" s="22">
        <f t="shared" si="168"/>
        <v>693.15072095871653</v>
      </c>
      <c r="BH192" s="61">
        <f t="shared" si="116"/>
        <v>983.12835960572033</v>
      </c>
      <c r="BI192" s="61">
        <f ca="1">AVERAGE(OFFSET($BH$3,0,0,'Données projet'!$E$11+1,1))-AVERAGE(OFFSET($H$3,0,0,'Données projet'!$E$11+1,1))</f>
        <v>433.57989081194</v>
      </c>
      <c r="BJ192" s="61">
        <f t="shared" si="146"/>
        <v>182.52060621271355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41.033896100205091</v>
      </c>
      <c r="BQ192" s="23">
        <f>EXP(-LN(2)/25)*BQ191+(1-EXP(-LN(2)/25))/(LN(2)/25)*Calculateur!BL192*Calculateur!BN192*VLOOKUP('Données projet'!$B$9,Paramètres!$A$1:$I$88,3,0)*0.475*44/12</f>
        <v>3.8786412939072843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44.912537394112377</v>
      </c>
      <c r="BT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1" t="e">
        <f t="shared" si="119"/>
        <v>#N/A</v>
      </c>
      <c r="CD192" s="61" t="e">
        <f ca="1">AVERAGE(OFFSET($CC$3,0,0,'Données projet'!$E$12+1,1))-AVERAGE(OFFSET($H$3,0,0,'Données projet'!$E$12+1,1))</f>
        <v>#N/A</v>
      </c>
      <c r="CE192" s="61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1" t="e">
        <f t="shared" si="122"/>
        <v>#N/A</v>
      </c>
      <c r="CY192" s="61" t="e">
        <f ca="1">AVERAGE(OFFSET($CX$3,0,0,'Données projet'!$E$13+1,1))-AVERAGE(OFFSET($H$3,0,0,'Données projet'!$E$13+1,1))</f>
        <v>#N/A</v>
      </c>
      <c r="CZ192" s="61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1" t="e">
        <f t="shared" si="125"/>
        <v>#N/A</v>
      </c>
      <c r="DT192" s="61" t="e">
        <f ca="1">AVERAGE(OFFSET($DS$3,0,0,'Données projet'!$E$14+1,1))-AVERAGE(OFFSET($H$3,0,0,'Données projet'!$E$14+1,1))</f>
        <v>#N/A</v>
      </c>
      <c r="DU192" s="61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1" t="e">
        <f t="shared" si="128"/>
        <v>#N/A</v>
      </c>
      <c r="EO192" s="61" t="e">
        <f ca="1">AVERAGE(OFFSET($EN$3,0,0,'Données projet'!$E$15+1,1))-AVERAGE(OFFSET($H$3,0,0,'Données projet'!$E$15+1,1))</f>
        <v>#N/A</v>
      </c>
      <c r="EP192" s="61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1" t="e">
        <f t="shared" si="131"/>
        <v>#N/A</v>
      </c>
      <c r="FJ192" s="61" t="e">
        <f ca="1">AVERAGE(OFFSET($FI$3,0,0,'Données projet'!$E$16+1,1))-AVERAGE(OFFSET($H$3,0,0,'Données projet'!$E$16+1,1))</f>
        <v>#N/A</v>
      </c>
      <c r="FK192" s="61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1" t="e">
        <f t="shared" si="134"/>
        <v>#N/A</v>
      </c>
      <c r="GE192" s="61" t="e">
        <f ca="1">AVERAGE(OFFSET($GD$3,0,0,'Données projet'!$E$17+1,1))-AVERAGE(OFFSET($H$3,0,0,'Données projet'!$E$17+1,1))</f>
        <v>#N/A</v>
      </c>
      <c r="GF192" s="61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1" t="e">
        <f t="shared" si="137"/>
        <v>#N/A</v>
      </c>
      <c r="GZ192" s="61" t="e">
        <f ca="1">AVERAGE(OFFSET($GY$3,0,0,'Données projet'!$E$18+1,1))-AVERAGE(OFFSET($H$3,0,0,'Données projet'!$E$18+1,1))</f>
        <v>#N/A</v>
      </c>
      <c r="HA192" s="61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45">
      <c r="A193" s="11">
        <f t="shared" si="161"/>
        <v>190</v>
      </c>
      <c r="B193" s="76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9">
        <f t="shared" si="110"/>
        <v>183.33333333333334</v>
      </c>
      <c r="I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-3.4106051316484809E-13</v>
      </c>
      <c r="O193" s="14">
        <f>N193*VLOOKUP('Données projet'!$B$9,Paramètres!$A$1:$I$88,3,0)*VLOOKUP('Données projet'!$B$9,Paramètres!$A$1:$I$88,5,0)</f>
        <v>-2.0395418687257919E-13</v>
      </c>
      <c r="P193" s="14" t="e">
        <f t="shared" si="141"/>
        <v>#NUM!</v>
      </c>
      <c r="Q193" s="22" t="e">
        <f t="shared" si="162"/>
        <v>#NUM!</v>
      </c>
      <c r="R193" s="61" t="e">
        <f t="shared" si="109"/>
        <v>#NUM!</v>
      </c>
      <c r="S193" s="61">
        <f ca="1">AVERAGE(OFFSET($R$3,0,0,'Données projet'!$E$9+1,1))-AVERAGE(OFFSET($H$3,0,0,'Données projet'!$E$9+1,1))</f>
        <v>445.53168057836308</v>
      </c>
      <c r="T193" s="61">
        <f t="shared" si="142"/>
        <v>326.78684646135241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37.368773897660866</v>
      </c>
      <c r="AA193" s="23">
        <f>EXP(-LN(2)/25)*AA192+(1-EXP(-LN(2)/25))/(LN(2)/25)*Calculateur!V193*Calculateur!X193*VLOOKUP('Données projet'!$B$9,Paramètres!$A$1:$I$88,3,0)*0.475*44/12</f>
        <v>1.398847348389729</v>
      </c>
      <c r="AB193" s="23">
        <f>EXP(-LN(2)/2)*AB192+(1-EXP(-LN(2)/2))/(LN(2)/2)*V193*Y193*VLOOKUP('Données projet'!$B$9,Paramètres!$A$1:$I$88,3,0)*0.475*44/12</f>
        <v>5.8263186437010135E-19</v>
      </c>
      <c r="AC193" s="24">
        <f t="shared" si="163"/>
        <v>38.767621246050595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-6.8212102632969618E-13</v>
      </c>
      <c r="AJ193" s="14">
        <f>AI193*VLOOKUP('Données projet'!$B$10,Paramètres!$A$1:$I$88,3,0)*VLOOKUP('Données projet'!$B$10,Paramètres!$A$1:$I$88,5,0)</f>
        <v>-3.1923264032229784E-13</v>
      </c>
      <c r="AK193" s="14" t="e">
        <f t="shared" si="164"/>
        <v>#NUM!</v>
      </c>
      <c r="AL193" s="22" t="e">
        <f t="shared" si="165"/>
        <v>#NUM!</v>
      </c>
      <c r="AM193" s="61" t="e">
        <f t="shared" si="113"/>
        <v>#NUM!</v>
      </c>
      <c r="AN193" s="61">
        <f ca="1">AVERAGE(OFFSET($AM$3,0,0,'Données projet'!$E$10+1,1))-AVERAGE(OFFSET($H$3,0,0,'Données projet'!$E$10+1,1))</f>
        <v>375.77859820466693</v>
      </c>
      <c r="AO193" s="61">
        <f t="shared" si="144"/>
        <v>242.84781402593856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59.827909078128855</v>
      </c>
      <c r="AV193" s="23">
        <f>EXP(-LN(2)/25)*AV192+(1-EXP(-LN(2)/25))/(LN(2)/25)*Calculateur!AQ193*Calculateur!AS193*VLOOKUP('Données projet'!$B$9,Paramètres!$A$1:$I$88,3,0)*0.475*44/12</f>
        <v>3.3654822052382856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63.193391283367141</v>
      </c>
      <c r="AY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>
        <f>VLOOKUP(A193,'Données projet'!$A$87:$I$107,2,0)</f>
        <v>323</v>
      </c>
      <c r="BB193" s="13">
        <f>VLOOKUP(A193,'Données projet'!$A$87:$I$107,9,0)</f>
        <v>5.2727272727272725</v>
      </c>
      <c r="BC193" s="13">
        <f t="array" ref="BC193">INDEX(BB:BB,MIN(IF(ISNUMBER(BB193:BB389),ROW(BB193:BB389),"")))</f>
        <v>5.2727272727272725</v>
      </c>
      <c r="BD193" s="13">
        <f>IF('Données projet'!$A$88&gt;35,BD192+BC193-BL192,IF(A193&lt;'Données projet'!$A$88,$BA$205^A193,IF(A193='Données projet'!$A$88,'Données projet'!$B$88,BD192+BC193-BL192)))</f>
        <v>322.99999999999989</v>
      </c>
      <c r="BE193" s="14">
        <f>BD193*VLOOKUP('Données projet'!$B$11,Paramètres!$A$1:$I$88,3,0)*VLOOKUP('Données projet'!$B$11,Paramètres!$A$1:$I$88,5,0)</f>
        <v>327.52199999999988</v>
      </c>
      <c r="BF193" s="14">
        <f t="shared" si="167"/>
        <v>76.916329394899719</v>
      </c>
      <c r="BG193" s="22">
        <f t="shared" si="168"/>
        <v>704.39675702945021</v>
      </c>
      <c r="BH193" s="61">
        <f t="shared" si="116"/>
        <v>994.43260947705244</v>
      </c>
      <c r="BI193" s="61">
        <f ca="1">AVERAGE(OFFSET($BH$3,0,0,'Données projet'!$E$11+1,1))-AVERAGE(OFFSET($H$3,0,0,'Données projet'!$E$11+1,1))</f>
        <v>433.57989081194</v>
      </c>
      <c r="BJ193" s="61">
        <f t="shared" si="146"/>
        <v>182.52060621271355</v>
      </c>
      <c r="BK193" s="16">
        <f>IF(ISNA(VLOOKUP(A193,'Données projet'!$A$87:$I$107,3,0)),0,VLOOKUP(A193,'Données projet'!$A$87:$I$107,3,0))</f>
        <v>12</v>
      </c>
      <c r="BL193" s="16">
        <f>IF(ISNA(VLOOKUP(A193,'Données projet'!$A$87:$I$107,4,0)),0,VLOOKUP(A193,'Données projet'!$A$87:$I$107,4,0))</f>
        <v>323</v>
      </c>
      <c r="BM193" s="17">
        <f>IF(ISNA(VLOOKUP(A193,'Données projet'!$A$87:$I$107,5,0)),0%,VLOOKUP(A193,'Données projet'!$A$87:$I$107,5,0)*VLOOKUP('Données projet'!$B$11,Paramètres!$A$1:$I$88,7,0))</f>
        <v>0.38700000000000001</v>
      </c>
      <c r="BN193" s="17">
        <f>IF(ISNA(VLOOKUP(A193,'Données projet'!$A$87:$I$107,6,0)),0%,VLOOKUP(A193,'Données projet'!$A$87:$I$107,6,0)*VLOOKUP('Données projet'!$B$11,Paramètres!$A$1:$I$88,7,0))</f>
        <v>4.3000000000000003E-2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139.39073275553537</v>
      </c>
      <c r="BQ193" s="23">
        <f>EXP(-LN(2)/25)*BQ192+(1-EXP(-LN(2)/25))/(LN(2)/25)*Calculateur!BL193*Calculateur!BN193*VLOOKUP('Données projet'!$B$9,Paramètres!$A$1:$I$88,3,0)*0.475*44/12</f>
        <v>14.747140729810027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154.13787348534538</v>
      </c>
      <c r="BT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1" t="e">
        <f t="shared" si="119"/>
        <v>#N/A</v>
      </c>
      <c r="CD193" s="61" t="e">
        <f ca="1">AVERAGE(OFFSET($CC$3,0,0,'Données projet'!$E$12+1,1))-AVERAGE(OFFSET($H$3,0,0,'Données projet'!$E$12+1,1))</f>
        <v>#N/A</v>
      </c>
      <c r="CE193" s="61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1" t="e">
        <f t="shared" si="122"/>
        <v>#N/A</v>
      </c>
      <c r="CY193" s="61" t="e">
        <f ca="1">AVERAGE(OFFSET($CX$3,0,0,'Données projet'!$E$13+1,1))-AVERAGE(OFFSET($H$3,0,0,'Données projet'!$E$13+1,1))</f>
        <v>#N/A</v>
      </c>
      <c r="CZ193" s="61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1" t="e">
        <f t="shared" si="125"/>
        <v>#N/A</v>
      </c>
      <c r="DT193" s="61" t="e">
        <f ca="1">AVERAGE(OFFSET($DS$3,0,0,'Données projet'!$E$14+1,1))-AVERAGE(OFFSET($H$3,0,0,'Données projet'!$E$14+1,1))</f>
        <v>#N/A</v>
      </c>
      <c r="DU193" s="61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1" t="e">
        <f t="shared" si="128"/>
        <v>#N/A</v>
      </c>
      <c r="EO193" s="61" t="e">
        <f ca="1">AVERAGE(OFFSET($EN$3,0,0,'Données projet'!$E$15+1,1))-AVERAGE(OFFSET($H$3,0,0,'Données projet'!$E$15+1,1))</f>
        <v>#N/A</v>
      </c>
      <c r="EP193" s="61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1" t="e">
        <f t="shared" si="131"/>
        <v>#N/A</v>
      </c>
      <c r="FJ193" s="61" t="e">
        <f ca="1">AVERAGE(OFFSET($FI$3,0,0,'Données projet'!$E$16+1,1))-AVERAGE(OFFSET($H$3,0,0,'Données projet'!$E$16+1,1))</f>
        <v>#N/A</v>
      </c>
      <c r="FK193" s="61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1" t="e">
        <f t="shared" si="134"/>
        <v>#N/A</v>
      </c>
      <c r="GE193" s="61" t="e">
        <f ca="1">AVERAGE(OFFSET($GD$3,0,0,'Données projet'!$E$17+1,1))-AVERAGE(OFFSET($H$3,0,0,'Données projet'!$E$17+1,1))</f>
        <v>#N/A</v>
      </c>
      <c r="GF193" s="61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1" t="e">
        <f t="shared" si="137"/>
        <v>#N/A</v>
      </c>
      <c r="GZ193" s="61" t="e">
        <f ca="1">AVERAGE(OFFSET($GY$3,0,0,'Données projet'!$E$18+1,1))-AVERAGE(OFFSET($H$3,0,0,'Données projet'!$E$18+1,1))</f>
        <v>#N/A</v>
      </c>
      <c r="HA193" s="61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45">
      <c r="A194" s="11">
        <f t="shared" si="161"/>
        <v>191</v>
      </c>
      <c r="B194" s="76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9">
        <f t="shared" si="110"/>
        <v>183.33333333333334</v>
      </c>
      <c r="I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-3.4106051316484809E-13</v>
      </c>
      <c r="O194" s="14">
        <f>N194*VLOOKUP('Données projet'!$B$9,Paramètres!$A$1:$I$88,3,0)*VLOOKUP('Données projet'!$B$9,Paramètres!$A$1:$I$88,5,0)</f>
        <v>-2.0395418687257919E-13</v>
      </c>
      <c r="P194" s="14" t="e">
        <f t="shared" si="141"/>
        <v>#NUM!</v>
      </c>
      <c r="Q194" s="22" t="e">
        <f t="shared" si="162"/>
        <v>#NUM!</v>
      </c>
      <c r="R194" s="61" t="e">
        <f t="shared" si="109"/>
        <v>#NUM!</v>
      </c>
      <c r="S194" s="61">
        <f ca="1">AVERAGE(OFFSET($R$3,0,0,'Données projet'!$E$9+1,1))-AVERAGE(OFFSET($H$3,0,0,'Données projet'!$E$9+1,1))</f>
        <v>445.53168057836308</v>
      </c>
      <c r="T194" s="61">
        <f t="shared" si="142"/>
        <v>326.78684646135241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36.635995034229218</v>
      </c>
      <c r="AA194" s="23">
        <f>EXP(-LN(2)/25)*AA193+(1-EXP(-LN(2)/25))/(LN(2)/25)*Calculateur!V194*Calculateur!X194*VLOOKUP('Données projet'!$B$9,Paramètres!$A$1:$I$88,3,0)*0.475*44/12</f>
        <v>1.3605957940858269</v>
      </c>
      <c r="AB194" s="23">
        <f>EXP(-LN(2)/2)*AB193+(1-EXP(-LN(2)/2))/(LN(2)/2)*V194*Y194*VLOOKUP('Données projet'!$B$9,Paramètres!$A$1:$I$88,3,0)*0.475*44/12</f>
        <v>4.1198294223145949E-19</v>
      </c>
      <c r="AC194" s="24">
        <f t="shared" si="163"/>
        <v>37.996590828315043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-6.8212102632969618E-13</v>
      </c>
      <c r="AJ194" s="14">
        <f>AI194*VLOOKUP('Données projet'!$B$10,Paramètres!$A$1:$I$88,3,0)*VLOOKUP('Données projet'!$B$10,Paramètres!$A$1:$I$88,5,0)</f>
        <v>-3.1923264032229784E-13</v>
      </c>
      <c r="AK194" s="14" t="e">
        <f t="shared" si="164"/>
        <v>#NUM!</v>
      </c>
      <c r="AL194" s="22" t="e">
        <f t="shared" si="165"/>
        <v>#NUM!</v>
      </c>
      <c r="AM194" s="61" t="e">
        <f t="shared" si="113"/>
        <v>#NUM!</v>
      </c>
      <c r="AN194" s="61">
        <f ca="1">AVERAGE(OFFSET($AM$3,0,0,'Données projet'!$E$10+1,1))-AVERAGE(OFFSET($H$3,0,0,'Données projet'!$E$10+1,1))</f>
        <v>375.77859820466693</v>
      </c>
      <c r="AO194" s="61">
        <f t="shared" si="144"/>
        <v>242.84781402593856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58.65472027252806</v>
      </c>
      <c r="AV194" s="23">
        <f>EXP(-LN(2)/25)*AV193+(1-EXP(-LN(2)/25))/(LN(2)/25)*Calculateur!AQ194*Calculateur!AS194*VLOOKUP('Données projet'!$B$9,Paramètres!$A$1:$I$88,3,0)*0.475*44/12</f>
        <v>3.2734529173530276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61.928173189881086</v>
      </c>
      <c r="AY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projet'!$B$11,Paramètres!$A$1:$I$88,3,0)*VLOOKUP('Données projet'!$B$11,Paramètres!$A$1:$I$88,5,0)</f>
        <v>-1.1527845344971866E-13</v>
      </c>
      <c r="BF194" s="14" t="e">
        <f t="shared" si="167"/>
        <v>#NUM!</v>
      </c>
      <c r="BG194" s="22" t="e">
        <f t="shared" si="168"/>
        <v>#NUM!</v>
      </c>
      <c r="BH194" s="61" t="e">
        <f t="shared" si="116"/>
        <v>#NUM!</v>
      </c>
      <c r="BI194" s="61">
        <f ca="1">AVERAGE(OFFSET($BH$3,0,0,'Données projet'!$E$11+1,1))-AVERAGE(OFFSET($H$3,0,0,'Données projet'!$E$11+1,1))</f>
        <v>433.57989081194</v>
      </c>
      <c r="BJ194" s="61">
        <f t="shared" si="146"/>
        <v>182.52060621271355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136.65736550615128</v>
      </c>
      <c r="BQ194" s="23">
        <f>EXP(-LN(2)/25)*BQ193+(1-EXP(-LN(2)/25))/(LN(2)/25)*Calculateur!BL194*Calculateur!BN194*VLOOKUP('Données projet'!$B$9,Paramètres!$A$1:$I$88,3,0)*0.475*44/12</f>
        <v>14.343879391034946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151.00124489718621</v>
      </c>
      <c r="BT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1" t="e">
        <f t="shared" si="119"/>
        <v>#N/A</v>
      </c>
      <c r="CD194" s="61" t="e">
        <f ca="1">AVERAGE(OFFSET($CC$3,0,0,'Données projet'!$E$12+1,1))-AVERAGE(OFFSET($H$3,0,0,'Données projet'!$E$12+1,1))</f>
        <v>#N/A</v>
      </c>
      <c r="CE194" s="61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1" t="e">
        <f t="shared" si="122"/>
        <v>#N/A</v>
      </c>
      <c r="CY194" s="61" t="e">
        <f ca="1">AVERAGE(OFFSET($CX$3,0,0,'Données projet'!$E$13+1,1))-AVERAGE(OFFSET($H$3,0,0,'Données projet'!$E$13+1,1))</f>
        <v>#N/A</v>
      </c>
      <c r="CZ194" s="61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1" t="e">
        <f t="shared" si="125"/>
        <v>#N/A</v>
      </c>
      <c r="DT194" s="61" t="e">
        <f ca="1">AVERAGE(OFFSET($DS$3,0,0,'Données projet'!$E$14+1,1))-AVERAGE(OFFSET($H$3,0,0,'Données projet'!$E$14+1,1))</f>
        <v>#N/A</v>
      </c>
      <c r="DU194" s="61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1" t="e">
        <f t="shared" si="128"/>
        <v>#N/A</v>
      </c>
      <c r="EO194" s="61" t="e">
        <f ca="1">AVERAGE(OFFSET($EN$3,0,0,'Données projet'!$E$15+1,1))-AVERAGE(OFFSET($H$3,0,0,'Données projet'!$E$15+1,1))</f>
        <v>#N/A</v>
      </c>
      <c r="EP194" s="61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1" t="e">
        <f t="shared" si="131"/>
        <v>#N/A</v>
      </c>
      <c r="FJ194" s="61" t="e">
        <f ca="1">AVERAGE(OFFSET($FI$3,0,0,'Données projet'!$E$16+1,1))-AVERAGE(OFFSET($H$3,0,0,'Données projet'!$E$16+1,1))</f>
        <v>#N/A</v>
      </c>
      <c r="FK194" s="61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1" t="e">
        <f t="shared" si="134"/>
        <v>#N/A</v>
      </c>
      <c r="GE194" s="61" t="e">
        <f ca="1">AVERAGE(OFFSET($GD$3,0,0,'Données projet'!$E$17+1,1))-AVERAGE(OFFSET($H$3,0,0,'Données projet'!$E$17+1,1))</f>
        <v>#N/A</v>
      </c>
      <c r="GF194" s="61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1" t="e">
        <f t="shared" si="137"/>
        <v>#N/A</v>
      </c>
      <c r="GZ194" s="61" t="e">
        <f ca="1">AVERAGE(OFFSET($GY$3,0,0,'Données projet'!$E$18+1,1))-AVERAGE(OFFSET($H$3,0,0,'Données projet'!$E$18+1,1))</f>
        <v>#N/A</v>
      </c>
      <c r="HA194" s="61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45">
      <c r="A195" s="11">
        <f t="shared" si="161"/>
        <v>192</v>
      </c>
      <c r="B195" s="76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9">
        <f t="shared" si="110"/>
        <v>183.33333333333334</v>
      </c>
      <c r="I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-3.4106051316484809E-13</v>
      </c>
      <c r="O195" s="14">
        <f>N195*VLOOKUP('Données projet'!$B$9,Paramètres!$A$1:$I$88,3,0)*VLOOKUP('Données projet'!$B$9,Paramètres!$A$1:$I$88,5,0)</f>
        <v>-2.0395418687257919E-13</v>
      </c>
      <c r="P195" s="14" t="e">
        <f t="shared" si="141"/>
        <v>#NUM!</v>
      </c>
      <c r="Q195" s="22" t="e">
        <f t="shared" si="162"/>
        <v>#NUM!</v>
      </c>
      <c r="R195" s="61" t="e">
        <f t="shared" ref="R195:R203" si="191">Q195+(I195+J195)*44/12</f>
        <v>#NUM!</v>
      </c>
      <c r="S195" s="61">
        <f ca="1">AVERAGE(OFFSET($R$3,0,0,'Données projet'!$E$9+1,1))-AVERAGE(OFFSET($H$3,0,0,'Données projet'!$E$9+1,1))</f>
        <v>445.53168057836308</v>
      </c>
      <c r="T195" s="61">
        <f t="shared" si="142"/>
        <v>326.78684646135241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35.917585517358496</v>
      </c>
      <c r="AA195" s="23">
        <f>EXP(-LN(2)/25)*AA194+(1-EXP(-LN(2)/25))/(LN(2)/25)*Calculateur!V195*Calculateur!X195*VLOOKUP('Données projet'!$B$9,Paramètres!$A$1:$I$88,3,0)*0.475*44/12</f>
        <v>1.3233902305459269</v>
      </c>
      <c r="AB195" s="23">
        <f>EXP(-LN(2)/2)*AB194+(1-EXP(-LN(2)/2))/(LN(2)/2)*V195*Y195*VLOOKUP('Données projet'!$B$9,Paramètres!$A$1:$I$88,3,0)*0.475*44/12</f>
        <v>2.9131593218505067E-19</v>
      </c>
      <c r="AC195" s="24">
        <f t="shared" si="163"/>
        <v>37.240975747904422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-6.8212102632969618E-13</v>
      </c>
      <c r="AJ195" s="14">
        <f>AI195*VLOOKUP('Données projet'!$B$10,Paramètres!$A$1:$I$88,3,0)*VLOOKUP('Données projet'!$B$10,Paramètres!$A$1:$I$88,5,0)</f>
        <v>-3.1923264032229784E-13</v>
      </c>
      <c r="AK195" s="14" t="e">
        <f t="shared" si="164"/>
        <v>#NUM!</v>
      </c>
      <c r="AL195" s="22" t="e">
        <f t="shared" si="165"/>
        <v>#NUM!</v>
      </c>
      <c r="AM195" s="61" t="e">
        <f t="shared" si="113"/>
        <v>#NUM!</v>
      </c>
      <c r="AN195" s="61">
        <f ca="1">AVERAGE(OFFSET($AM$3,0,0,'Données projet'!$E$10+1,1))-AVERAGE(OFFSET($H$3,0,0,'Données projet'!$E$10+1,1))</f>
        <v>375.77859820466693</v>
      </c>
      <c r="AO195" s="61">
        <f t="shared" si="144"/>
        <v>242.84781402593856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57.504536983830576</v>
      </c>
      <c r="AV195" s="23">
        <f>EXP(-LN(2)/25)*AV194+(1-EXP(-LN(2)/25))/(LN(2)/25)*Calculateur!AQ195*Calculateur!AS195*VLOOKUP('Données projet'!$B$9,Paramètres!$A$1:$I$88,3,0)*0.475*44/12</f>
        <v>3.1839401751846017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60.688477159015179</v>
      </c>
      <c r="AY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projet'!$B$11,Paramètres!$A$1:$I$88,3,0)*VLOOKUP('Données projet'!$B$11,Paramètres!$A$1:$I$88,5,0)</f>
        <v>-1.1527845344971866E-13</v>
      </c>
      <c r="BF195" s="14" t="e">
        <f t="shared" si="167"/>
        <v>#NUM!</v>
      </c>
      <c r="BG195" s="22" t="e">
        <f t="shared" si="168"/>
        <v>#NUM!</v>
      </c>
      <c r="BH195" s="61" t="e">
        <f t="shared" si="116"/>
        <v>#NUM!</v>
      </c>
      <c r="BI195" s="61">
        <f ca="1">AVERAGE(OFFSET($BH$3,0,0,'Données projet'!$E$11+1,1))-AVERAGE(OFFSET($H$3,0,0,'Données projet'!$E$11+1,1))</f>
        <v>433.57989081194</v>
      </c>
      <c r="BJ195" s="61">
        <f t="shared" si="146"/>
        <v>182.52060621271355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133.9775979213382</v>
      </c>
      <c r="BQ195" s="23">
        <f>EXP(-LN(2)/25)*BQ194+(1-EXP(-LN(2)/25))/(LN(2)/25)*Calculateur!BL195*Calculateur!BN195*VLOOKUP('Données projet'!$B$9,Paramètres!$A$1:$I$88,3,0)*0.475*44/12</f>
        <v>13.951645254775261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147.92924317611346</v>
      </c>
      <c r="BT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1" t="e">
        <f t="shared" si="119"/>
        <v>#N/A</v>
      </c>
      <c r="CD195" s="61" t="e">
        <f ca="1">AVERAGE(OFFSET($CC$3,0,0,'Données projet'!$E$12+1,1))-AVERAGE(OFFSET($H$3,0,0,'Données projet'!$E$12+1,1))</f>
        <v>#N/A</v>
      </c>
      <c r="CE195" s="61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1" t="e">
        <f t="shared" si="122"/>
        <v>#N/A</v>
      </c>
      <c r="CY195" s="61" t="e">
        <f ca="1">AVERAGE(OFFSET($CX$3,0,0,'Données projet'!$E$13+1,1))-AVERAGE(OFFSET($H$3,0,0,'Données projet'!$E$13+1,1))</f>
        <v>#N/A</v>
      </c>
      <c r="CZ195" s="61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1" t="e">
        <f t="shared" si="125"/>
        <v>#N/A</v>
      </c>
      <c r="DT195" s="61" t="e">
        <f ca="1">AVERAGE(OFFSET($DS$3,0,0,'Données projet'!$E$14+1,1))-AVERAGE(OFFSET($H$3,0,0,'Données projet'!$E$14+1,1))</f>
        <v>#N/A</v>
      </c>
      <c r="DU195" s="61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1" t="e">
        <f t="shared" si="128"/>
        <v>#N/A</v>
      </c>
      <c r="EO195" s="61" t="e">
        <f ca="1">AVERAGE(OFFSET($EN$3,0,0,'Données projet'!$E$15+1,1))-AVERAGE(OFFSET($H$3,0,0,'Données projet'!$E$15+1,1))</f>
        <v>#N/A</v>
      </c>
      <c r="EP195" s="61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1" t="e">
        <f t="shared" si="131"/>
        <v>#N/A</v>
      </c>
      <c r="FJ195" s="61" t="e">
        <f ca="1">AVERAGE(OFFSET($FI$3,0,0,'Données projet'!$E$16+1,1))-AVERAGE(OFFSET($H$3,0,0,'Données projet'!$E$16+1,1))</f>
        <v>#N/A</v>
      </c>
      <c r="FK195" s="61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1" t="e">
        <f t="shared" si="134"/>
        <v>#N/A</v>
      </c>
      <c r="GE195" s="61" t="e">
        <f ca="1">AVERAGE(OFFSET($GD$3,0,0,'Données projet'!$E$17+1,1))-AVERAGE(OFFSET($H$3,0,0,'Données projet'!$E$17+1,1))</f>
        <v>#N/A</v>
      </c>
      <c r="GF195" s="61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1" t="e">
        <f t="shared" si="137"/>
        <v>#N/A</v>
      </c>
      <c r="GZ195" s="61" t="e">
        <f ca="1">AVERAGE(OFFSET($GY$3,0,0,'Données projet'!$E$18+1,1))-AVERAGE(OFFSET($H$3,0,0,'Données projet'!$E$18+1,1))</f>
        <v>#N/A</v>
      </c>
      <c r="HA195" s="61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45">
      <c r="A196" s="11">
        <f t="shared" si="161"/>
        <v>193</v>
      </c>
      <c r="B196" s="76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9">
        <f t="shared" ref="H196:H203" si="192">(B196+E196+F196)*44/12+(C196+D196)*0.475*44/12</f>
        <v>183.33333333333334</v>
      </c>
      <c r="I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-3.4106051316484809E-13</v>
      </c>
      <c r="O196" s="14">
        <f>N196*VLOOKUP('Données projet'!$B$9,Paramètres!$A$1:$I$88,3,0)*VLOOKUP('Données projet'!$B$9,Paramètres!$A$1:$I$88,5,0)</f>
        <v>-2.0395418687257919E-13</v>
      </c>
      <c r="P196" s="14" t="e">
        <f t="shared" si="141"/>
        <v>#NUM!</v>
      </c>
      <c r="Q196" s="22" t="e">
        <f t="shared" si="162"/>
        <v>#NUM!</v>
      </c>
      <c r="R196" s="61" t="e">
        <f t="shared" si="191"/>
        <v>#NUM!</v>
      </c>
      <c r="S196" s="61">
        <f ca="1">AVERAGE(OFFSET($R$3,0,0,'Données projet'!$E$9+1,1))-AVERAGE(OFFSET($H$3,0,0,'Données projet'!$E$9+1,1))</f>
        <v>445.53168057836308</v>
      </c>
      <c r="T196" s="61">
        <f t="shared" si="142"/>
        <v>326.78684646135241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35.213263572927069</v>
      </c>
      <c r="AA196" s="23">
        <f>EXP(-LN(2)/25)*AA195+(1-EXP(-LN(2)/25))/(LN(2)/25)*Calculateur!V196*Calculateur!X196*VLOOKUP('Données projet'!$B$9,Paramètres!$A$1:$I$88,3,0)*0.475*44/12</f>
        <v>1.2872020550975809</v>
      </c>
      <c r="AB196" s="23">
        <f>EXP(-LN(2)/2)*AB195+(1-EXP(-LN(2)/2))/(LN(2)/2)*V196*Y196*VLOOKUP('Données projet'!$B$9,Paramètres!$A$1:$I$88,3,0)*0.475*44/12</f>
        <v>2.0599147111572975E-19</v>
      </c>
      <c r="AC196" s="24">
        <f t="shared" si="163"/>
        <v>36.500465628024649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-6.8212102632969618E-13</v>
      </c>
      <c r="AJ196" s="14">
        <f>AI196*VLOOKUP('Données projet'!$B$10,Paramètres!$A$1:$I$88,3,0)*VLOOKUP('Données projet'!$B$10,Paramètres!$A$1:$I$88,5,0)</f>
        <v>-3.1923264032229784E-13</v>
      </c>
      <c r="AK196" s="14" t="e">
        <f t="shared" si="164"/>
        <v>#NUM!</v>
      </c>
      <c r="AL196" s="22" t="e">
        <f t="shared" si="165"/>
        <v>#NUM!</v>
      </c>
      <c r="AM196" s="61" t="e">
        <f t="shared" ref="AM196:AM203" si="193">AL196+(AD196+AE196)*44/12</f>
        <v>#NUM!</v>
      </c>
      <c r="AN196" s="61">
        <f ca="1">AVERAGE(OFFSET($AM$3,0,0,'Données projet'!$E$10+1,1))-AVERAGE(OFFSET($H$3,0,0,'Données projet'!$E$10+1,1))</f>
        <v>375.77859820466693</v>
      </c>
      <c r="AO196" s="61">
        <f t="shared" si="144"/>
        <v>242.84781402593856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56.376908087881915</v>
      </c>
      <c r="AV196" s="23">
        <f>EXP(-LN(2)/25)*AV195+(1-EXP(-LN(2)/25))/(LN(2)/25)*Calculateur!AQ196*Calculateur!AS196*VLOOKUP('Données projet'!$B$9,Paramètres!$A$1:$I$88,3,0)*0.475*44/12</f>
        <v>3.0968751636580421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59.473783251539956</v>
      </c>
      <c r="AY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projet'!$B$11,Paramètres!$A$1:$I$88,3,0)*VLOOKUP('Données projet'!$B$11,Paramètres!$A$1:$I$88,5,0)</f>
        <v>-1.1527845344971866E-13</v>
      </c>
      <c r="BF196" s="14" t="e">
        <f t="shared" si="167"/>
        <v>#NUM!</v>
      </c>
      <c r="BG196" s="22" t="e">
        <f t="shared" si="168"/>
        <v>#NUM!</v>
      </c>
      <c r="BH196" s="61" t="e">
        <f t="shared" ref="BH196:BH203" si="194">BG196+(AY196+AZ196)*44/12</f>
        <v>#NUM!</v>
      </c>
      <c r="BI196" s="61">
        <f ca="1">AVERAGE(OFFSET($BH$3,0,0,'Données projet'!$E$11+1,1))-AVERAGE(OFFSET($H$3,0,0,'Données projet'!$E$11+1,1))</f>
        <v>433.57989081194</v>
      </c>
      <c r="BJ196" s="61">
        <f t="shared" si="146"/>
        <v>182.52060621271355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131.3503789443665</v>
      </c>
      <c r="BQ196" s="23">
        <f>EXP(-LN(2)/25)*BQ195+(1-EXP(-LN(2)/25))/(LN(2)/25)*Calculateur!BL196*Calculateur!BN196*VLOOKUP('Données projet'!$B$9,Paramètres!$A$1:$I$88,3,0)*0.475*44/12</f>
        <v>13.570136781598295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144.9205157259648</v>
      </c>
      <c r="BT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1" t="e">
        <f t="shared" ref="CC196:CC203" si="195">CB196+(BT196+BU196)*44/12</f>
        <v>#N/A</v>
      </c>
      <c r="CD196" s="61" t="e">
        <f ca="1">AVERAGE(OFFSET($CC$3,0,0,'Données projet'!$E$12+1,1))-AVERAGE(OFFSET($H$3,0,0,'Données projet'!$E$12+1,1))</f>
        <v>#N/A</v>
      </c>
      <c r="CE196" s="61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1" t="e">
        <f t="shared" ref="CX196:CX203" si="196">CW196+(CO196+CP196)*44/12</f>
        <v>#N/A</v>
      </c>
      <c r="CY196" s="61" t="e">
        <f ca="1">AVERAGE(OFFSET($CX$3,0,0,'Données projet'!$E$13+1,1))-AVERAGE(OFFSET($H$3,0,0,'Données projet'!$E$13+1,1))</f>
        <v>#N/A</v>
      </c>
      <c r="CZ196" s="61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1" t="e">
        <f t="shared" ref="DS196:DS203" si="197">DR196+(DJ196+DK196)*44/12</f>
        <v>#N/A</v>
      </c>
      <c r="DT196" s="61" t="e">
        <f ca="1">AVERAGE(OFFSET($DS$3,0,0,'Données projet'!$E$14+1,1))-AVERAGE(OFFSET($H$3,0,0,'Données projet'!$E$14+1,1))</f>
        <v>#N/A</v>
      </c>
      <c r="DU196" s="61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1" t="e">
        <f t="shared" ref="EN196:EN203" si="198">EM196+(EE196+EF196)*44/12</f>
        <v>#N/A</v>
      </c>
      <c r="EO196" s="61" t="e">
        <f ca="1">AVERAGE(OFFSET($EN$3,0,0,'Données projet'!$E$15+1,1))-AVERAGE(OFFSET($H$3,0,0,'Données projet'!$E$15+1,1))</f>
        <v>#N/A</v>
      </c>
      <c r="EP196" s="61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1" t="e">
        <f t="shared" ref="FI196:FI203" si="199">FH196+(EZ196+FA196)*44/12</f>
        <v>#N/A</v>
      </c>
      <c r="FJ196" s="61" t="e">
        <f ca="1">AVERAGE(OFFSET($FI$3,0,0,'Données projet'!$E$16+1,1))-AVERAGE(OFFSET($H$3,0,0,'Données projet'!$E$16+1,1))</f>
        <v>#N/A</v>
      </c>
      <c r="FK196" s="61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1" t="e">
        <f t="shared" ref="GD196:GD203" si="200">GC196+(FU196+FV196)*44/12</f>
        <v>#N/A</v>
      </c>
      <c r="GE196" s="61" t="e">
        <f ca="1">AVERAGE(OFFSET($GD$3,0,0,'Données projet'!$E$17+1,1))-AVERAGE(OFFSET($H$3,0,0,'Données projet'!$E$17+1,1))</f>
        <v>#N/A</v>
      </c>
      <c r="GF196" s="61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1" t="e">
        <f t="shared" ref="GY196:GY203" si="201">GX196+(GP196+GQ196)*44/12</f>
        <v>#N/A</v>
      </c>
      <c r="GZ196" s="61" t="e">
        <f ca="1">AVERAGE(OFFSET($GY$3,0,0,'Données projet'!$E$18+1,1))-AVERAGE(OFFSET($H$3,0,0,'Données projet'!$E$18+1,1))</f>
        <v>#N/A</v>
      </c>
      <c r="HA196" s="61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45">
      <c r="A197" s="11">
        <f t="shared" si="161"/>
        <v>194</v>
      </c>
      <c r="B197" s="76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9">
        <f t="shared" si="192"/>
        <v>183.33333333333334</v>
      </c>
      <c r="I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-3.4106051316484809E-13</v>
      </c>
      <c r="O197" s="14">
        <f>N197*VLOOKUP('Données projet'!$B$9,Paramètres!$A$1:$I$88,3,0)*VLOOKUP('Données projet'!$B$9,Paramètres!$A$1:$I$88,5,0)</f>
        <v>-2.0395418687257919E-13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1" t="e">
        <f t="shared" si="191"/>
        <v>#NUM!</v>
      </c>
      <c r="S197" s="61">
        <f ca="1">AVERAGE(OFFSET($R$3,0,0,'Données projet'!$E$9+1,1))-AVERAGE(OFFSET($H$3,0,0,'Données projet'!$E$9+1,1))</f>
        <v>445.53168057836308</v>
      </c>
      <c r="T197" s="61">
        <f t="shared" ref="T197:T203" si="204">$T$3</f>
        <v>326.78684646135241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34.522752952231976</v>
      </c>
      <c r="AA197" s="23">
        <f>EXP(-LN(2)/25)*AA196+(1-EXP(-LN(2)/25))/(LN(2)/25)*Calculateur!V197*Calculateur!X197*VLOOKUP('Données projet'!$B$9,Paramètres!$A$1:$I$88,3,0)*0.475*44/12</f>
        <v>1.2520034472099235</v>
      </c>
      <c r="AB197" s="23">
        <f>EXP(-LN(2)/2)*AB196+(1-EXP(-LN(2)/2))/(LN(2)/2)*V197*Y197*VLOOKUP('Données projet'!$B$9,Paramètres!$A$1:$I$88,3,0)*0.475*44/12</f>
        <v>1.4565796609252534E-19</v>
      </c>
      <c r="AC197" s="24">
        <f t="shared" si="163"/>
        <v>35.774756399441898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-6.8212102632969618E-13</v>
      </c>
      <c r="AJ197" s="14">
        <f>AI197*VLOOKUP('Données projet'!$B$10,Paramètres!$A$1:$I$88,3,0)*VLOOKUP('Données projet'!$B$10,Paramètres!$A$1:$I$88,5,0)</f>
        <v>-3.1923264032229784E-13</v>
      </c>
      <c r="AK197" s="14" t="e">
        <f t="shared" si="164"/>
        <v>#NUM!</v>
      </c>
      <c r="AL197" s="22" t="e">
        <f t="shared" si="165"/>
        <v>#NUM!</v>
      </c>
      <c r="AM197" s="61" t="e">
        <f t="shared" si="193"/>
        <v>#NUM!</v>
      </c>
      <c r="AN197" s="61">
        <f ca="1">AVERAGE(OFFSET($AM$3,0,0,'Données projet'!$E$10+1,1))-AVERAGE(OFFSET($H$3,0,0,'Données projet'!$E$10+1,1))</f>
        <v>375.77859820466693</v>
      </c>
      <c r="AO197" s="61">
        <f t="shared" ref="AO197:AO203" si="205">$AO$3</f>
        <v>242.84781402593856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55.271391306797099</v>
      </c>
      <c r="AV197" s="23">
        <f>EXP(-LN(2)/25)*AV196+(1-EXP(-LN(2)/25))/(LN(2)/25)*Calculateur!AQ197*Calculateur!AS197*VLOOKUP('Données projet'!$B$9,Paramètres!$A$1:$I$88,3,0)*0.475*44/12</f>
        <v>3.0121909494502259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58.283582256247328</v>
      </c>
      <c r="AY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projet'!$B$11,Paramètres!$A$1:$I$88,3,0)*VLOOKUP('Données projet'!$B$11,Paramètres!$A$1:$I$88,5,0)</f>
        <v>-1.1527845344971866E-13</v>
      </c>
      <c r="BF197" s="14" t="e">
        <f t="shared" si="167"/>
        <v>#NUM!</v>
      </c>
      <c r="BG197" s="22" t="e">
        <f t="shared" si="168"/>
        <v>#NUM!</v>
      </c>
      <c r="BH197" s="61" t="e">
        <f t="shared" si="194"/>
        <v>#NUM!</v>
      </c>
      <c r="BI197" s="61">
        <f ca="1">AVERAGE(OFFSET($BH$3,0,0,'Données projet'!$E$11+1,1))-AVERAGE(OFFSET($H$3,0,0,'Données projet'!$E$11+1,1))</f>
        <v>433.57989081194</v>
      </c>
      <c r="BJ197" s="61">
        <f t="shared" ref="BJ197:BJ203" si="206">$BJ$3</f>
        <v>182.52060621271355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128.77467812908785</v>
      </c>
      <c r="BQ197" s="23">
        <f>EXP(-LN(2)/25)*BQ196+(1-EXP(-LN(2)/25))/(LN(2)/25)*Calculateur!BL197*Calculateur!BN197*VLOOKUP('Données projet'!$B$9,Paramètres!$A$1:$I$88,3,0)*0.475*44/12</f>
        <v>13.199060677683011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141.97373880677085</v>
      </c>
      <c r="BT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1" t="e">
        <f t="shared" si="195"/>
        <v>#N/A</v>
      </c>
      <c r="CD197" s="61" t="e">
        <f ca="1">AVERAGE(OFFSET($CC$3,0,0,'Données projet'!$E$12+1,1))-AVERAGE(OFFSET($H$3,0,0,'Données projet'!$E$12+1,1))</f>
        <v>#N/A</v>
      </c>
      <c r="CE197" s="61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1" t="e">
        <f t="shared" si="196"/>
        <v>#N/A</v>
      </c>
      <c r="CY197" s="61" t="e">
        <f ca="1">AVERAGE(OFFSET($CX$3,0,0,'Données projet'!$E$13+1,1))-AVERAGE(OFFSET($H$3,0,0,'Données projet'!$E$13+1,1))</f>
        <v>#N/A</v>
      </c>
      <c r="CZ197" s="61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1" t="e">
        <f t="shared" si="197"/>
        <v>#N/A</v>
      </c>
      <c r="DT197" s="61" t="e">
        <f ca="1">AVERAGE(OFFSET($DS$3,0,0,'Données projet'!$E$14+1,1))-AVERAGE(OFFSET($H$3,0,0,'Données projet'!$E$14+1,1))</f>
        <v>#N/A</v>
      </c>
      <c r="DU197" s="61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1" t="e">
        <f t="shared" si="198"/>
        <v>#N/A</v>
      </c>
      <c r="EO197" s="61" t="e">
        <f ca="1">AVERAGE(OFFSET($EN$3,0,0,'Données projet'!$E$15+1,1))-AVERAGE(OFFSET($H$3,0,0,'Données projet'!$E$15+1,1))</f>
        <v>#N/A</v>
      </c>
      <c r="EP197" s="61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1" t="e">
        <f t="shared" si="199"/>
        <v>#N/A</v>
      </c>
      <c r="FJ197" s="61" t="e">
        <f ca="1">AVERAGE(OFFSET($FI$3,0,0,'Données projet'!$E$16+1,1))-AVERAGE(OFFSET($H$3,0,0,'Données projet'!$E$16+1,1))</f>
        <v>#N/A</v>
      </c>
      <c r="FK197" s="61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1" t="e">
        <f t="shared" si="200"/>
        <v>#N/A</v>
      </c>
      <c r="GE197" s="61" t="e">
        <f ca="1">AVERAGE(OFFSET($GD$3,0,0,'Données projet'!$E$17+1,1))-AVERAGE(OFFSET($H$3,0,0,'Données projet'!$E$17+1,1))</f>
        <v>#N/A</v>
      </c>
      <c r="GF197" s="61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1" t="e">
        <f t="shared" si="201"/>
        <v>#N/A</v>
      </c>
      <c r="GZ197" s="61" t="e">
        <f ca="1">AVERAGE(OFFSET($GY$3,0,0,'Données projet'!$E$18+1,1))-AVERAGE(OFFSET($H$3,0,0,'Données projet'!$E$18+1,1))</f>
        <v>#N/A</v>
      </c>
      <c r="HA197" s="61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45">
      <c r="A198" s="11">
        <f t="shared" si="161"/>
        <v>195</v>
      </c>
      <c r="B198" s="76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9">
        <f t="shared" si="192"/>
        <v>183.33333333333334</v>
      </c>
      <c r="I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-3.4106051316484809E-13</v>
      </c>
      <c r="O198" s="14">
        <f>N198*VLOOKUP('Données projet'!$B$9,Paramètres!$A$1:$I$88,3,0)*VLOOKUP('Données projet'!$B$9,Paramètres!$A$1:$I$88,5,0)</f>
        <v>-2.0395418687257919E-13</v>
      </c>
      <c r="P198" s="14" t="e">
        <f t="shared" si="203"/>
        <v>#NUM!</v>
      </c>
      <c r="Q198" s="22" t="e">
        <f t="shared" si="162"/>
        <v>#NUM!</v>
      </c>
      <c r="R198" s="61" t="e">
        <f t="shared" si="191"/>
        <v>#NUM!</v>
      </c>
      <c r="S198" s="61">
        <f ca="1">AVERAGE(OFFSET($R$3,0,0,'Données projet'!$E$9+1,1))-AVERAGE(OFFSET($H$3,0,0,'Données projet'!$E$9+1,1))</f>
        <v>445.53168057836308</v>
      </c>
      <c r="T198" s="61">
        <f t="shared" si="204"/>
        <v>326.78684646135241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33.845782823638821</v>
      </c>
      <c r="AA198" s="23">
        <f>EXP(-LN(2)/25)*AA197+(1-EXP(-LN(2)/25))/(LN(2)/25)*Calculateur!V198*Calculateur!X198*VLOOKUP('Données projet'!$B$9,Paramètres!$A$1:$I$88,3,0)*0.475*44/12</f>
        <v>1.2177673471059685</v>
      </c>
      <c r="AB198" s="23">
        <f>EXP(-LN(2)/2)*AB197+(1-EXP(-LN(2)/2))/(LN(2)/2)*V198*Y198*VLOOKUP('Données projet'!$B$9,Paramètres!$A$1:$I$88,3,0)*0.475*44/12</f>
        <v>1.0299573555786487E-19</v>
      </c>
      <c r="AC198" s="24">
        <f t="shared" si="163"/>
        <v>35.06355017074479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-6.8212102632969618E-13</v>
      </c>
      <c r="AJ198" s="14">
        <f>AI198*VLOOKUP('Données projet'!$B$10,Paramètres!$A$1:$I$88,3,0)*VLOOKUP('Données projet'!$B$10,Paramètres!$A$1:$I$88,5,0)</f>
        <v>-3.1923264032229784E-13</v>
      </c>
      <c r="AK198" s="14" t="e">
        <f t="shared" si="164"/>
        <v>#NUM!</v>
      </c>
      <c r="AL198" s="22" t="e">
        <f t="shared" si="165"/>
        <v>#NUM!</v>
      </c>
      <c r="AM198" s="61" t="e">
        <f t="shared" si="193"/>
        <v>#NUM!</v>
      </c>
      <c r="AN198" s="61">
        <f ca="1">AVERAGE(OFFSET($AM$3,0,0,'Données projet'!$E$10+1,1))-AVERAGE(OFFSET($H$3,0,0,'Données projet'!$E$10+1,1))</f>
        <v>375.77859820466693</v>
      </c>
      <c r="AO198" s="61">
        <f t="shared" si="205"/>
        <v>242.84781402593856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54.187553035490701</v>
      </c>
      <c r="AV198" s="23">
        <f>EXP(-LN(2)/25)*AV197+(1-EXP(-LN(2)/25))/(LN(2)/25)*Calculateur!AQ198*Calculateur!AS198*VLOOKUP('Données projet'!$B$9,Paramètres!$A$1:$I$88,3,0)*0.475*44/12</f>
        <v>2.9298224295332718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57.117375465023976</v>
      </c>
      <c r="AY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projet'!$B$11,Paramètres!$A$1:$I$88,3,0)*VLOOKUP('Données projet'!$B$11,Paramètres!$A$1:$I$88,5,0)</f>
        <v>-1.1527845344971866E-13</v>
      </c>
      <c r="BF198" s="14" t="e">
        <f t="shared" si="167"/>
        <v>#NUM!</v>
      </c>
      <c r="BG198" s="22" t="e">
        <f t="shared" si="168"/>
        <v>#NUM!</v>
      </c>
      <c r="BH198" s="61" t="e">
        <f t="shared" si="194"/>
        <v>#NUM!</v>
      </c>
      <c r="BI198" s="61">
        <f ca="1">AVERAGE(OFFSET($BH$3,0,0,'Données projet'!$E$11+1,1))-AVERAGE(OFFSET($H$3,0,0,'Données projet'!$E$11+1,1))</f>
        <v>433.57989081194</v>
      </c>
      <c r="BJ198" s="61">
        <f t="shared" si="206"/>
        <v>182.52060621271355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126.24948523577444</v>
      </c>
      <c r="BQ198" s="23">
        <f>EXP(-LN(2)/25)*BQ197+(1-EXP(-LN(2)/25))/(LN(2)/25)*Calculateur!BL198*Calculateur!BN198*VLOOKUP('Données projet'!$B$9,Paramètres!$A$1:$I$88,3,0)*0.475*44/12</f>
        <v>12.838131669343335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139.08761690511778</v>
      </c>
      <c r="BT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1" t="e">
        <f t="shared" si="195"/>
        <v>#N/A</v>
      </c>
      <c r="CD198" s="61" t="e">
        <f ca="1">AVERAGE(OFFSET($CC$3,0,0,'Données projet'!$E$12+1,1))-AVERAGE(OFFSET($H$3,0,0,'Données projet'!$E$12+1,1))</f>
        <v>#N/A</v>
      </c>
      <c r="CE198" s="61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1" t="e">
        <f t="shared" si="196"/>
        <v>#N/A</v>
      </c>
      <c r="CY198" s="61" t="e">
        <f ca="1">AVERAGE(OFFSET($CX$3,0,0,'Données projet'!$E$13+1,1))-AVERAGE(OFFSET($H$3,0,0,'Données projet'!$E$13+1,1))</f>
        <v>#N/A</v>
      </c>
      <c r="CZ198" s="61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1" t="e">
        <f t="shared" si="197"/>
        <v>#N/A</v>
      </c>
      <c r="DT198" s="61" t="e">
        <f ca="1">AVERAGE(OFFSET($DS$3,0,0,'Données projet'!$E$14+1,1))-AVERAGE(OFFSET($H$3,0,0,'Données projet'!$E$14+1,1))</f>
        <v>#N/A</v>
      </c>
      <c r="DU198" s="61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1" t="e">
        <f t="shared" si="198"/>
        <v>#N/A</v>
      </c>
      <c r="EO198" s="61" t="e">
        <f ca="1">AVERAGE(OFFSET($EN$3,0,0,'Données projet'!$E$15+1,1))-AVERAGE(OFFSET($H$3,0,0,'Données projet'!$E$15+1,1))</f>
        <v>#N/A</v>
      </c>
      <c r="EP198" s="61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1" t="e">
        <f t="shared" si="199"/>
        <v>#N/A</v>
      </c>
      <c r="FJ198" s="61" t="e">
        <f ca="1">AVERAGE(OFFSET($FI$3,0,0,'Données projet'!$E$16+1,1))-AVERAGE(OFFSET($H$3,0,0,'Données projet'!$E$16+1,1))</f>
        <v>#N/A</v>
      </c>
      <c r="FK198" s="61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1" t="e">
        <f t="shared" si="200"/>
        <v>#N/A</v>
      </c>
      <c r="GE198" s="61" t="e">
        <f ca="1">AVERAGE(OFFSET($GD$3,0,0,'Données projet'!$E$17+1,1))-AVERAGE(OFFSET($H$3,0,0,'Données projet'!$E$17+1,1))</f>
        <v>#N/A</v>
      </c>
      <c r="GF198" s="61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1" t="e">
        <f t="shared" si="201"/>
        <v>#N/A</v>
      </c>
      <c r="GZ198" s="61" t="e">
        <f ca="1">AVERAGE(OFFSET($GY$3,0,0,'Données projet'!$E$18+1,1))-AVERAGE(OFFSET($H$3,0,0,'Données projet'!$E$18+1,1))</f>
        <v>#N/A</v>
      </c>
      <c r="HA198" s="61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45">
      <c r="A199" s="11">
        <f t="shared" si="161"/>
        <v>196</v>
      </c>
      <c r="B199" s="76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9">
        <f t="shared" si="192"/>
        <v>183.33333333333334</v>
      </c>
      <c r="I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-3.4106051316484809E-13</v>
      </c>
      <c r="O199" s="14">
        <f>N199*VLOOKUP('Données projet'!$B$9,Paramètres!$A$1:$I$88,3,0)*VLOOKUP('Données projet'!$B$9,Paramètres!$A$1:$I$88,5,0)</f>
        <v>-2.0395418687257919E-13</v>
      </c>
      <c r="P199" s="14" t="e">
        <f t="shared" si="203"/>
        <v>#NUM!</v>
      </c>
      <c r="Q199" s="22" t="e">
        <f t="shared" si="162"/>
        <v>#NUM!</v>
      </c>
      <c r="R199" s="61" t="e">
        <f t="shared" si="191"/>
        <v>#NUM!</v>
      </c>
      <c r="S199" s="61">
        <f ca="1">AVERAGE(OFFSET($R$3,0,0,'Données projet'!$E$9+1,1))-AVERAGE(OFFSET($H$3,0,0,'Données projet'!$E$9+1,1))</f>
        <v>445.53168057836308</v>
      </c>
      <c r="T199" s="61">
        <f t="shared" si="204"/>
        <v>326.78684646135241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33.182087666356374</v>
      </c>
      <c r="AA199" s="23">
        <f>EXP(-LN(2)/25)*AA198+(1-EXP(-LN(2)/25))/(LN(2)/25)*Calculateur!V199*Calculateur!X199*VLOOKUP('Données projet'!$B$9,Paramètres!$A$1:$I$88,3,0)*0.475*44/12</f>
        <v>1.1844674349597542</v>
      </c>
      <c r="AB199" s="23">
        <f>EXP(-LN(2)/2)*AB198+(1-EXP(-LN(2)/2))/(LN(2)/2)*V199*Y199*VLOOKUP('Données projet'!$B$9,Paramètres!$A$1:$I$88,3,0)*0.475*44/12</f>
        <v>7.2828983046262669E-20</v>
      </c>
      <c r="AC199" s="24">
        <f t="shared" si="163"/>
        <v>34.366555101316131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-6.8212102632969618E-13</v>
      </c>
      <c r="AJ199" s="14">
        <f>AI199*VLOOKUP('Données projet'!$B$10,Paramètres!$A$1:$I$88,3,0)*VLOOKUP('Données projet'!$B$10,Paramètres!$A$1:$I$88,5,0)</f>
        <v>-3.1923264032229784E-13</v>
      </c>
      <c r="AK199" s="14" t="e">
        <f t="shared" si="164"/>
        <v>#NUM!</v>
      </c>
      <c r="AL199" s="22" t="e">
        <f t="shared" si="165"/>
        <v>#NUM!</v>
      </c>
      <c r="AM199" s="61" t="e">
        <f t="shared" si="193"/>
        <v>#NUM!</v>
      </c>
      <c r="AN199" s="61">
        <f ca="1">AVERAGE(OFFSET($AM$3,0,0,'Données projet'!$E$10+1,1))-AVERAGE(OFFSET($H$3,0,0,'Données projet'!$E$10+1,1))</f>
        <v>375.77859820466693</v>
      </c>
      <c r="AO199" s="61">
        <f t="shared" si="205"/>
        <v>242.84781402593856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53.12496817160855</v>
      </c>
      <c r="AV199" s="23">
        <f>EXP(-LN(2)/25)*AV198+(1-EXP(-LN(2)/25))/(LN(2)/25)*Calculateur!AQ199*Calculateur!AS199*VLOOKUP('Données projet'!$B$9,Paramètres!$A$1:$I$88,3,0)*0.475*44/12</f>
        <v>2.8497062811250191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55.974674452733566</v>
      </c>
      <c r="AY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projet'!$B$11,Paramètres!$A$1:$I$88,3,0)*VLOOKUP('Données projet'!$B$11,Paramètres!$A$1:$I$88,5,0)</f>
        <v>-1.1527845344971866E-13</v>
      </c>
      <c r="BF199" s="14" t="e">
        <f t="shared" si="167"/>
        <v>#NUM!</v>
      </c>
      <c r="BG199" s="22" t="e">
        <f t="shared" si="168"/>
        <v>#NUM!</v>
      </c>
      <c r="BH199" s="61" t="e">
        <f t="shared" si="194"/>
        <v>#NUM!</v>
      </c>
      <c r="BI199" s="61">
        <f ca="1">AVERAGE(OFFSET($BH$3,0,0,'Données projet'!$E$11+1,1))-AVERAGE(OFFSET($H$3,0,0,'Données projet'!$E$11+1,1))</f>
        <v>433.57989081194</v>
      </c>
      <c r="BJ199" s="61">
        <f t="shared" si="206"/>
        <v>182.52060621271355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123.77380983488332</v>
      </c>
      <c r="BQ199" s="23">
        <f>EXP(-LN(2)/25)*BQ198+(1-EXP(-LN(2)/25))/(LN(2)/25)*Calculateur!BL199*Calculateur!BN199*VLOOKUP('Données projet'!$B$9,Paramètres!$A$1:$I$88,3,0)*0.475*44/12</f>
        <v>12.48707228371714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136.26088211860048</v>
      </c>
      <c r="BT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1" t="e">
        <f t="shared" si="195"/>
        <v>#N/A</v>
      </c>
      <c r="CD199" s="61" t="e">
        <f ca="1">AVERAGE(OFFSET($CC$3,0,0,'Données projet'!$E$12+1,1))-AVERAGE(OFFSET($H$3,0,0,'Données projet'!$E$12+1,1))</f>
        <v>#N/A</v>
      </c>
      <c r="CE199" s="61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1" t="e">
        <f t="shared" si="196"/>
        <v>#N/A</v>
      </c>
      <c r="CY199" s="61" t="e">
        <f ca="1">AVERAGE(OFFSET($CX$3,0,0,'Données projet'!$E$13+1,1))-AVERAGE(OFFSET($H$3,0,0,'Données projet'!$E$13+1,1))</f>
        <v>#N/A</v>
      </c>
      <c r="CZ199" s="61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1" t="e">
        <f t="shared" si="197"/>
        <v>#N/A</v>
      </c>
      <c r="DT199" s="61" t="e">
        <f ca="1">AVERAGE(OFFSET($DS$3,0,0,'Données projet'!$E$14+1,1))-AVERAGE(OFFSET($H$3,0,0,'Données projet'!$E$14+1,1))</f>
        <v>#N/A</v>
      </c>
      <c r="DU199" s="61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1" t="e">
        <f t="shared" si="198"/>
        <v>#N/A</v>
      </c>
      <c r="EO199" s="61" t="e">
        <f ca="1">AVERAGE(OFFSET($EN$3,0,0,'Données projet'!$E$15+1,1))-AVERAGE(OFFSET($H$3,0,0,'Données projet'!$E$15+1,1))</f>
        <v>#N/A</v>
      </c>
      <c r="EP199" s="61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1" t="e">
        <f t="shared" si="199"/>
        <v>#N/A</v>
      </c>
      <c r="FJ199" s="61" t="e">
        <f ca="1">AVERAGE(OFFSET($FI$3,0,0,'Données projet'!$E$16+1,1))-AVERAGE(OFFSET($H$3,0,0,'Données projet'!$E$16+1,1))</f>
        <v>#N/A</v>
      </c>
      <c r="FK199" s="61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1" t="e">
        <f t="shared" si="200"/>
        <v>#N/A</v>
      </c>
      <c r="GE199" s="61" t="e">
        <f ca="1">AVERAGE(OFFSET($GD$3,0,0,'Données projet'!$E$17+1,1))-AVERAGE(OFFSET($H$3,0,0,'Données projet'!$E$17+1,1))</f>
        <v>#N/A</v>
      </c>
      <c r="GF199" s="61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1" t="e">
        <f t="shared" si="201"/>
        <v>#N/A</v>
      </c>
      <c r="GZ199" s="61" t="e">
        <f ca="1">AVERAGE(OFFSET($GY$3,0,0,'Données projet'!$E$18+1,1))-AVERAGE(OFFSET($H$3,0,0,'Données projet'!$E$18+1,1))</f>
        <v>#N/A</v>
      </c>
      <c r="HA199" s="61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45">
      <c r="A200" s="11">
        <f t="shared" si="161"/>
        <v>197</v>
      </c>
      <c r="B200" s="76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9">
        <f t="shared" si="192"/>
        <v>183.33333333333334</v>
      </c>
      <c r="I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-3.4106051316484809E-13</v>
      </c>
      <c r="O200" s="14">
        <f>N200*VLOOKUP('Données projet'!$B$9,Paramètres!$A$1:$I$88,3,0)*VLOOKUP('Données projet'!$B$9,Paramètres!$A$1:$I$88,5,0)</f>
        <v>-2.0395418687257919E-13</v>
      </c>
      <c r="P200" s="14" t="e">
        <f t="shared" si="203"/>
        <v>#NUM!</v>
      </c>
      <c r="Q200" s="22" t="e">
        <f t="shared" si="162"/>
        <v>#NUM!</v>
      </c>
      <c r="R200" s="61" t="e">
        <f t="shared" si="191"/>
        <v>#NUM!</v>
      </c>
      <c r="S200" s="61">
        <f ca="1">AVERAGE(OFFSET($R$3,0,0,'Données projet'!$E$9+1,1))-AVERAGE(OFFSET($H$3,0,0,'Données projet'!$E$9+1,1))</f>
        <v>445.53168057836308</v>
      </c>
      <c r="T200" s="61">
        <f t="shared" si="204"/>
        <v>326.78684646135241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32.531407166294159</v>
      </c>
      <c r="AA200" s="23">
        <f>EXP(-LN(2)/25)*AA199+(1-EXP(-LN(2)/25))/(LN(2)/25)*Calculateur!V200*Calculateur!X200*VLOOKUP('Données projet'!$B$9,Paramètres!$A$1:$I$88,3,0)*0.475*44/12</f>
        <v>1.1520781106623443</v>
      </c>
      <c r="AB200" s="23">
        <f>EXP(-LN(2)/2)*AB199+(1-EXP(-LN(2)/2))/(LN(2)/2)*V200*Y200*VLOOKUP('Données projet'!$B$9,Paramètres!$A$1:$I$88,3,0)*0.475*44/12</f>
        <v>5.1497867778932437E-20</v>
      </c>
      <c r="AC200" s="24">
        <f t="shared" si="163"/>
        <v>33.683485276956503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-6.8212102632969618E-13</v>
      </c>
      <c r="AJ200" s="14">
        <f>AI200*VLOOKUP('Données projet'!$B$10,Paramètres!$A$1:$I$88,3,0)*VLOOKUP('Données projet'!$B$10,Paramètres!$A$1:$I$88,5,0)</f>
        <v>-3.1923264032229784E-13</v>
      </c>
      <c r="AK200" s="14" t="e">
        <f t="shared" si="164"/>
        <v>#NUM!</v>
      </c>
      <c r="AL200" s="22" t="e">
        <f t="shared" si="165"/>
        <v>#NUM!</v>
      </c>
      <c r="AM200" s="61" t="e">
        <f t="shared" si="193"/>
        <v>#NUM!</v>
      </c>
      <c r="AN200" s="61">
        <f ca="1">AVERAGE(OFFSET($AM$3,0,0,'Données projet'!$E$10+1,1))-AVERAGE(OFFSET($H$3,0,0,'Données projet'!$E$10+1,1))</f>
        <v>375.77859820466693</v>
      </c>
      <c r="AO200" s="61">
        <f t="shared" si="205"/>
        <v>242.84781402593856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52.083219948794358</v>
      </c>
      <c r="AV200" s="23">
        <f>EXP(-LN(2)/25)*AV199+(1-EXP(-LN(2)/25))/(LN(2)/25)*Calculateur!AQ200*Calculateur!AS200*VLOOKUP('Données projet'!$B$9,Paramètres!$A$1:$I$88,3,0)*0.475*44/12</f>
        <v>2.771780913008115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54.855000861802473</v>
      </c>
      <c r="AY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projet'!$B$11,Paramètres!$A$1:$I$88,3,0)*VLOOKUP('Données projet'!$B$11,Paramètres!$A$1:$I$88,5,0)</f>
        <v>-1.1527845344971866E-13</v>
      </c>
      <c r="BF200" s="14" t="e">
        <f t="shared" si="167"/>
        <v>#NUM!</v>
      </c>
      <c r="BG200" s="22" t="e">
        <f t="shared" si="168"/>
        <v>#NUM!</v>
      </c>
      <c r="BH200" s="61" t="e">
        <f t="shared" si="194"/>
        <v>#NUM!</v>
      </c>
      <c r="BI200" s="61">
        <f ca="1">AVERAGE(OFFSET($BH$3,0,0,'Données projet'!$E$11+1,1))-AVERAGE(OFFSET($H$3,0,0,'Données projet'!$E$11+1,1))</f>
        <v>433.57989081194</v>
      </c>
      <c r="BJ200" s="61">
        <f t="shared" si="206"/>
        <v>182.52060621271355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121.34668091859079</v>
      </c>
      <c r="BQ200" s="23">
        <f>EXP(-LN(2)/25)*BQ199+(1-EXP(-LN(2)/25))/(LN(2)/25)*Calculateur!BL200*Calculateur!BN200*VLOOKUP('Données projet'!$B$9,Paramètres!$A$1:$I$88,3,0)*0.475*44/12</f>
        <v>12.145612635452302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133.4922935540431</v>
      </c>
      <c r="BT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1" t="e">
        <f t="shared" si="195"/>
        <v>#N/A</v>
      </c>
      <c r="CD200" s="61" t="e">
        <f ca="1">AVERAGE(OFFSET($CC$3,0,0,'Données projet'!$E$12+1,1))-AVERAGE(OFFSET($H$3,0,0,'Données projet'!$E$12+1,1))</f>
        <v>#N/A</v>
      </c>
      <c r="CE200" s="61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1" t="e">
        <f t="shared" si="196"/>
        <v>#N/A</v>
      </c>
      <c r="CY200" s="61" t="e">
        <f ca="1">AVERAGE(OFFSET($CX$3,0,0,'Données projet'!$E$13+1,1))-AVERAGE(OFFSET($H$3,0,0,'Données projet'!$E$13+1,1))</f>
        <v>#N/A</v>
      </c>
      <c r="CZ200" s="61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1" t="e">
        <f t="shared" si="197"/>
        <v>#N/A</v>
      </c>
      <c r="DT200" s="61" t="e">
        <f ca="1">AVERAGE(OFFSET($DS$3,0,0,'Données projet'!$E$14+1,1))-AVERAGE(OFFSET($H$3,0,0,'Données projet'!$E$14+1,1))</f>
        <v>#N/A</v>
      </c>
      <c r="DU200" s="61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1" t="e">
        <f t="shared" si="198"/>
        <v>#N/A</v>
      </c>
      <c r="EO200" s="61" t="e">
        <f ca="1">AVERAGE(OFFSET($EN$3,0,0,'Données projet'!$E$15+1,1))-AVERAGE(OFFSET($H$3,0,0,'Données projet'!$E$15+1,1))</f>
        <v>#N/A</v>
      </c>
      <c r="EP200" s="61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1" t="e">
        <f t="shared" si="199"/>
        <v>#N/A</v>
      </c>
      <c r="FJ200" s="61" t="e">
        <f ca="1">AVERAGE(OFFSET($FI$3,0,0,'Données projet'!$E$16+1,1))-AVERAGE(OFFSET($H$3,0,0,'Données projet'!$E$16+1,1))</f>
        <v>#N/A</v>
      </c>
      <c r="FK200" s="61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1" t="e">
        <f t="shared" si="200"/>
        <v>#N/A</v>
      </c>
      <c r="GE200" s="61" t="e">
        <f ca="1">AVERAGE(OFFSET($GD$3,0,0,'Données projet'!$E$17+1,1))-AVERAGE(OFFSET($H$3,0,0,'Données projet'!$E$17+1,1))</f>
        <v>#N/A</v>
      </c>
      <c r="GF200" s="61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1" t="e">
        <f t="shared" si="201"/>
        <v>#N/A</v>
      </c>
      <c r="GZ200" s="61" t="e">
        <f ca="1">AVERAGE(OFFSET($GY$3,0,0,'Données projet'!$E$18+1,1))-AVERAGE(OFFSET($H$3,0,0,'Données projet'!$E$18+1,1))</f>
        <v>#N/A</v>
      </c>
      <c r="HA200" s="61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45">
      <c r="A201" s="11">
        <f>A200+1</f>
        <v>198</v>
      </c>
      <c r="B201" s="76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9">
        <f t="shared" si="192"/>
        <v>183.33333333333334</v>
      </c>
      <c r="I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-3.4106051316484809E-13</v>
      </c>
      <c r="O201" s="14">
        <f>N201*VLOOKUP('Données projet'!$B$9,Paramètres!$A$1:$I$88,3,0)*VLOOKUP('Données projet'!$B$9,Paramètres!$A$1:$I$88,5,0)</f>
        <v>-2.0395418687257919E-13</v>
      </c>
      <c r="P201" s="14" t="e">
        <f t="shared" si="203"/>
        <v>#NUM!</v>
      </c>
      <c r="Q201" s="22" t="e">
        <f t="shared" si="162"/>
        <v>#NUM!</v>
      </c>
      <c r="R201" s="61" t="e">
        <f t="shared" si="191"/>
        <v>#NUM!</v>
      </c>
      <c r="S201" s="61">
        <f ca="1">AVERAGE(OFFSET($R$3,0,0,'Données projet'!$E$9+1,1))-AVERAGE(OFFSET($H$3,0,0,'Données projet'!$E$9+1,1))</f>
        <v>445.53168057836308</v>
      </c>
      <c r="T201" s="61">
        <f t="shared" si="204"/>
        <v>326.78684646135241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31.893486113962247</v>
      </c>
      <c r="AA201" s="23">
        <f>EXP(-LN(2)/25)*AA200+(1-EXP(-LN(2)/25))/(LN(2)/25)*Calculateur!V201*Calculateur!X201*VLOOKUP('Données projet'!$B$9,Paramètres!$A$1:$I$88,3,0)*0.475*44/12</f>
        <v>1.1205744741411279</v>
      </c>
      <c r="AB201" s="23">
        <f>EXP(-LN(2)/2)*AB200+(1-EXP(-LN(2)/2))/(LN(2)/2)*V201*Y201*VLOOKUP('Données projet'!$B$9,Paramètres!$A$1:$I$88,3,0)*0.475*44/12</f>
        <v>3.6414491523131334E-20</v>
      </c>
      <c r="AC201" s="24">
        <f t="shared" si="163"/>
        <v>33.014060588103376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-6.8212102632969618E-13</v>
      </c>
      <c r="AJ201" s="14">
        <f>AI201*VLOOKUP('Données projet'!$B$10,Paramètres!$A$1:$I$88,3,0)*VLOOKUP('Données projet'!$B$10,Paramètres!$A$1:$I$88,5,0)</f>
        <v>-3.1923264032229784E-13</v>
      </c>
      <c r="AK201" s="14" t="e">
        <f t="shared" si="164"/>
        <v>#NUM!</v>
      </c>
      <c r="AL201" s="22" t="e">
        <f t="shared" si="165"/>
        <v>#NUM!</v>
      </c>
      <c r="AM201" s="61" t="e">
        <f t="shared" si="193"/>
        <v>#NUM!</v>
      </c>
      <c r="AN201" s="61">
        <f ca="1">AVERAGE(OFFSET($AM$3,0,0,'Données projet'!$E$10+1,1))-AVERAGE(OFFSET($H$3,0,0,'Données projet'!$E$10+1,1))</f>
        <v>375.77859820466693</v>
      </c>
      <c r="AO201" s="61">
        <f t="shared" si="205"/>
        <v>242.84781402593856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51.061899773225875</v>
      </c>
      <c r="AV201" s="23">
        <f>EXP(-LN(2)/25)*AV200+(1-EXP(-LN(2)/25))/(LN(2)/25)*Calculateur!AQ201*Calculateur!AS201*VLOOKUP('Données projet'!$B$9,Paramètres!$A$1:$I$88,3,0)*0.475*44/12</f>
        <v>2.6959864181802851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53.757886191406158</v>
      </c>
      <c r="AY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projet'!$B$11,Paramètres!$A$1:$I$88,3,0)*VLOOKUP('Données projet'!$B$11,Paramètres!$A$1:$I$88,5,0)</f>
        <v>-1.1527845344971866E-13</v>
      </c>
      <c r="BF201" s="14" t="e">
        <f t="shared" si="167"/>
        <v>#NUM!</v>
      </c>
      <c r="BG201" s="22" t="e">
        <f t="shared" si="168"/>
        <v>#NUM!</v>
      </c>
      <c r="BH201" s="61" t="e">
        <f t="shared" si="194"/>
        <v>#NUM!</v>
      </c>
      <c r="BI201" s="61">
        <f ca="1">AVERAGE(OFFSET($BH$3,0,0,'Données projet'!$E$11+1,1))-AVERAGE(OFFSET($H$3,0,0,'Données projet'!$E$11+1,1))</f>
        <v>433.57989081194</v>
      </c>
      <c r="BJ201" s="61">
        <f t="shared" si="206"/>
        <v>182.52060621271355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118.96714651994429</v>
      </c>
      <c r="BQ201" s="23">
        <f>EXP(-LN(2)/25)*BQ200+(1-EXP(-LN(2)/25))/(LN(2)/25)*Calculateur!BL201*Calculateur!BN201*VLOOKUP('Données projet'!$B$9,Paramètres!$A$1:$I$88,3,0)*0.475*44/12</f>
        <v>11.81349021922585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130.78063673917015</v>
      </c>
      <c r="BT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1" t="e">
        <f t="shared" si="195"/>
        <v>#N/A</v>
      </c>
      <c r="CD201" s="61" t="e">
        <f ca="1">AVERAGE(OFFSET($CC$3,0,0,'Données projet'!$E$12+1,1))-AVERAGE(OFFSET($H$3,0,0,'Données projet'!$E$12+1,1))</f>
        <v>#N/A</v>
      </c>
      <c r="CE201" s="61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1" t="e">
        <f t="shared" si="196"/>
        <v>#N/A</v>
      </c>
      <c r="CY201" s="61" t="e">
        <f ca="1">AVERAGE(OFFSET($CX$3,0,0,'Données projet'!$E$13+1,1))-AVERAGE(OFFSET($H$3,0,0,'Données projet'!$E$13+1,1))</f>
        <v>#N/A</v>
      </c>
      <c r="CZ201" s="61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1" t="e">
        <f t="shared" si="197"/>
        <v>#N/A</v>
      </c>
      <c r="DT201" s="61" t="e">
        <f ca="1">AVERAGE(OFFSET($DS$3,0,0,'Données projet'!$E$14+1,1))-AVERAGE(OFFSET($H$3,0,0,'Données projet'!$E$14+1,1))</f>
        <v>#N/A</v>
      </c>
      <c r="DU201" s="61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1" t="e">
        <f t="shared" si="198"/>
        <v>#N/A</v>
      </c>
      <c r="EO201" s="61" t="e">
        <f ca="1">AVERAGE(OFFSET($EN$3,0,0,'Données projet'!$E$15+1,1))-AVERAGE(OFFSET($H$3,0,0,'Données projet'!$E$15+1,1))</f>
        <v>#N/A</v>
      </c>
      <c r="EP201" s="61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1" t="e">
        <f t="shared" si="199"/>
        <v>#N/A</v>
      </c>
      <c r="FJ201" s="61" t="e">
        <f ca="1">AVERAGE(OFFSET($FI$3,0,0,'Données projet'!$E$16+1,1))-AVERAGE(OFFSET($H$3,0,0,'Données projet'!$E$16+1,1))</f>
        <v>#N/A</v>
      </c>
      <c r="FK201" s="61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1" t="e">
        <f t="shared" si="200"/>
        <v>#N/A</v>
      </c>
      <c r="GE201" s="61" t="e">
        <f ca="1">AVERAGE(OFFSET($GD$3,0,0,'Données projet'!$E$17+1,1))-AVERAGE(OFFSET($H$3,0,0,'Données projet'!$E$17+1,1))</f>
        <v>#N/A</v>
      </c>
      <c r="GF201" s="61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1" t="e">
        <f t="shared" si="201"/>
        <v>#N/A</v>
      </c>
      <c r="GZ201" s="61" t="e">
        <f ca="1">AVERAGE(OFFSET($GY$3,0,0,'Données projet'!$E$18+1,1))-AVERAGE(OFFSET($H$3,0,0,'Données projet'!$E$18+1,1))</f>
        <v>#N/A</v>
      </c>
      <c r="HA201" s="61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45">
      <c r="A202" s="11">
        <f t="shared" si="161"/>
        <v>199</v>
      </c>
      <c r="B202" s="76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9">
        <f t="shared" si="192"/>
        <v>183.33333333333334</v>
      </c>
      <c r="I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-3.4106051316484809E-13</v>
      </c>
      <c r="O202" s="14">
        <f>N202*VLOOKUP('Données projet'!$B$9,Paramètres!$A$1:$I$88,3,0)*VLOOKUP('Données projet'!$B$9,Paramètres!$A$1:$I$88,5,0)</f>
        <v>-2.0395418687257919E-13</v>
      </c>
      <c r="P202" s="14" t="e">
        <f t="shared" si="203"/>
        <v>#NUM!</v>
      </c>
      <c r="Q202" s="22" t="e">
        <f t="shared" si="162"/>
        <v>#NUM!</v>
      </c>
      <c r="R202" s="61" t="e">
        <f t="shared" si="191"/>
        <v>#NUM!</v>
      </c>
      <c r="S202" s="61">
        <f ca="1">AVERAGE(OFFSET($R$3,0,0,'Données projet'!$E$9+1,1))-AVERAGE(OFFSET($H$3,0,0,'Données projet'!$E$9+1,1))</f>
        <v>445.53168057836308</v>
      </c>
      <c r="T202" s="61">
        <f t="shared" si="204"/>
        <v>326.78684646135241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31.268074304373144</v>
      </c>
      <c r="AA202" s="23">
        <f>EXP(-LN(2)/25)*AA201+(1-EXP(-LN(2)/25))/(LN(2)/25)*Calculateur!V202*Calculateur!X202*VLOOKUP('Données projet'!$B$9,Paramètres!$A$1:$I$88,3,0)*0.475*44/12</f>
        <v>1.0899323062172883</v>
      </c>
      <c r="AB202" s="23">
        <f>EXP(-LN(2)/2)*AB201+(1-EXP(-LN(2)/2))/(LN(2)/2)*V202*Y202*VLOOKUP('Données projet'!$B$9,Paramètres!$A$1:$I$88,3,0)*0.475*44/12</f>
        <v>2.5748933889466218E-20</v>
      </c>
      <c r="AC202" s="24">
        <f t="shared" si="163"/>
        <v>32.358006610590429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-6.8212102632969618E-13</v>
      </c>
      <c r="AJ202" s="14">
        <f>AI202*VLOOKUP('Données projet'!$B$10,Paramètres!$A$1:$I$88,3,0)*VLOOKUP('Données projet'!$B$10,Paramètres!$A$1:$I$88,5,0)</f>
        <v>-3.1923264032229784E-13</v>
      </c>
      <c r="AK202" s="14" t="e">
        <f t="shared" si="164"/>
        <v>#NUM!</v>
      </c>
      <c r="AL202" s="22" t="e">
        <f t="shared" si="165"/>
        <v>#NUM!</v>
      </c>
      <c r="AM202" s="61" t="e">
        <f t="shared" si="193"/>
        <v>#NUM!</v>
      </c>
      <c r="AN202" s="61">
        <f ca="1">AVERAGE(OFFSET($AM$3,0,0,'Données projet'!$E$10+1,1))-AVERAGE(OFFSET($H$3,0,0,'Données projet'!$E$10+1,1))</f>
        <v>375.77859820466693</v>
      </c>
      <c r="AO202" s="61">
        <f t="shared" si="205"/>
        <v>242.84781402593856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50.060607063356493</v>
      </c>
      <c r="AV202" s="23">
        <f>EXP(-LN(2)/25)*AV201+(1-EXP(-LN(2)/25))/(LN(2)/25)*Calculateur!AQ202*Calculateur!AS202*VLOOKUP('Données projet'!$B$9,Paramètres!$A$1:$I$88,3,0)*0.475*44/12</f>
        <v>2.622264527799381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52.682871591155873</v>
      </c>
      <c r="AY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projet'!$B$11,Paramètres!$A$1:$I$88,3,0)*VLOOKUP('Données projet'!$B$11,Paramètres!$A$1:$I$88,5,0)</f>
        <v>-1.1527845344971866E-13</v>
      </c>
      <c r="BF202" s="14" t="e">
        <f t="shared" si="167"/>
        <v>#NUM!</v>
      </c>
      <c r="BG202" s="22" t="e">
        <f t="shared" si="168"/>
        <v>#NUM!</v>
      </c>
      <c r="BH202" s="61" t="e">
        <f t="shared" si="194"/>
        <v>#NUM!</v>
      </c>
      <c r="BI202" s="61">
        <f ca="1">AVERAGE(OFFSET($BH$3,0,0,'Données projet'!$E$11+1,1))-AVERAGE(OFFSET($H$3,0,0,'Données projet'!$E$11+1,1))</f>
        <v>433.57989081194</v>
      </c>
      <c r="BJ202" s="61">
        <f t="shared" si="206"/>
        <v>182.52060621271355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116.63427333948258</v>
      </c>
      <c r="BQ202" s="23">
        <f>EXP(-LN(2)/25)*BQ201+(1-EXP(-LN(2)/25))/(LN(2)/25)*Calculateur!BL202*Calculateur!BN202*VLOOKUP('Données projet'!$B$9,Paramètres!$A$1:$I$88,3,0)*0.475*44/12</f>
        <v>11.490449707936669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128.12472304741925</v>
      </c>
      <c r="BT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1" t="e">
        <f t="shared" si="195"/>
        <v>#N/A</v>
      </c>
      <c r="CD202" s="61" t="e">
        <f ca="1">AVERAGE(OFFSET($CC$3,0,0,'Données projet'!$E$12+1,1))-AVERAGE(OFFSET($H$3,0,0,'Données projet'!$E$12+1,1))</f>
        <v>#N/A</v>
      </c>
      <c r="CE202" s="61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1" t="e">
        <f t="shared" si="196"/>
        <v>#N/A</v>
      </c>
      <c r="CY202" s="61" t="e">
        <f ca="1">AVERAGE(OFFSET($CX$3,0,0,'Données projet'!$E$13+1,1))-AVERAGE(OFFSET($H$3,0,0,'Données projet'!$E$13+1,1))</f>
        <v>#N/A</v>
      </c>
      <c r="CZ202" s="61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1" t="e">
        <f t="shared" si="197"/>
        <v>#N/A</v>
      </c>
      <c r="DT202" s="61" t="e">
        <f ca="1">AVERAGE(OFFSET($DS$3,0,0,'Données projet'!$E$14+1,1))-AVERAGE(OFFSET($H$3,0,0,'Données projet'!$E$14+1,1))</f>
        <v>#N/A</v>
      </c>
      <c r="DU202" s="61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1" t="e">
        <f t="shared" si="198"/>
        <v>#N/A</v>
      </c>
      <c r="EO202" s="61" t="e">
        <f ca="1">AVERAGE(OFFSET($EN$3,0,0,'Données projet'!$E$15+1,1))-AVERAGE(OFFSET($H$3,0,0,'Données projet'!$E$15+1,1))</f>
        <v>#N/A</v>
      </c>
      <c r="EP202" s="61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1" t="e">
        <f t="shared" si="199"/>
        <v>#N/A</v>
      </c>
      <c r="FJ202" s="61" t="e">
        <f ca="1">AVERAGE(OFFSET($FI$3,0,0,'Données projet'!$E$16+1,1))-AVERAGE(OFFSET($H$3,0,0,'Données projet'!$E$16+1,1))</f>
        <v>#N/A</v>
      </c>
      <c r="FK202" s="61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1" t="e">
        <f t="shared" si="200"/>
        <v>#N/A</v>
      </c>
      <c r="GE202" s="61" t="e">
        <f ca="1">AVERAGE(OFFSET($GD$3,0,0,'Données projet'!$E$17+1,1))-AVERAGE(OFFSET($H$3,0,0,'Données projet'!$E$17+1,1))</f>
        <v>#N/A</v>
      </c>
      <c r="GF202" s="61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1" t="e">
        <f t="shared" si="201"/>
        <v>#N/A</v>
      </c>
      <c r="GZ202" s="61" t="e">
        <f ca="1">AVERAGE(OFFSET($GY$3,0,0,'Données projet'!$E$18+1,1))-AVERAGE(OFFSET($H$3,0,0,'Données projet'!$E$18+1,1))</f>
        <v>#N/A</v>
      </c>
      <c r="HA202" s="61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4.65" thickBot="1" x14ac:dyDescent="0.5">
      <c r="A203" s="11">
        <f>A202+1</f>
        <v>200</v>
      </c>
      <c r="B203" s="76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9">
        <f t="shared" si="192"/>
        <v>183.33333333333334</v>
      </c>
      <c r="I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-3.4106051316484809E-13</v>
      </c>
      <c r="O203" s="14">
        <f>N203*VLOOKUP('Données projet'!$B$9,Paramètres!$A$1:$I$88,3,0)*VLOOKUP('Données projet'!$B$9,Paramètres!$A$1:$I$88,5,0)</f>
        <v>-2.0395418687257919E-13</v>
      </c>
      <c r="P203" s="14" t="e">
        <f t="shared" si="203"/>
        <v>#NUM!</v>
      </c>
      <c r="Q203" s="22" t="e">
        <f t="shared" si="162"/>
        <v>#NUM!</v>
      </c>
      <c r="R203" s="61" t="e">
        <f t="shared" si="191"/>
        <v>#NUM!</v>
      </c>
      <c r="S203" s="61">
        <f ca="1">AVERAGE(OFFSET($R$3,0,0,'Données projet'!$E$9+1,1))-AVERAGE(OFFSET($H$3,0,0,'Données projet'!$E$9+1,1))</f>
        <v>445.53168057836308</v>
      </c>
      <c r="T203" s="61">
        <f t="shared" si="204"/>
        <v>326.78684646135241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30.654926438906543</v>
      </c>
      <c r="AA203" s="23">
        <f>EXP(-LN(2)/25)*AA202+(1-EXP(-LN(2)/25))/(LN(2)/25)*Calculateur!V203*Calculateur!X203*VLOOKUP('Données projet'!$B$9,Paramètres!$A$1:$I$88,3,0)*0.475*44/12</f>
        <v>1.0601280499867276</v>
      </c>
      <c r="AB203" s="23">
        <f>EXP(-LN(2)/2)*AB202+(1-EXP(-LN(2)/2))/(LN(2)/2)*V203*Y203*VLOOKUP('Données projet'!$B$9,Paramètres!$A$1:$I$88,3,0)*0.475*44/12</f>
        <v>1.8207245761565667E-20</v>
      </c>
      <c r="AC203" s="24">
        <f t="shared" si="163"/>
        <v>31.715054488893269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-6.8212102632969618E-13</v>
      </c>
      <c r="AJ203" s="14">
        <f>AI203*VLOOKUP('Données projet'!$B$10,Paramètres!$A$1:$I$88,3,0)*VLOOKUP('Données projet'!$B$10,Paramètres!$A$1:$I$88,5,0)</f>
        <v>-3.1923264032229784E-13</v>
      </c>
      <c r="AK203" s="14" t="e">
        <f t="shared" si="164"/>
        <v>#NUM!</v>
      </c>
      <c r="AL203" s="22" t="e">
        <f t="shared" si="165"/>
        <v>#NUM!</v>
      </c>
      <c r="AM203" s="61" t="e">
        <f t="shared" si="193"/>
        <v>#NUM!</v>
      </c>
      <c r="AN203" s="61">
        <f ca="1">AVERAGE(OFFSET($AM$3,0,0,'Données projet'!$E$10+1,1))-AVERAGE(OFFSET($H$3,0,0,'Données projet'!$E$10+1,1))</f>
        <v>375.77859820466693</v>
      </c>
      <c r="AO203" s="61">
        <f t="shared" si="205"/>
        <v>242.84781402593856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49.078949092799405</v>
      </c>
      <c r="AV203" s="23">
        <f>EXP(-LN(2)/25)*AV202+(1-EXP(-LN(2)/25))/(LN(2)/25)*Calculateur!AQ203*Calculateur!AS203*VLOOKUP('Données projet'!$B$9,Paramètres!$A$1:$I$88,3,0)*0.475*44/12</f>
        <v>2.5505585663878088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51.629507659187212</v>
      </c>
      <c r="AY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projet'!$B$11,Paramètres!$A$1:$I$88,3,0)*VLOOKUP('Données projet'!$B$11,Paramètres!$A$1:$I$88,5,0)</f>
        <v>-1.1527845344971866E-13</v>
      </c>
      <c r="BF203" s="14" t="e">
        <f t="shared" si="167"/>
        <v>#NUM!</v>
      </c>
      <c r="BG203" s="22" t="e">
        <f t="shared" si="168"/>
        <v>#NUM!</v>
      </c>
      <c r="BH203" s="61" t="e">
        <f t="shared" si="194"/>
        <v>#NUM!</v>
      </c>
      <c r="BI203" s="61">
        <f ca="1">AVERAGE(OFFSET($BH$3,0,0,'Données projet'!$E$11+1,1))-AVERAGE(OFFSET($H$3,0,0,'Données projet'!$E$11+1,1))</f>
        <v>433.57989081194</v>
      </c>
      <c r="BJ203" s="61">
        <f t="shared" si="206"/>
        <v>182.52060621271355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114.34714637917757</v>
      </c>
      <c r="BQ203" s="23">
        <f>EXP(-LN(2)/25)*BQ202+(1-EXP(-LN(2)/25))/(LN(2)/25)*Calculateur!BL203*Calculateur!BN203*VLOOKUP('Données projet'!$B$9,Paramètres!$A$1:$I$88,3,0)*0.475*44/12</f>
        <v>11.176242756416652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125.52338913559423</v>
      </c>
      <c r="BT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1" t="e">
        <f t="shared" si="195"/>
        <v>#N/A</v>
      </c>
      <c r="CD203" s="61" t="e">
        <f ca="1">AVERAGE(OFFSET($CC$3,0,0,'Données projet'!$E$12+1,1))-AVERAGE(OFFSET($H$3,0,0,'Données projet'!$E$12+1,1))</f>
        <v>#N/A</v>
      </c>
      <c r="CE203" s="61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1" t="e">
        <f t="shared" si="196"/>
        <v>#N/A</v>
      </c>
      <c r="CY203" s="61" t="e">
        <f ca="1">AVERAGE(OFFSET($CX$3,0,0,'Données projet'!$E$13+1,1))-AVERAGE(OFFSET($H$3,0,0,'Données projet'!$E$13+1,1))</f>
        <v>#N/A</v>
      </c>
      <c r="CZ203" s="61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1" t="e">
        <f t="shared" si="197"/>
        <v>#N/A</v>
      </c>
      <c r="DT203" s="61" t="e">
        <f ca="1">AVERAGE(OFFSET($DS$3,0,0,'Données projet'!$E$14+1,1))-AVERAGE(OFFSET($H$3,0,0,'Données projet'!$E$14+1,1))</f>
        <v>#N/A</v>
      </c>
      <c r="DU203" s="61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1" t="e">
        <f t="shared" si="198"/>
        <v>#N/A</v>
      </c>
      <c r="EO203" s="61" t="e">
        <f ca="1">AVERAGE(OFFSET($EN$3,0,0,'Données projet'!$E$15+1,1))-AVERAGE(OFFSET($H$3,0,0,'Données projet'!$E$15+1,1))</f>
        <v>#N/A</v>
      </c>
      <c r="EP203" s="61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1" t="e">
        <f t="shared" si="199"/>
        <v>#N/A</v>
      </c>
      <c r="FJ203" s="61" t="e">
        <f ca="1">AVERAGE(OFFSET($FI$3,0,0,'Données projet'!$E$16+1,1))-AVERAGE(OFFSET($H$3,0,0,'Données projet'!$E$16+1,1))</f>
        <v>#N/A</v>
      </c>
      <c r="FK203" s="61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1" t="e">
        <f t="shared" si="200"/>
        <v>#N/A</v>
      </c>
      <c r="GE203" s="61" t="e">
        <f ca="1">AVERAGE(OFFSET($GD$3,0,0,'Données projet'!$E$17+1,1))-AVERAGE(OFFSET($H$3,0,0,'Données projet'!$E$17+1,1))</f>
        <v>#N/A</v>
      </c>
      <c r="GF203" s="61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1" t="e">
        <f t="shared" si="201"/>
        <v>#N/A</v>
      </c>
      <c r="GZ203" s="61" t="e">
        <f ca="1">AVERAGE(OFFSET($GY$3,0,0,'Données projet'!$E$18+1,1))-AVERAGE(OFFSET($H$3,0,0,'Données projet'!$E$18+1,1))</f>
        <v>#N/A</v>
      </c>
      <c r="HA203" s="61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4.65" thickBot="1" x14ac:dyDescent="0.5">
      <c r="B204" s="82"/>
      <c r="C204" s="80"/>
      <c r="D204" s="81"/>
      <c r="E204" s="81"/>
      <c r="F204" s="81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0"/>
      <c r="I204" s="80"/>
      <c r="J204" s="80"/>
      <c r="K204" s="89" t="s">
        <v>298</v>
      </c>
      <c r="L204" s="83"/>
      <c r="M204" s="83"/>
      <c r="N204" s="83"/>
      <c r="O204" s="80"/>
      <c r="P204" s="80"/>
      <c r="Q204" s="81"/>
      <c r="R204" s="84"/>
      <c r="S204" s="84"/>
      <c r="T204" s="84"/>
      <c r="U204" s="83"/>
      <c r="V204" s="83"/>
      <c r="W204" s="85"/>
      <c r="X204" s="85"/>
      <c r="Y204" s="85"/>
      <c r="Z204" s="80"/>
      <c r="AA204" s="80"/>
      <c r="AB204" s="80"/>
      <c r="AC204" s="80"/>
      <c r="AD204" s="80"/>
      <c r="AE204" s="80"/>
      <c r="AF204" s="86" t="s">
        <v>298</v>
      </c>
      <c r="BA204" s="86" t="s">
        <v>298</v>
      </c>
      <c r="BV204" s="86" t="s">
        <v>298</v>
      </c>
      <c r="CQ204" s="86" t="s">
        <v>298</v>
      </c>
      <c r="DL204" s="86" t="s">
        <v>298</v>
      </c>
      <c r="EG204" s="86" t="s">
        <v>298</v>
      </c>
      <c r="FB204" s="86" t="s">
        <v>298</v>
      </c>
      <c r="FW204" s="86" t="s">
        <v>298</v>
      </c>
      <c r="GR204" s="86" t="s">
        <v>298</v>
      </c>
    </row>
    <row r="205" spans="1:218" ht="14.65" thickBot="1" x14ac:dyDescent="0.5">
      <c r="B205" s="82"/>
      <c r="C205" s="80"/>
      <c r="D205" s="81"/>
      <c r="E205" s="81"/>
      <c r="F205" s="81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0"/>
      <c r="I205" s="80"/>
      <c r="J205" s="80"/>
      <c r="K205" s="87">
        <f>EXP(LN('Données projet'!B36)/'Données projet'!A36)</f>
        <v>1.26078740377576</v>
      </c>
      <c r="L205" s="83"/>
      <c r="M205" s="83"/>
      <c r="N205" s="83"/>
      <c r="O205" s="80"/>
      <c r="P205" s="80"/>
      <c r="Q205" s="81"/>
      <c r="R205" s="84"/>
      <c r="S205" s="84"/>
      <c r="T205" s="84"/>
      <c r="U205" s="83"/>
      <c r="V205" s="83"/>
      <c r="W205" s="85"/>
      <c r="X205" s="85"/>
      <c r="Y205" s="85"/>
      <c r="Z205" s="80"/>
      <c r="AA205" s="80"/>
      <c r="AB205" s="80"/>
      <c r="AC205" s="80"/>
      <c r="AD205" s="80"/>
      <c r="AE205" s="80"/>
      <c r="AF205" s="88">
        <f>EXP(LN('Données projet'!B62)/'Données projet'!A62)</f>
        <v>1.2677537154322802</v>
      </c>
      <c r="BA205" s="87">
        <f>EXP(LN('Données projet'!B88)/'Données projet'!A88)</f>
        <v>1.0785203575375506</v>
      </c>
      <c r="BV205" s="87" t="e">
        <f>EXP(LN('Données projet'!B114)/'Données projet'!A114)</f>
        <v>#NUM!</v>
      </c>
      <c r="CQ205" s="87" t="e">
        <f>EXP(LN('Données projet'!B140)/'Données projet'!A140)</f>
        <v>#NUM!</v>
      </c>
      <c r="DL205" s="87" t="e">
        <f>EXP(LN('Données projet'!B166)/'Données projet'!A166)</f>
        <v>#NUM!</v>
      </c>
      <c r="EG205" s="87" t="e">
        <f>EXP(LN('Données projet'!B192)/'Données projet'!A192)</f>
        <v>#NUM!</v>
      </c>
      <c r="FB205" s="87" t="e">
        <f>EXP(LN('Données projet'!B218)/'Données projet'!A218)</f>
        <v>#NUM!</v>
      </c>
      <c r="FW205" s="87" t="e">
        <f>EXP(LN('Données projet'!B244)/'Données projet'!A244)</f>
        <v>#NUM!</v>
      </c>
      <c r="GR205" s="87" t="e">
        <f>EXP(LN('Données projet'!B270)/'Données projet'!A270)</f>
        <v>#NUM!</v>
      </c>
    </row>
  </sheetData>
  <sheetProtection algorithmName="SHA-512" hashValue="tv7WNljDXnLw7bDL6v8r3QZcrY21NmnGwri4+ZOcffY7maKxU2kyLiQ8rBoMU+qjbnmhv8Hr9iGQly9ARMcB1g==" saltValue="02e8VlpQWcYCk6HK1q8wy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topLeftCell="D1" workbookViewId="0">
      <selection activeCell="D1" sqref="A1:XFD1048576"/>
    </sheetView>
  </sheetViews>
  <sheetFormatPr baseColWidth="10" defaultColWidth="11.3984375" defaultRowHeight="14.25" x14ac:dyDescent="0.45"/>
  <cols>
    <col min="1" max="1" width="23.3984375" style="5" bestFit="1" customWidth="1"/>
    <col min="2" max="2" width="27.73046875" style="5" bestFit="1" customWidth="1"/>
    <col min="3" max="3" width="11.86328125" style="5" bestFit="1" customWidth="1"/>
    <col min="4" max="4" width="40" style="5" bestFit="1" customWidth="1"/>
    <col min="5" max="5" width="11.86328125" style="5" bestFit="1" customWidth="1"/>
    <col min="6" max="6" width="13.73046875" style="5" bestFit="1" customWidth="1"/>
    <col min="7" max="7" width="11.3984375" style="5" bestFit="1" customWidth="1"/>
    <col min="8" max="8" width="39" style="5" bestFit="1" customWidth="1"/>
    <col min="9" max="9" width="16.73046875" style="5" customWidth="1"/>
    <col min="10" max="14" width="11.3984375" style="5"/>
    <col min="15" max="15" width="23.3984375" style="5" bestFit="1" customWidth="1"/>
    <col min="16" max="16384" width="11.3984375" style="5"/>
  </cols>
  <sheetData>
    <row r="1" spans="1:16" ht="43.15" thickBot="1" x14ac:dyDescent="0.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4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275</v>
      </c>
      <c r="G2" s="127">
        <v>0.43</v>
      </c>
      <c r="H2" s="128" t="s">
        <v>279</v>
      </c>
      <c r="I2" s="129">
        <v>0.25</v>
      </c>
      <c r="J2" s="100"/>
      <c r="K2" s="100"/>
      <c r="L2" s="100"/>
      <c r="M2" s="100"/>
      <c r="N2" s="100"/>
      <c r="O2" s="297" t="s">
        <v>238</v>
      </c>
      <c r="P2" s="130">
        <v>0</v>
      </c>
    </row>
    <row r="3" spans="1:16" ht="14.65" thickBot="1" x14ac:dyDescent="0.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275</v>
      </c>
      <c r="G3" s="135">
        <v>0.43</v>
      </c>
      <c r="H3" s="133" t="s">
        <v>279</v>
      </c>
      <c r="I3" s="136">
        <v>0.25</v>
      </c>
      <c r="J3" s="100"/>
      <c r="K3" s="100"/>
      <c r="L3" s="100"/>
      <c r="M3" s="100"/>
      <c r="N3" s="100"/>
      <c r="O3" s="298"/>
      <c r="P3" s="137">
        <v>0.2</v>
      </c>
    </row>
    <row r="4" spans="1:16" ht="14.65" thickBot="1" x14ac:dyDescent="0.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275</v>
      </c>
      <c r="G4" s="135">
        <v>0.43</v>
      </c>
      <c r="H4" s="133" t="s">
        <v>279</v>
      </c>
      <c r="I4" s="136">
        <v>0.25</v>
      </c>
      <c r="J4" s="100"/>
      <c r="K4" s="100"/>
      <c r="L4" s="100"/>
      <c r="M4" s="100"/>
      <c r="N4" s="100"/>
    </row>
    <row r="5" spans="1:16" x14ac:dyDescent="0.4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275</v>
      </c>
      <c r="G5" s="135">
        <v>0.43</v>
      </c>
      <c r="H5" s="133" t="s">
        <v>279</v>
      </c>
      <c r="I5" s="136">
        <v>0.25</v>
      </c>
      <c r="J5" s="100"/>
      <c r="K5" s="100"/>
      <c r="L5" s="100"/>
      <c r="M5" s="100"/>
      <c r="N5" s="100"/>
      <c r="O5" s="297" t="s">
        <v>237</v>
      </c>
      <c r="P5" s="130">
        <v>0</v>
      </c>
    </row>
    <row r="6" spans="1:16" x14ac:dyDescent="0.4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275</v>
      </c>
      <c r="G6" s="135">
        <v>0.43</v>
      </c>
      <c r="H6" s="133" t="s">
        <v>279</v>
      </c>
      <c r="I6" s="136">
        <v>0.25</v>
      </c>
      <c r="J6" s="100"/>
      <c r="K6" s="100"/>
      <c r="L6" s="100"/>
      <c r="M6" s="100"/>
      <c r="N6" s="100"/>
      <c r="O6" s="299"/>
      <c r="P6" s="138">
        <v>0.05</v>
      </c>
    </row>
    <row r="7" spans="1:16" x14ac:dyDescent="0.4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275</v>
      </c>
      <c r="G7" s="135">
        <v>0.43</v>
      </c>
      <c r="H7" s="133" t="s">
        <v>279</v>
      </c>
      <c r="I7" s="136">
        <v>0.25</v>
      </c>
      <c r="J7" s="100"/>
      <c r="K7" s="100"/>
      <c r="L7" s="100"/>
      <c r="M7" s="100"/>
      <c r="N7" s="100"/>
      <c r="O7" s="299"/>
      <c r="P7" s="138">
        <v>0.1</v>
      </c>
    </row>
    <row r="8" spans="1:16" ht="14.65" thickBot="1" x14ac:dyDescent="0.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275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298"/>
      <c r="P8" s="137">
        <v>0.15</v>
      </c>
    </row>
    <row r="9" spans="1:16" ht="14.65" thickBot="1" x14ac:dyDescent="0.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275</v>
      </c>
      <c r="G9" s="135">
        <v>0.43</v>
      </c>
      <c r="H9" s="133" t="s">
        <v>279</v>
      </c>
      <c r="I9" s="136">
        <v>0.25</v>
      </c>
      <c r="J9" s="100"/>
      <c r="K9" s="100"/>
      <c r="L9" s="100"/>
      <c r="M9" s="100"/>
      <c r="N9" s="100"/>
    </row>
    <row r="10" spans="1:16" x14ac:dyDescent="0.4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275</v>
      </c>
      <c r="G10" s="135">
        <v>0.43</v>
      </c>
      <c r="H10" s="133" t="s">
        <v>279</v>
      </c>
      <c r="I10" s="136">
        <v>0.25</v>
      </c>
      <c r="J10" s="100"/>
      <c r="K10" s="100"/>
      <c r="L10" s="100"/>
      <c r="M10" s="100"/>
      <c r="N10" s="100"/>
      <c r="O10" s="297" t="s">
        <v>236</v>
      </c>
      <c r="P10" s="130">
        <v>0</v>
      </c>
    </row>
    <row r="11" spans="1:16" ht="14.65" thickBot="1" x14ac:dyDescent="0.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275</v>
      </c>
      <c r="G11" s="135">
        <v>0.43</v>
      </c>
      <c r="H11" s="133" t="s">
        <v>279</v>
      </c>
      <c r="I11" s="136">
        <v>0.25</v>
      </c>
      <c r="J11" s="100"/>
      <c r="K11" s="100"/>
      <c r="L11" s="100"/>
      <c r="M11" s="100"/>
      <c r="N11" s="100"/>
      <c r="O11" s="298"/>
      <c r="P11" s="137">
        <v>0.1</v>
      </c>
    </row>
    <row r="12" spans="1:16" x14ac:dyDescent="0.4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275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4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275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4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275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4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275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4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275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4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275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4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275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4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275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4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275</v>
      </c>
      <c r="G20" s="135">
        <v>0.43</v>
      </c>
      <c r="H20" s="133" t="s">
        <v>283</v>
      </c>
      <c r="I20" s="136">
        <v>0.25</v>
      </c>
      <c r="J20" s="100"/>
      <c r="K20" s="100"/>
      <c r="L20" s="100"/>
      <c r="M20" s="100"/>
      <c r="N20" s="100"/>
    </row>
    <row r="21" spans="1:14" x14ac:dyDescent="0.4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275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4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275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4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275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4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275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4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275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4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275</v>
      </c>
      <c r="G26" s="135">
        <v>0.53</v>
      </c>
      <c r="H26" s="133" t="s">
        <v>276</v>
      </c>
      <c r="I26" s="136">
        <v>0.25</v>
      </c>
      <c r="J26" s="100"/>
      <c r="K26" s="100"/>
      <c r="L26" s="100"/>
      <c r="M26" s="100"/>
      <c r="N26" s="100"/>
    </row>
    <row r="27" spans="1:14" x14ac:dyDescent="0.4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275</v>
      </c>
      <c r="G27" s="135">
        <v>0.53</v>
      </c>
      <c r="H27" s="133" t="s">
        <v>276</v>
      </c>
      <c r="I27" s="136">
        <v>0.25</v>
      </c>
      <c r="J27" s="100"/>
      <c r="K27" s="100"/>
      <c r="L27" s="100"/>
      <c r="M27" s="100"/>
      <c r="N27" s="100"/>
    </row>
    <row r="28" spans="1:14" x14ac:dyDescent="0.4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275</v>
      </c>
      <c r="G28" s="135">
        <v>0.53</v>
      </c>
      <c r="H28" s="133" t="s">
        <v>276</v>
      </c>
      <c r="I28" s="136">
        <v>0.25</v>
      </c>
      <c r="J28" s="100"/>
      <c r="K28" s="100"/>
      <c r="L28" s="100"/>
      <c r="M28" s="100"/>
      <c r="N28" s="100"/>
    </row>
    <row r="29" spans="1:14" x14ac:dyDescent="0.4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275</v>
      </c>
      <c r="G29" s="135">
        <v>0.53</v>
      </c>
      <c r="H29" s="133" t="s">
        <v>276</v>
      </c>
      <c r="I29" s="136">
        <v>0.25</v>
      </c>
      <c r="J29" s="100"/>
      <c r="K29" s="100"/>
      <c r="L29" s="100"/>
      <c r="M29" s="100"/>
      <c r="N29" s="100"/>
    </row>
    <row r="30" spans="1:14" x14ac:dyDescent="0.4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275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4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275</v>
      </c>
      <c r="G31" s="135">
        <v>0.43</v>
      </c>
      <c r="H31" s="133" t="s">
        <v>279</v>
      </c>
      <c r="I31" s="136">
        <v>0.25</v>
      </c>
      <c r="J31" s="100"/>
      <c r="K31" s="100"/>
      <c r="L31" s="100"/>
      <c r="M31" s="100"/>
      <c r="N31" s="100"/>
    </row>
    <row r="32" spans="1:14" x14ac:dyDescent="0.4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275</v>
      </c>
      <c r="G32" s="135">
        <v>0.6</v>
      </c>
      <c r="H32" s="133" t="s">
        <v>282</v>
      </c>
      <c r="I32" s="136">
        <v>0.43</v>
      </c>
      <c r="J32" s="100"/>
      <c r="K32" s="100"/>
      <c r="L32" s="100"/>
      <c r="M32" s="100"/>
      <c r="N32" s="100"/>
    </row>
    <row r="33" spans="1:14" x14ac:dyDescent="0.4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275</v>
      </c>
      <c r="G33" s="135">
        <v>0.6</v>
      </c>
      <c r="H33" s="133" t="s">
        <v>282</v>
      </c>
      <c r="I33" s="136">
        <v>0.43</v>
      </c>
      <c r="J33" s="100"/>
      <c r="K33" s="100"/>
      <c r="L33" s="100"/>
      <c r="M33" s="100"/>
      <c r="N33" s="100"/>
    </row>
    <row r="34" spans="1:14" x14ac:dyDescent="0.4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275</v>
      </c>
      <c r="G34" s="135">
        <v>0.6</v>
      </c>
      <c r="H34" s="132" t="s">
        <v>281</v>
      </c>
      <c r="I34" s="136">
        <v>0.43</v>
      </c>
      <c r="J34" s="100"/>
      <c r="K34" s="100"/>
      <c r="L34" s="100"/>
      <c r="M34" s="100"/>
      <c r="N34" s="100"/>
    </row>
    <row r="35" spans="1:14" x14ac:dyDescent="0.4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275</v>
      </c>
      <c r="G35" s="135">
        <v>0.43</v>
      </c>
      <c r="H35" s="133" t="s">
        <v>279</v>
      </c>
      <c r="I35" s="136">
        <v>0.25</v>
      </c>
      <c r="J35" s="100"/>
      <c r="K35" s="100"/>
      <c r="L35" s="100"/>
      <c r="M35" s="100"/>
      <c r="N35" s="100"/>
    </row>
    <row r="36" spans="1:14" x14ac:dyDescent="0.4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275</v>
      </c>
      <c r="G36" s="135">
        <v>0.53</v>
      </c>
      <c r="H36" s="133" t="s">
        <v>276</v>
      </c>
      <c r="I36" s="136">
        <v>0.25</v>
      </c>
      <c r="J36" s="100"/>
      <c r="K36" s="100"/>
      <c r="L36" s="100"/>
      <c r="M36" s="100"/>
      <c r="N36" s="100"/>
    </row>
    <row r="37" spans="1:14" x14ac:dyDescent="0.4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275</v>
      </c>
      <c r="G37" s="135">
        <v>0.53</v>
      </c>
      <c r="H37" s="133" t="s">
        <v>276</v>
      </c>
      <c r="I37" s="136">
        <v>0.25</v>
      </c>
      <c r="J37" s="100"/>
      <c r="K37" s="100"/>
      <c r="L37" s="100"/>
      <c r="M37" s="100"/>
      <c r="N37" s="100"/>
    </row>
    <row r="38" spans="1:14" x14ac:dyDescent="0.4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275</v>
      </c>
      <c r="G38" s="135">
        <v>0.43</v>
      </c>
      <c r="H38" s="133" t="s">
        <v>279</v>
      </c>
      <c r="I38" s="136">
        <v>0.25</v>
      </c>
      <c r="J38" s="100"/>
      <c r="K38" s="100"/>
      <c r="L38" s="100"/>
      <c r="M38" s="100"/>
      <c r="N38" s="100"/>
    </row>
    <row r="39" spans="1:14" x14ac:dyDescent="0.4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275</v>
      </c>
      <c r="G39" s="135">
        <v>0.6</v>
      </c>
      <c r="H39" s="133" t="s">
        <v>284</v>
      </c>
      <c r="I39" s="136">
        <v>1.03</v>
      </c>
      <c r="J39" s="100"/>
      <c r="K39" s="100"/>
      <c r="L39" s="100"/>
      <c r="M39" s="100"/>
      <c r="N39" s="100"/>
    </row>
    <row r="40" spans="1:14" x14ac:dyDescent="0.4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275</v>
      </c>
      <c r="G40" s="135">
        <v>0.6</v>
      </c>
      <c r="H40" s="133" t="s">
        <v>284</v>
      </c>
      <c r="I40" s="136">
        <v>1.03</v>
      </c>
      <c r="J40" s="100"/>
      <c r="K40" s="100"/>
      <c r="L40" s="100"/>
      <c r="M40" s="100"/>
      <c r="N40" s="100"/>
    </row>
    <row r="41" spans="1:14" x14ac:dyDescent="0.4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275</v>
      </c>
      <c r="G41" s="135">
        <v>0.6</v>
      </c>
      <c r="H41" s="133" t="s">
        <v>284</v>
      </c>
      <c r="I41" s="136">
        <v>1.03</v>
      </c>
      <c r="J41" s="100"/>
      <c r="K41" s="100"/>
      <c r="L41" s="100"/>
      <c r="M41" s="100"/>
      <c r="N41" s="100"/>
    </row>
    <row r="42" spans="1:14" x14ac:dyDescent="0.4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275</v>
      </c>
      <c r="G42" s="135">
        <v>0.6</v>
      </c>
      <c r="H42" s="133" t="s">
        <v>284</v>
      </c>
      <c r="I42" s="136">
        <v>1.03</v>
      </c>
      <c r="J42" s="100"/>
      <c r="K42" s="100"/>
      <c r="L42" s="100"/>
      <c r="M42" s="100"/>
      <c r="N42" s="100"/>
    </row>
    <row r="43" spans="1:14" x14ac:dyDescent="0.4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275</v>
      </c>
      <c r="G43" s="135">
        <v>0.6</v>
      </c>
      <c r="H43" s="133" t="s">
        <v>284</v>
      </c>
      <c r="I43" s="136">
        <v>1.03</v>
      </c>
      <c r="J43" s="100"/>
      <c r="K43" s="100"/>
      <c r="L43" s="100"/>
      <c r="M43" s="100"/>
      <c r="N43" s="100"/>
    </row>
    <row r="44" spans="1:14" x14ac:dyDescent="0.4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275</v>
      </c>
      <c r="G44" s="135">
        <v>0.6</v>
      </c>
      <c r="H44" s="133" t="s">
        <v>284</v>
      </c>
      <c r="I44" s="136">
        <v>1.03</v>
      </c>
      <c r="J44" s="100"/>
      <c r="K44" s="100"/>
      <c r="L44" s="100"/>
      <c r="M44" s="100"/>
      <c r="N44" s="100"/>
    </row>
    <row r="45" spans="1:14" x14ac:dyDescent="0.4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275</v>
      </c>
      <c r="G45" s="135">
        <v>0.6</v>
      </c>
      <c r="H45" s="133" t="s">
        <v>284</v>
      </c>
      <c r="I45" s="136">
        <v>1.03</v>
      </c>
      <c r="J45" s="100"/>
      <c r="K45" s="100"/>
      <c r="L45" s="100"/>
      <c r="M45" s="100"/>
      <c r="N45" s="100"/>
    </row>
    <row r="46" spans="1:14" x14ac:dyDescent="0.4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275</v>
      </c>
      <c r="G46" s="135">
        <v>0.6</v>
      </c>
      <c r="H46" s="133" t="s">
        <v>284</v>
      </c>
      <c r="I46" s="136">
        <v>1.03</v>
      </c>
      <c r="J46" s="100"/>
      <c r="K46" s="100"/>
      <c r="L46" s="100"/>
      <c r="M46" s="100"/>
      <c r="N46" s="100"/>
    </row>
    <row r="47" spans="1:14" x14ac:dyDescent="0.4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275</v>
      </c>
      <c r="G47" s="135">
        <v>0.6</v>
      </c>
      <c r="H47" s="133" t="s">
        <v>284</v>
      </c>
      <c r="I47" s="136">
        <v>1.03</v>
      </c>
      <c r="J47" s="100"/>
      <c r="K47" s="100"/>
      <c r="L47" s="100"/>
      <c r="M47" s="100"/>
      <c r="N47" s="100"/>
    </row>
    <row r="48" spans="1:14" x14ac:dyDescent="0.4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275</v>
      </c>
      <c r="G48" s="135">
        <v>0.6</v>
      </c>
      <c r="H48" s="133" t="s">
        <v>284</v>
      </c>
      <c r="I48" s="136">
        <v>1.03</v>
      </c>
      <c r="J48" s="100"/>
      <c r="K48" s="100"/>
      <c r="L48" s="100"/>
      <c r="M48" s="100"/>
      <c r="N48" s="100"/>
    </row>
    <row r="49" spans="1:14" x14ac:dyDescent="0.4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275</v>
      </c>
      <c r="G49" s="135">
        <v>0.6</v>
      </c>
      <c r="H49" s="133" t="s">
        <v>284</v>
      </c>
      <c r="I49" s="136">
        <v>1.03</v>
      </c>
      <c r="J49" s="100"/>
      <c r="K49" s="100"/>
      <c r="L49" s="100"/>
      <c r="M49" s="100"/>
      <c r="N49" s="100"/>
    </row>
    <row r="50" spans="1:14" x14ac:dyDescent="0.4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275</v>
      </c>
      <c r="G50" s="135">
        <v>0.6</v>
      </c>
      <c r="H50" s="133" t="s">
        <v>284</v>
      </c>
      <c r="I50" s="136">
        <v>1.03</v>
      </c>
      <c r="J50" s="100"/>
      <c r="K50" s="100"/>
      <c r="L50" s="100"/>
      <c r="M50" s="100"/>
      <c r="N50" s="100"/>
    </row>
    <row r="51" spans="1:14" x14ac:dyDescent="0.4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275</v>
      </c>
      <c r="G51" s="135">
        <v>0.6</v>
      </c>
      <c r="H51" s="133" t="s">
        <v>284</v>
      </c>
      <c r="I51" s="136">
        <v>1.03</v>
      </c>
      <c r="J51" s="100"/>
      <c r="K51" s="100"/>
      <c r="L51" s="100"/>
      <c r="M51" s="100"/>
      <c r="N51" s="100"/>
    </row>
    <row r="52" spans="1:14" x14ac:dyDescent="0.4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275</v>
      </c>
      <c r="G52" s="135">
        <v>0.6</v>
      </c>
      <c r="H52" s="133" t="s">
        <v>284</v>
      </c>
      <c r="I52" s="136">
        <v>1.03</v>
      </c>
      <c r="J52" s="100"/>
      <c r="K52" s="100"/>
      <c r="L52" s="100"/>
      <c r="M52" s="100"/>
      <c r="N52" s="100"/>
    </row>
    <row r="53" spans="1:14" x14ac:dyDescent="0.4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275</v>
      </c>
      <c r="G53" s="135">
        <v>0.6</v>
      </c>
      <c r="H53" s="133" t="s">
        <v>284</v>
      </c>
      <c r="I53" s="136">
        <v>1.03</v>
      </c>
      <c r="J53" s="100"/>
      <c r="K53" s="100"/>
      <c r="L53" s="100"/>
      <c r="M53" s="100"/>
      <c r="N53" s="100"/>
    </row>
    <row r="54" spans="1:14" x14ac:dyDescent="0.4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275</v>
      </c>
      <c r="G54" s="135">
        <v>0.6</v>
      </c>
      <c r="H54" s="133" t="s">
        <v>284</v>
      </c>
      <c r="I54" s="136">
        <v>1.03</v>
      </c>
      <c r="J54" s="100"/>
      <c r="K54" s="100"/>
      <c r="L54" s="100"/>
      <c r="M54" s="100"/>
      <c r="N54" s="100"/>
    </row>
    <row r="55" spans="1:14" x14ac:dyDescent="0.4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275</v>
      </c>
      <c r="G55" s="135">
        <v>0.6</v>
      </c>
      <c r="H55" s="133" t="s">
        <v>284</v>
      </c>
      <c r="I55" s="136">
        <v>1.03</v>
      </c>
      <c r="J55" s="100"/>
      <c r="K55" s="100"/>
      <c r="L55" s="100"/>
      <c r="M55" s="100"/>
      <c r="N55" s="100"/>
    </row>
    <row r="56" spans="1:14" x14ac:dyDescent="0.4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275</v>
      </c>
      <c r="G56" s="135">
        <v>0.6</v>
      </c>
      <c r="H56" s="133" t="s">
        <v>284</v>
      </c>
      <c r="I56" s="136">
        <v>1.03</v>
      </c>
      <c r="J56" s="100"/>
      <c r="K56" s="100"/>
      <c r="L56" s="100"/>
      <c r="M56" s="100"/>
      <c r="N56" s="100"/>
    </row>
    <row r="57" spans="1:14" x14ac:dyDescent="0.4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275</v>
      </c>
      <c r="G57" s="135">
        <v>0.6</v>
      </c>
      <c r="H57" s="133" t="s">
        <v>284</v>
      </c>
      <c r="I57" s="136">
        <v>1.03</v>
      </c>
      <c r="J57" s="100"/>
      <c r="K57" s="100"/>
      <c r="L57" s="100"/>
      <c r="M57" s="100"/>
      <c r="N57" s="100"/>
    </row>
    <row r="58" spans="1:14" x14ac:dyDescent="0.4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275</v>
      </c>
      <c r="G58" s="135">
        <v>0.6</v>
      </c>
      <c r="H58" s="133" t="s">
        <v>284</v>
      </c>
      <c r="I58" s="136">
        <v>1.03</v>
      </c>
      <c r="J58" s="100"/>
      <c r="K58" s="100"/>
      <c r="L58" s="100"/>
      <c r="M58" s="100"/>
      <c r="N58" s="100"/>
    </row>
    <row r="59" spans="1:14" x14ac:dyDescent="0.4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275</v>
      </c>
      <c r="G59" s="135">
        <v>0.6</v>
      </c>
      <c r="H59" s="133" t="s">
        <v>284</v>
      </c>
      <c r="I59" s="136">
        <v>1.03</v>
      </c>
      <c r="J59" s="100"/>
      <c r="K59" s="100"/>
      <c r="L59" s="100"/>
      <c r="M59" s="100"/>
      <c r="N59" s="100"/>
    </row>
    <row r="60" spans="1:14" x14ac:dyDescent="0.4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275</v>
      </c>
      <c r="G60" s="135">
        <v>0.6</v>
      </c>
      <c r="H60" s="133" t="s">
        <v>284</v>
      </c>
      <c r="I60" s="136">
        <v>1.03</v>
      </c>
      <c r="J60" s="100"/>
      <c r="K60" s="100"/>
      <c r="L60" s="100"/>
      <c r="M60" s="100"/>
      <c r="N60" s="100"/>
    </row>
    <row r="61" spans="1:14" x14ac:dyDescent="0.4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275</v>
      </c>
      <c r="G61" s="135">
        <v>0.6</v>
      </c>
      <c r="H61" s="133" t="s">
        <v>284</v>
      </c>
      <c r="I61" s="136">
        <v>1.03</v>
      </c>
      <c r="J61" s="100"/>
      <c r="K61" s="100"/>
      <c r="L61" s="100"/>
      <c r="M61" s="100"/>
      <c r="N61" s="100"/>
    </row>
    <row r="62" spans="1:14" x14ac:dyDescent="0.4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275</v>
      </c>
      <c r="G62" s="135">
        <v>0.6</v>
      </c>
      <c r="H62" s="133" t="s">
        <v>284</v>
      </c>
      <c r="I62" s="136">
        <v>1.03</v>
      </c>
      <c r="J62" s="100"/>
      <c r="K62" s="100"/>
      <c r="L62" s="100"/>
      <c r="M62" s="100"/>
      <c r="N62" s="100"/>
    </row>
    <row r="63" spans="1:14" x14ac:dyDescent="0.4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275</v>
      </c>
      <c r="G63" s="135">
        <v>0.45</v>
      </c>
      <c r="H63" s="133" t="s">
        <v>277</v>
      </c>
      <c r="I63" s="136">
        <v>0.43</v>
      </c>
      <c r="J63" s="100"/>
      <c r="K63" s="100"/>
      <c r="L63" s="100"/>
      <c r="M63" s="100"/>
      <c r="N63" s="100"/>
    </row>
    <row r="64" spans="1:14" x14ac:dyDescent="0.4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275</v>
      </c>
      <c r="G64" s="135">
        <v>0.45</v>
      </c>
      <c r="H64" s="133" t="s">
        <v>277</v>
      </c>
      <c r="I64" s="136">
        <v>0.43</v>
      </c>
      <c r="J64" s="100"/>
      <c r="K64" s="100"/>
      <c r="L64" s="100"/>
      <c r="M64" s="100"/>
      <c r="N64" s="100"/>
    </row>
    <row r="65" spans="1:14" x14ac:dyDescent="0.4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275</v>
      </c>
      <c r="G65" s="135">
        <v>0.45</v>
      </c>
      <c r="H65" s="133" t="s">
        <v>277</v>
      </c>
      <c r="I65" s="136">
        <v>0.43</v>
      </c>
      <c r="J65" s="100"/>
      <c r="K65" s="100"/>
      <c r="L65" s="100"/>
      <c r="M65" s="100"/>
      <c r="N65" s="100"/>
    </row>
    <row r="66" spans="1:14" x14ac:dyDescent="0.4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275</v>
      </c>
      <c r="G66" s="135">
        <v>0.45</v>
      </c>
      <c r="H66" s="133" t="s">
        <v>277</v>
      </c>
      <c r="I66" s="136">
        <v>0.43</v>
      </c>
      <c r="J66" s="100"/>
      <c r="K66" s="100"/>
      <c r="L66" s="100"/>
      <c r="M66" s="100"/>
      <c r="N66" s="100"/>
    </row>
    <row r="67" spans="1:14" x14ac:dyDescent="0.4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275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4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275</v>
      </c>
      <c r="G68" s="135">
        <v>0.45</v>
      </c>
      <c r="H68" s="133" t="s">
        <v>277</v>
      </c>
      <c r="I68" s="136">
        <v>0.43</v>
      </c>
      <c r="J68" s="100"/>
      <c r="K68" s="100"/>
      <c r="L68" s="100"/>
      <c r="M68" s="100"/>
      <c r="N68" s="100"/>
    </row>
    <row r="69" spans="1:14" x14ac:dyDescent="0.4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275</v>
      </c>
      <c r="G69" s="135">
        <v>0.45</v>
      </c>
      <c r="H69" s="133" t="s">
        <v>277</v>
      </c>
      <c r="I69" s="136">
        <v>0.43</v>
      </c>
      <c r="J69" s="100"/>
      <c r="K69" s="100"/>
      <c r="L69" s="100"/>
      <c r="M69" s="100"/>
      <c r="N69" s="100"/>
    </row>
    <row r="70" spans="1:14" x14ac:dyDescent="0.4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285</v>
      </c>
      <c r="G70" s="135">
        <v>0.45</v>
      </c>
      <c r="H70" s="133" t="s">
        <v>277</v>
      </c>
      <c r="I70" s="136">
        <v>0.43</v>
      </c>
      <c r="J70" s="100"/>
      <c r="K70" s="100"/>
      <c r="L70" s="100"/>
      <c r="M70" s="100"/>
      <c r="N70" s="100"/>
    </row>
    <row r="71" spans="1:14" x14ac:dyDescent="0.4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275</v>
      </c>
      <c r="G71" s="135">
        <v>0.45</v>
      </c>
      <c r="H71" s="133" t="s">
        <v>277</v>
      </c>
      <c r="I71" s="136">
        <v>0.43</v>
      </c>
      <c r="J71" s="100"/>
      <c r="K71" s="100"/>
      <c r="L71" s="100"/>
      <c r="M71" s="100"/>
      <c r="N71" s="100"/>
    </row>
    <row r="72" spans="1:14" x14ac:dyDescent="0.4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275</v>
      </c>
      <c r="G72" s="135">
        <v>0.45</v>
      </c>
      <c r="H72" s="133" t="s">
        <v>277</v>
      </c>
      <c r="I72" s="136">
        <v>0.43</v>
      </c>
      <c r="J72" s="100"/>
      <c r="K72" s="100"/>
      <c r="L72" s="100"/>
      <c r="M72" s="100"/>
      <c r="N72" s="100"/>
    </row>
    <row r="73" spans="1:14" x14ac:dyDescent="0.4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275</v>
      </c>
      <c r="G73" s="135">
        <v>0.45</v>
      </c>
      <c r="H73" s="133" t="s">
        <v>277</v>
      </c>
      <c r="I73" s="136">
        <v>0.43</v>
      </c>
      <c r="J73" s="100"/>
      <c r="K73" s="100"/>
      <c r="L73" s="100"/>
      <c r="M73" s="100"/>
      <c r="N73" s="100"/>
    </row>
    <row r="74" spans="1:14" x14ac:dyDescent="0.4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275</v>
      </c>
      <c r="G74" s="135">
        <v>0.45</v>
      </c>
      <c r="H74" s="133" t="s">
        <v>277</v>
      </c>
      <c r="I74" s="136">
        <v>0.43</v>
      </c>
      <c r="J74" s="100"/>
      <c r="K74" s="100"/>
      <c r="L74" s="100"/>
      <c r="M74" s="100"/>
      <c r="N74" s="100"/>
    </row>
    <row r="75" spans="1:14" x14ac:dyDescent="0.4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275</v>
      </c>
      <c r="G75" s="135">
        <v>0.53</v>
      </c>
      <c r="H75" s="133" t="s">
        <v>276</v>
      </c>
      <c r="I75" s="136">
        <v>0.25</v>
      </c>
      <c r="J75" s="100"/>
      <c r="K75" s="100"/>
      <c r="L75" s="100"/>
      <c r="M75" s="100"/>
      <c r="N75" s="100"/>
    </row>
    <row r="76" spans="1:14" x14ac:dyDescent="0.4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275</v>
      </c>
      <c r="G76" s="135">
        <v>0.3</v>
      </c>
      <c r="H76" s="133" t="s">
        <v>278</v>
      </c>
      <c r="I76" s="136">
        <v>0.25</v>
      </c>
      <c r="J76" s="100"/>
      <c r="K76" s="100"/>
      <c r="L76" s="100"/>
      <c r="M76" s="100"/>
      <c r="N76" s="100"/>
    </row>
    <row r="77" spans="1:14" x14ac:dyDescent="0.4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275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4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275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4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275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4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275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4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275</v>
      </c>
      <c r="G81" s="135">
        <v>0.43</v>
      </c>
      <c r="H81" s="133" t="s">
        <v>279</v>
      </c>
      <c r="I81" s="136">
        <v>0.25</v>
      </c>
      <c r="J81" s="100"/>
      <c r="K81" s="100"/>
      <c r="L81" s="100"/>
      <c r="M81" s="100"/>
      <c r="N81" s="100"/>
    </row>
    <row r="82" spans="1:14" x14ac:dyDescent="0.4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275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4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275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4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275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4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275</v>
      </c>
      <c r="G85" s="135">
        <v>0.53</v>
      </c>
      <c r="H85" s="133" t="s">
        <v>276</v>
      </c>
      <c r="I85" s="136">
        <v>0.25</v>
      </c>
      <c r="J85" s="100"/>
      <c r="K85" s="100"/>
      <c r="L85" s="100"/>
      <c r="M85" s="100"/>
      <c r="N85" s="100"/>
    </row>
    <row r="86" spans="1:14" x14ac:dyDescent="0.4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275</v>
      </c>
      <c r="G86" s="135">
        <v>0.6</v>
      </c>
      <c r="H86" s="133" t="s">
        <v>280</v>
      </c>
      <c r="I86" s="136">
        <v>0.25</v>
      </c>
      <c r="J86" s="100"/>
      <c r="K86" s="100"/>
      <c r="L86" s="100"/>
      <c r="M86" s="100"/>
      <c r="N86" s="100"/>
    </row>
    <row r="87" spans="1:14" x14ac:dyDescent="0.45">
      <c r="A87" s="131" t="s">
        <v>148</v>
      </c>
      <c r="B87" s="139"/>
      <c r="C87" s="133">
        <v>0.42</v>
      </c>
      <c r="D87" s="133" t="s">
        <v>161</v>
      </c>
      <c r="E87" s="133">
        <v>1.3</v>
      </c>
      <c r="F87" s="134" t="s">
        <v>275</v>
      </c>
      <c r="G87" s="140"/>
      <c r="H87" s="139"/>
      <c r="I87" s="141"/>
    </row>
    <row r="88" spans="1:14" ht="14.65" thickBot="1" x14ac:dyDescent="0.5">
      <c r="A88" s="142" t="s">
        <v>149</v>
      </c>
      <c r="B88" s="143"/>
      <c r="C88" s="144">
        <v>0.56999999999999995</v>
      </c>
      <c r="D88" s="145" t="s">
        <v>161</v>
      </c>
      <c r="E88" s="144">
        <v>1.56</v>
      </c>
      <c r="F88" s="144" t="s">
        <v>275</v>
      </c>
      <c r="G88" s="143"/>
      <c r="H88" s="143"/>
      <c r="I88" s="146"/>
    </row>
    <row r="92" spans="1:14" x14ac:dyDescent="0.45">
      <c r="A92" s="131" t="s">
        <v>208</v>
      </c>
    </row>
    <row r="93" spans="1:14" x14ac:dyDescent="0.45">
      <c r="A93" s="131" t="s">
        <v>209</v>
      </c>
    </row>
    <row r="94" spans="1:14" x14ac:dyDescent="0.45">
      <c r="A94" s="131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zoomScale="90" zoomScaleNormal="90" workbookViewId="0">
      <selection activeCell="E8" sqref="E8"/>
    </sheetView>
  </sheetViews>
  <sheetFormatPr baseColWidth="10" defaultColWidth="11.3984375" defaultRowHeight="14.25" x14ac:dyDescent="0.45"/>
  <cols>
    <col min="1" max="1" width="22.86328125" style="1" bestFit="1" customWidth="1"/>
    <col min="2" max="2" width="10.59765625" style="1" bestFit="1" customWidth="1"/>
    <col min="3" max="3" width="15.59765625" style="1" bestFit="1" customWidth="1"/>
    <col min="4" max="4" width="13.3984375" style="1" bestFit="1" customWidth="1"/>
    <col min="5" max="8" width="11.3984375" style="1"/>
    <col min="9" max="13" width="11.3984375" style="64"/>
    <col min="14" max="15" width="11.3984375" style="1"/>
    <col min="16" max="17" width="13.3984375" style="1" customWidth="1"/>
    <col min="18" max="16384" width="11.3984375" style="1"/>
  </cols>
  <sheetData>
    <row r="1" spans="1:62" ht="14.65" thickBot="1" x14ac:dyDescent="0.5">
      <c r="A1" s="5"/>
      <c r="B1" s="5"/>
      <c r="C1" s="5"/>
      <c r="D1" s="5"/>
      <c r="E1" s="5"/>
      <c r="F1" s="5"/>
      <c r="G1" s="5"/>
      <c r="H1" s="5"/>
      <c r="I1" s="70"/>
      <c r="J1" s="70"/>
      <c r="K1" s="70"/>
      <c r="L1" s="70"/>
      <c r="M1" s="70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5.9" thickBot="1" x14ac:dyDescent="0.8">
      <c r="A2" s="288" t="s">
        <v>272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9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45">
      <c r="A3" s="25"/>
      <c r="B3" s="25"/>
      <c r="C3" s="25"/>
      <c r="D3" s="25"/>
      <c r="E3" s="25"/>
      <c r="F3" s="25"/>
      <c r="G3" s="25"/>
      <c r="H3" s="25"/>
      <c r="I3" s="243"/>
      <c r="J3" s="243"/>
      <c r="K3" s="243"/>
      <c r="L3" s="243"/>
      <c r="M3" s="243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4.65" thickBot="1" x14ac:dyDescent="0.5">
      <c r="A4" s="25"/>
      <c r="B4" s="25"/>
      <c r="C4" s="25"/>
      <c r="D4" s="25"/>
      <c r="E4" s="25"/>
      <c r="F4" s="25"/>
      <c r="G4" s="25"/>
      <c r="H4" s="25"/>
      <c r="I4" s="243"/>
      <c r="J4" s="243"/>
      <c r="K4" s="243"/>
      <c r="L4" s="243"/>
      <c r="M4" s="243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7.4" thickBot="1" x14ac:dyDescent="0.5">
      <c r="A5" s="147" t="s">
        <v>207</v>
      </c>
      <c r="B5" s="148" t="s">
        <v>250</v>
      </c>
      <c r="C5" s="149" t="str">
        <f>Calculateur!S2</f>
        <v>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89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45">
      <c r="A6" s="154" t="str">
        <f>IF('Données projet'!$B$9="","",'Données projet'!$B$9)</f>
        <v>Pin laricio</v>
      </c>
      <c r="B6" s="155">
        <f>'Données projet'!D9</f>
        <v>5.1852</v>
      </c>
      <c r="C6" s="156">
        <f ca="1">IF(OR('Données projet'!B9="",'Données projet'!C9="",'Données projet'!C9=0%),0,Calculateur!S3)</f>
        <v>445.53168057836308</v>
      </c>
      <c r="D6" s="156">
        <f>IF(OR('Données projet'!B9="",'Données projet'!C9="",'Données projet'!C9=0%),0,Calculateur!T3)</f>
        <v>326.78684646135241</v>
      </c>
      <c r="E6" s="156">
        <f ca="1">MIN(C6,D6)</f>
        <v>326.78684646135241</v>
      </c>
      <c r="F6" s="156">
        <f ca="1">E6*B6</f>
        <v>1694.4551562714046</v>
      </c>
      <c r="G6" s="156">
        <f ca="1">F6*(100%-'Données projet'!$C$24)*(100%-'Données projet'!$C$25)*(100%-'Données projet'!$C$26)*(100%-'Données projet'!$C$27)</f>
        <v>1525.0096406442642</v>
      </c>
      <c r="H6" s="157">
        <f>IF(OR('Données projet'!B9="",'Données projet'!C9="",'Données projet'!C9=0%),0,AVERAGE(Calculateur!$AC$3:$AC$33)*B6)</f>
        <v>10.819580513685697</v>
      </c>
      <c r="I6" s="158">
        <f>H6*(100%-'Données projet'!$C$24)*(100%-'Données projet'!$C$25)*(100%-'Données projet'!$C$26)*(100%-'Données projet'!$C$27)</f>
        <v>9.7376224623171268</v>
      </c>
      <c r="J6" s="159">
        <f>IF(OR('Données projet'!B9="",'Données projet'!C9="",'Données projet'!C9=0%),0,SUM(Calculateur!$V$3:$V$33)*VLOOKUP('Données projet'!$B$9,Paramètres!$A$1:$I$88,9,0)*B6)</f>
        <v>167.2227</v>
      </c>
      <c r="K6" s="160">
        <f>J6*(100%-'Données projet'!$C$24)*(100%-'Données projet'!$C$25)*(100%-'Données projet'!$C$26)*(100%-'Données projet'!$C$27)</f>
        <v>150.50042999999999</v>
      </c>
      <c r="L6" s="161">
        <f ca="1">G6+I6+K6</f>
        <v>1685.2476931065814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45">
      <c r="A7" s="162" t="str">
        <f>IF('Données projet'!$B$10="","",'Données projet'!$B$10)</f>
        <v>Cèdre de l'Atlas</v>
      </c>
      <c r="B7" s="163">
        <f>'Données projet'!D10</f>
        <v>5.1852</v>
      </c>
      <c r="C7" s="156">
        <f ca="1">IF(OR('Données projet'!B10="",'Données projet'!C10="",'Données projet'!C10=0%),0,Calculateur!AN3)</f>
        <v>375.77859820466693</v>
      </c>
      <c r="D7" s="156">
        <f>IF(OR('Données projet'!B10="",'Données projet'!C10="",'Données projet'!C10=0%),0,Calculateur!AO3)</f>
        <v>242.84781402593856</v>
      </c>
      <c r="E7" s="156">
        <f t="shared" ref="E7:E15" ca="1" si="0">MIN(C7,D7)</f>
        <v>242.84781402593856</v>
      </c>
      <c r="F7" s="156">
        <f t="shared" ref="F7:F15" ca="1" si="1">E7*B7</f>
        <v>1259.2144852872966</v>
      </c>
      <c r="G7" s="156">
        <f ca="1">F7*(100%-'Données projet'!$C$24)*(100%-'Données projet'!$C$25)*(100%-'Données projet'!$C$26)*(100%-'Données projet'!$C$27)</f>
        <v>1133.293036758567</v>
      </c>
      <c r="H7" s="164">
        <f>IF(OR('Données projet'!B10="",'Données projet'!C10="",'Données projet'!C10=0%),0,AVERAGE(Calculateur!$AX$3:$AX$33)*B7)</f>
        <v>0.98133312511126236</v>
      </c>
      <c r="I7" s="158">
        <f>H7*(100%-'Données projet'!$C$24)*(100%-'Données projet'!$C$25)*(100%-'Données projet'!$C$26)*(100%-'Données projet'!$C$27)</f>
        <v>0.88319981260013614</v>
      </c>
      <c r="J7" s="159">
        <f>IF(OR('Données projet'!B10="",'Données projet'!C10="",'Données projet'!C10=0%),0,SUM(Calculateur!$AQ$3:$AQ$33)*VLOOKUP('Données projet'!$B$10,Paramètres!$A$1:$I$88,9,0)*B7)</f>
        <v>102.56325600000001</v>
      </c>
      <c r="K7" s="160">
        <f>J7*(100%-'Données projet'!$C$24)*(100%-'Données projet'!$C$25)*(100%-'Données projet'!$C$26)*(100%-'Données projet'!$C$27)</f>
        <v>92.306930400000013</v>
      </c>
      <c r="L7" s="161">
        <f t="shared" ref="L7:L15" ca="1" si="2">G7+I7+K7</f>
        <v>1226.4831669711673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45">
      <c r="A8" s="162" t="str">
        <f>IF('Données projet'!$B$11="","",'Données projet'!$B$11)</f>
        <v>Chêne pubescent</v>
      </c>
      <c r="B8" s="163">
        <f>'Données projet'!D11</f>
        <v>1.2063999999999999</v>
      </c>
      <c r="C8" s="156">
        <f ca="1">IF(OR('Données projet'!B11="",'Données projet'!C11="",'Données projet'!C11=0%),0,Calculateur!BI3)</f>
        <v>433.57989081194</v>
      </c>
      <c r="D8" s="156">
        <f>IF(OR('Données projet'!B11="",'Données projet'!C11="",'Données projet'!C11=0%),0,Calculateur!BJ3)</f>
        <v>182.52060621271355</v>
      </c>
      <c r="E8" s="156">
        <f t="shared" ca="1" si="0"/>
        <v>182.52060621271355</v>
      </c>
      <c r="F8" s="156">
        <f t="shared" ca="1" si="1"/>
        <v>220.1928593350176</v>
      </c>
      <c r="G8" s="156">
        <f ca="1">F8*(100%-'Données projet'!$C$24)*(100%-'Données projet'!$C$25)*(100%-'Données projet'!$C$26)*(100%-'Données projet'!$C$27)</f>
        <v>198.17357340151585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projet'!$B$11,Paramètres!$A$1:$I$88,9,0)*B8)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198.17357340151585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4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projet'!$B$12,Paramètres!$A$1:$I$88,9,0)*B9)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4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projet'!$B$13,Paramètres!$A$1:$I$88,9,0)*B10)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4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projet'!$B$14,Paramètres!$A$1:$I$88,9,0)*B11)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4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projet'!$B$15,Paramètres!$A$1:$I$88,9,0)*B12)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4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projet'!$B$16,Paramètres!$A$1:$I$88,9,0)*B13)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4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projet'!$B$17,Paramètres!$A$1:$I$88,9,0)*B14)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4.65" thickBot="1" x14ac:dyDescent="0.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projet'!$B$18,Paramètres!$A$1:$I$88,9,0)*B15)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4.65" thickBot="1" x14ac:dyDescent="0.5">
      <c r="A16" s="236"/>
      <c r="B16" s="246"/>
      <c r="C16" s="247"/>
      <c r="D16" s="25"/>
      <c r="E16" s="25"/>
      <c r="F16" s="174">
        <f t="shared" ref="F16:L16" ca="1" si="3">SUM(F6:F15)</f>
        <v>3173.8625008937188</v>
      </c>
      <c r="G16" s="175">
        <f t="shared" ca="1" si="3"/>
        <v>2856.4762508043473</v>
      </c>
      <c r="H16" s="176">
        <f t="shared" si="3"/>
        <v>11.80091363879696</v>
      </c>
      <c r="I16" s="176">
        <f t="shared" si="3"/>
        <v>10.620822274917263</v>
      </c>
      <c r="J16" s="177">
        <f t="shared" si="3"/>
        <v>269.785956</v>
      </c>
      <c r="K16" s="177">
        <f t="shared" si="3"/>
        <v>242.80736039999999</v>
      </c>
      <c r="L16" s="178">
        <f t="shared" ca="1" si="3"/>
        <v>3109.9044334792648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45">
      <c r="A17" s="236"/>
      <c r="B17" s="246"/>
      <c r="C17" s="247"/>
      <c r="D17" s="243"/>
      <c r="E17" s="243"/>
      <c r="F17" s="300" t="s">
        <v>246</v>
      </c>
      <c r="G17" s="301"/>
      <c r="H17" s="301"/>
      <c r="I17" s="301"/>
      <c r="J17" s="301"/>
      <c r="K17" s="301"/>
      <c r="L17" s="30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45">
      <c r="A18" s="236"/>
      <c r="B18" s="246"/>
      <c r="C18" s="247"/>
      <c r="D18" s="243"/>
      <c r="E18" s="243"/>
      <c r="F18" s="302"/>
      <c r="G18" s="302"/>
      <c r="H18" s="302"/>
      <c r="I18" s="302"/>
      <c r="J18" s="302"/>
      <c r="K18" s="302"/>
      <c r="L18" s="30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45">
      <c r="A19" s="25"/>
      <c r="B19" s="25"/>
      <c r="C19" s="25"/>
      <c r="D19" s="25"/>
      <c r="E19" s="25"/>
      <c r="F19" s="25"/>
      <c r="G19" s="25"/>
      <c r="H19" s="25"/>
      <c r="I19" s="243"/>
      <c r="J19" s="243"/>
      <c r="K19" s="243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4.65" thickBot="1" x14ac:dyDescent="0.5">
      <c r="A20" s="25"/>
      <c r="B20" s="25"/>
      <c r="C20" s="25"/>
      <c r="D20" s="25"/>
      <c r="E20" s="25"/>
      <c r="F20" s="25"/>
      <c r="G20" s="25"/>
      <c r="H20" s="25"/>
      <c r="I20" s="243"/>
      <c r="J20" s="243"/>
      <c r="K20" s="243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4.65" thickBot="1" x14ac:dyDescent="0.5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43"/>
      <c r="J21" s="243"/>
      <c r="K21" s="243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45">
      <c r="A22" s="5"/>
      <c r="B22" s="5"/>
      <c r="C22" s="5"/>
      <c r="D22" s="5"/>
      <c r="E22" s="5"/>
      <c r="F22" s="5"/>
      <c r="G22" s="5"/>
      <c r="H22" s="5"/>
      <c r="I22" s="243"/>
      <c r="J22" s="243"/>
      <c r="K22" s="243"/>
      <c r="L22" s="243"/>
      <c r="M22" s="243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45">
      <c r="A23" s="5"/>
      <c r="B23" s="5"/>
      <c r="C23" s="5"/>
      <c r="D23" s="5"/>
      <c r="E23" s="5"/>
      <c r="F23" s="5"/>
      <c r="G23" s="5"/>
      <c r="H23" s="5"/>
      <c r="I23" s="243"/>
      <c r="J23" s="243"/>
      <c r="K23" s="243"/>
      <c r="L23" s="243"/>
      <c r="M23" s="243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45">
      <c r="A24" s="5"/>
      <c r="B24" s="5"/>
      <c r="C24" s="5"/>
      <c r="D24" s="5"/>
      <c r="E24" s="5"/>
      <c r="F24" s="5"/>
      <c r="G24" s="5"/>
      <c r="H24" s="5"/>
      <c r="I24" s="243"/>
      <c r="J24" s="243"/>
      <c r="K24" s="243"/>
      <c r="L24" s="243"/>
      <c r="M24" s="243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45">
      <c r="A25" s="5"/>
      <c r="B25" s="5"/>
      <c r="C25" s="5"/>
      <c r="D25" s="5"/>
      <c r="E25" s="5"/>
      <c r="F25" s="5"/>
      <c r="G25" s="5"/>
      <c r="H25" s="5"/>
      <c r="I25" s="243"/>
      <c r="J25" s="243"/>
      <c r="K25" s="243"/>
      <c r="L25" s="243"/>
      <c r="M25" s="243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45">
      <c r="A26" s="5"/>
      <c r="B26" s="5"/>
      <c r="C26" s="5"/>
      <c r="D26" s="5"/>
      <c r="E26" s="5"/>
      <c r="F26" s="5"/>
      <c r="G26" s="5"/>
      <c r="H26" s="5"/>
      <c r="I26" s="243"/>
      <c r="J26" s="243"/>
      <c r="K26" s="243"/>
      <c r="L26" s="243"/>
      <c r="M26" s="243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45">
      <c r="A27" s="5"/>
      <c r="B27" s="5"/>
      <c r="C27" s="5"/>
      <c r="D27" s="5"/>
      <c r="E27" s="5"/>
      <c r="F27" s="5"/>
      <c r="G27" s="5"/>
      <c r="H27" s="5"/>
      <c r="I27" s="243"/>
      <c r="J27" s="243"/>
      <c r="K27" s="243"/>
      <c r="L27" s="243"/>
      <c r="M27" s="243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45">
      <c r="A28" s="5"/>
      <c r="B28" s="5"/>
      <c r="C28" s="5"/>
      <c r="D28" s="5"/>
      <c r="E28" s="5"/>
      <c r="F28" s="5"/>
      <c r="G28" s="5"/>
      <c r="H28" s="5"/>
      <c r="I28" s="243"/>
      <c r="J28" s="243"/>
      <c r="K28" s="243"/>
      <c r="L28" s="243"/>
      <c r="M28" s="243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45">
      <c r="A29" s="5"/>
      <c r="B29" s="5"/>
      <c r="C29" s="5"/>
      <c r="D29" s="5"/>
      <c r="E29" s="5"/>
      <c r="F29" s="5"/>
      <c r="G29" s="5"/>
      <c r="H29" s="5"/>
      <c r="I29" s="243"/>
      <c r="J29" s="243"/>
      <c r="K29" s="243"/>
      <c r="L29" s="243"/>
      <c r="M29" s="243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45">
      <c r="A30" s="5"/>
      <c r="B30" s="5"/>
      <c r="C30" s="5"/>
      <c r="D30" s="5"/>
      <c r="E30" s="5"/>
      <c r="F30" s="5"/>
      <c r="G30" s="5"/>
      <c r="H30" s="5"/>
      <c r="I30" s="243"/>
      <c r="J30" s="243"/>
      <c r="K30" s="243"/>
      <c r="L30" s="243"/>
      <c r="M30" s="243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45">
      <c r="A31" s="5"/>
      <c r="B31" s="5"/>
      <c r="C31" s="5"/>
      <c r="D31" s="5"/>
      <c r="E31" s="5"/>
      <c r="F31" s="5"/>
      <c r="G31" s="5"/>
      <c r="H31" s="5"/>
      <c r="I31" s="243"/>
      <c r="J31" s="243"/>
      <c r="K31" s="243"/>
      <c r="L31" s="243"/>
      <c r="M31" s="243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45">
      <c r="A32" s="5"/>
      <c r="B32" s="5"/>
      <c r="C32" s="5"/>
      <c r="D32" s="5"/>
      <c r="E32" s="5"/>
      <c r="F32" s="5"/>
      <c r="G32" s="5"/>
      <c r="H32" s="5"/>
      <c r="I32" s="243"/>
      <c r="J32" s="243"/>
      <c r="K32" s="243"/>
      <c r="L32" s="243"/>
      <c r="M32" s="243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45">
      <c r="A33" s="5"/>
      <c r="B33" s="5"/>
      <c r="C33" s="5"/>
      <c r="D33" s="5"/>
      <c r="E33" s="5"/>
      <c r="F33" s="5"/>
      <c r="G33" s="5"/>
      <c r="H33" s="5"/>
      <c r="I33" s="243"/>
      <c r="J33" s="243"/>
      <c r="K33" s="243"/>
      <c r="L33" s="243"/>
      <c r="M33" s="243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45">
      <c r="A34" s="5"/>
      <c r="B34" s="5"/>
      <c r="C34" s="5"/>
      <c r="D34" s="5"/>
      <c r="E34" s="5"/>
      <c r="F34" s="5"/>
      <c r="G34" s="5"/>
      <c r="H34" s="5"/>
      <c r="I34" s="243"/>
      <c r="J34" s="243"/>
      <c r="K34" s="243"/>
      <c r="L34" s="243"/>
      <c r="M34" s="243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45">
      <c r="A35" s="5"/>
      <c r="B35" s="5"/>
      <c r="C35" s="5"/>
      <c r="D35" s="5"/>
      <c r="E35" s="5"/>
      <c r="F35" s="5"/>
      <c r="G35" s="5"/>
      <c r="H35" s="5"/>
      <c r="I35" s="243"/>
      <c r="J35" s="243"/>
      <c r="K35" s="243"/>
      <c r="L35" s="243"/>
      <c r="M35" s="243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45">
      <c r="A36" s="5"/>
      <c r="B36" s="5"/>
      <c r="C36" s="5"/>
      <c r="D36" s="5"/>
      <c r="E36" s="5"/>
      <c r="F36" s="5"/>
      <c r="G36" s="5"/>
      <c r="H36" s="5"/>
      <c r="I36" s="243"/>
      <c r="J36" s="243"/>
      <c r="K36" s="243"/>
      <c r="L36" s="243"/>
      <c r="M36" s="243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45">
      <c r="A37" s="5"/>
      <c r="B37" s="5"/>
      <c r="C37" s="5"/>
      <c r="D37" s="5"/>
      <c r="E37" s="5"/>
      <c r="F37" s="5"/>
      <c r="G37" s="5"/>
      <c r="H37" s="5"/>
      <c r="I37" s="243"/>
      <c r="J37" s="243"/>
      <c r="K37" s="243"/>
      <c r="L37" s="243"/>
      <c r="M37" s="243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4.65" thickBot="1" x14ac:dyDescent="0.5">
      <c r="A38" s="5"/>
      <c r="B38" s="5"/>
      <c r="C38" s="5"/>
      <c r="D38" s="5"/>
      <c r="E38" s="5"/>
      <c r="F38" s="5"/>
      <c r="G38" s="5"/>
      <c r="H38" s="5"/>
      <c r="I38" s="243"/>
      <c r="J38" s="243"/>
      <c r="K38" s="243"/>
      <c r="L38" s="243"/>
      <c r="M38" s="243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4.65" thickBot="1" x14ac:dyDescent="0.5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43"/>
      <c r="J39" s="243"/>
      <c r="K39" s="243"/>
      <c r="L39" s="243"/>
      <c r="M39" s="243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45">
      <c r="A40" s="5"/>
      <c r="B40" s="5"/>
      <c r="C40" s="5"/>
      <c r="D40" s="5"/>
      <c r="E40" s="5"/>
      <c r="F40" s="5"/>
      <c r="G40" s="5"/>
      <c r="H40" s="5"/>
      <c r="I40" s="243"/>
      <c r="J40" s="243"/>
      <c r="K40" s="243"/>
      <c r="L40" s="243"/>
      <c r="M40" s="243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45">
      <c r="A41" s="5"/>
      <c r="B41" s="5"/>
      <c r="C41" s="5"/>
      <c r="D41" s="5"/>
      <c r="E41" s="5"/>
      <c r="F41" s="5"/>
      <c r="G41" s="5"/>
      <c r="H41" s="5"/>
      <c r="I41" s="243"/>
      <c r="J41" s="243"/>
      <c r="K41" s="243"/>
      <c r="L41" s="243"/>
      <c r="M41" s="243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45">
      <c r="A42" s="5"/>
      <c r="B42" s="5"/>
      <c r="C42" s="5"/>
      <c r="D42" s="5"/>
      <c r="E42" s="5"/>
      <c r="F42" s="5"/>
      <c r="G42" s="5"/>
      <c r="H42" s="5"/>
      <c r="I42" s="243"/>
      <c r="J42" s="243"/>
      <c r="K42" s="243"/>
      <c r="L42" s="243"/>
      <c r="M42" s="243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45">
      <c r="A43" s="5"/>
      <c r="B43" s="5"/>
      <c r="C43" s="5"/>
      <c r="D43" s="5"/>
      <c r="E43" s="5"/>
      <c r="F43" s="5"/>
      <c r="G43" s="5"/>
      <c r="H43" s="5"/>
      <c r="I43" s="243"/>
      <c r="J43" s="243"/>
      <c r="K43" s="243"/>
      <c r="L43" s="243"/>
      <c r="M43" s="243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45">
      <c r="A44" s="5"/>
      <c r="B44" s="5"/>
      <c r="C44" s="5"/>
      <c r="D44" s="5"/>
      <c r="E44" s="5"/>
      <c r="F44" s="5"/>
      <c r="G44" s="5"/>
      <c r="H44" s="5"/>
      <c r="I44" s="243"/>
      <c r="J44" s="243"/>
      <c r="K44" s="243"/>
      <c r="L44" s="243"/>
      <c r="M44" s="243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45">
      <c r="A45" s="5"/>
      <c r="B45" s="5"/>
      <c r="C45" s="5"/>
      <c r="D45" s="5"/>
      <c r="E45" s="5"/>
      <c r="F45" s="5"/>
      <c r="G45" s="5"/>
      <c r="H45" s="5"/>
      <c r="I45" s="243"/>
      <c r="J45" s="243"/>
      <c r="K45" s="243"/>
      <c r="L45" s="243"/>
      <c r="M45" s="243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45">
      <c r="A46" s="5"/>
      <c r="B46" s="5"/>
      <c r="C46" s="5"/>
      <c r="D46" s="5"/>
      <c r="E46" s="5"/>
      <c r="F46" s="5"/>
      <c r="G46" s="5"/>
      <c r="H46" s="5"/>
      <c r="I46" s="243"/>
      <c r="J46" s="243"/>
      <c r="K46" s="243"/>
      <c r="L46" s="243"/>
      <c r="M46" s="243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45">
      <c r="A47" s="5"/>
      <c r="B47" s="5"/>
      <c r="C47" s="5"/>
      <c r="D47" s="5"/>
      <c r="E47" s="5"/>
      <c r="F47" s="5"/>
      <c r="G47" s="5"/>
      <c r="H47" s="5"/>
      <c r="I47" s="243"/>
      <c r="J47" s="243"/>
      <c r="K47" s="243"/>
      <c r="L47" s="243"/>
      <c r="M47" s="243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45">
      <c r="A48" s="5"/>
      <c r="B48" s="5"/>
      <c r="C48" s="5"/>
      <c r="D48" s="5"/>
      <c r="E48" s="5"/>
      <c r="F48" s="5"/>
      <c r="G48" s="5"/>
      <c r="H48" s="5"/>
      <c r="I48" s="243"/>
      <c r="J48" s="243"/>
      <c r="K48" s="243"/>
      <c r="L48" s="243"/>
      <c r="M48" s="243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45">
      <c r="A49" s="5"/>
      <c r="B49" s="5"/>
      <c r="C49" s="5"/>
      <c r="D49" s="5"/>
      <c r="E49" s="5"/>
      <c r="F49" s="5"/>
      <c r="G49" s="5"/>
      <c r="H49" s="5"/>
      <c r="I49" s="243"/>
      <c r="J49" s="243"/>
      <c r="K49" s="243"/>
      <c r="L49" s="243"/>
      <c r="M49" s="243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45">
      <c r="A50" s="5"/>
      <c r="B50" s="5"/>
      <c r="C50" s="5"/>
      <c r="D50" s="5"/>
      <c r="E50" s="5"/>
      <c r="F50" s="5"/>
      <c r="G50" s="5"/>
      <c r="H50" s="5"/>
      <c r="I50" s="243"/>
      <c r="J50" s="243"/>
      <c r="K50" s="243"/>
      <c r="L50" s="243"/>
      <c r="M50" s="243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45">
      <c r="A51" s="5"/>
      <c r="B51" s="5"/>
      <c r="C51" s="5"/>
      <c r="D51" s="5"/>
      <c r="E51" s="5"/>
      <c r="F51" s="5"/>
      <c r="G51" s="5"/>
      <c r="H51" s="5"/>
      <c r="I51" s="243"/>
      <c r="J51" s="243"/>
      <c r="K51" s="243"/>
      <c r="L51" s="243"/>
      <c r="M51" s="243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45">
      <c r="A52" s="5"/>
      <c r="B52" s="5"/>
      <c r="C52" s="5"/>
      <c r="D52" s="5"/>
      <c r="E52" s="5"/>
      <c r="F52" s="5"/>
      <c r="G52" s="5"/>
      <c r="H52" s="5"/>
      <c r="I52" s="243"/>
      <c r="J52" s="243"/>
      <c r="K52" s="243"/>
      <c r="L52" s="243"/>
      <c r="M52" s="243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45">
      <c r="A53" s="5"/>
      <c r="B53" s="5"/>
      <c r="C53" s="5"/>
      <c r="D53" s="5"/>
      <c r="E53" s="5"/>
      <c r="F53" s="5"/>
      <c r="G53" s="5"/>
      <c r="H53" s="5"/>
      <c r="I53" s="243"/>
      <c r="J53" s="243"/>
      <c r="K53" s="243"/>
      <c r="L53" s="243"/>
      <c r="M53" s="243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45">
      <c r="A54" s="5"/>
      <c r="B54" s="5"/>
      <c r="C54" s="5"/>
      <c r="D54" s="5"/>
      <c r="E54" s="5"/>
      <c r="F54" s="5"/>
      <c r="G54" s="5"/>
      <c r="H54" s="5"/>
      <c r="I54" s="243"/>
      <c r="J54" s="243"/>
      <c r="K54" s="243"/>
      <c r="L54" s="243"/>
      <c r="M54" s="243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45">
      <c r="A55" s="5"/>
      <c r="B55" s="5"/>
      <c r="C55" s="5"/>
      <c r="D55" s="5"/>
      <c r="E55" s="5"/>
      <c r="F55" s="5"/>
      <c r="G55" s="5"/>
      <c r="H55" s="5"/>
      <c r="I55" s="243"/>
      <c r="J55" s="243"/>
      <c r="K55" s="243"/>
      <c r="L55" s="243"/>
      <c r="M55" s="243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4.65" thickBot="1" x14ac:dyDescent="0.5">
      <c r="A56" s="5"/>
      <c r="B56" s="5"/>
      <c r="C56" s="5"/>
      <c r="D56" s="5"/>
      <c r="E56" s="5"/>
      <c r="F56" s="5"/>
      <c r="G56" s="5"/>
      <c r="H56" s="5"/>
      <c r="I56" s="243"/>
      <c r="J56" s="243"/>
      <c r="K56" s="243"/>
      <c r="L56" s="243"/>
      <c r="M56" s="243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4.65" thickBot="1" x14ac:dyDescent="0.5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43"/>
      <c r="J57" s="243"/>
      <c r="K57" s="243"/>
      <c r="L57" s="243"/>
      <c r="M57" s="243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45">
      <c r="A58" s="5"/>
      <c r="B58" s="5"/>
      <c r="C58" s="5"/>
      <c r="D58" s="5"/>
      <c r="E58" s="5"/>
      <c r="F58" s="5"/>
      <c r="G58" s="5"/>
      <c r="H58" s="5"/>
      <c r="I58" s="243"/>
      <c r="J58" s="243"/>
      <c r="K58" s="243"/>
      <c r="L58" s="243"/>
      <c r="M58" s="243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45">
      <c r="A59" s="5"/>
      <c r="B59" s="5"/>
      <c r="C59" s="5"/>
      <c r="D59" s="5"/>
      <c r="E59" s="5"/>
      <c r="F59" s="5"/>
      <c r="G59" s="5"/>
      <c r="H59" s="5"/>
      <c r="I59" s="243"/>
      <c r="J59" s="243"/>
      <c r="K59" s="243"/>
      <c r="L59" s="243"/>
      <c r="M59" s="243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45">
      <c r="A60" s="5"/>
      <c r="B60" s="5"/>
      <c r="C60" s="5"/>
      <c r="D60" s="5"/>
      <c r="E60" s="5"/>
      <c r="F60" s="5"/>
      <c r="G60" s="5"/>
      <c r="H60" s="5"/>
      <c r="I60" s="243"/>
      <c r="J60" s="243"/>
      <c r="K60" s="243"/>
      <c r="L60" s="243"/>
      <c r="M60" s="243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45">
      <c r="A61" s="5"/>
      <c r="B61" s="5"/>
      <c r="C61" s="5"/>
      <c r="D61" s="5"/>
      <c r="E61" s="5"/>
      <c r="F61" s="5"/>
      <c r="G61" s="5"/>
      <c r="H61" s="5"/>
      <c r="I61" s="243"/>
      <c r="J61" s="243"/>
      <c r="K61" s="243"/>
      <c r="L61" s="243"/>
      <c r="M61" s="243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45">
      <c r="A62" s="5"/>
      <c r="B62" s="5"/>
      <c r="C62" s="5"/>
      <c r="D62" s="5"/>
      <c r="E62" s="5"/>
      <c r="F62" s="5"/>
      <c r="G62" s="5"/>
      <c r="H62" s="5"/>
      <c r="I62" s="243"/>
      <c r="J62" s="243"/>
      <c r="K62" s="243"/>
      <c r="L62" s="243"/>
      <c r="M62" s="243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45">
      <c r="A63" s="5"/>
      <c r="B63" s="5"/>
      <c r="C63" s="5"/>
      <c r="D63" s="5"/>
      <c r="E63" s="5"/>
      <c r="F63" s="5"/>
      <c r="G63" s="5"/>
      <c r="H63" s="5"/>
      <c r="I63" s="243"/>
      <c r="J63" s="243"/>
      <c r="K63" s="243"/>
      <c r="L63" s="243"/>
      <c r="M63" s="243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45">
      <c r="A64" s="5"/>
      <c r="B64" s="5"/>
      <c r="C64" s="5"/>
      <c r="D64" s="5"/>
      <c r="E64" s="5"/>
      <c r="F64" s="5"/>
      <c r="G64" s="5"/>
      <c r="H64" s="5"/>
      <c r="I64" s="243"/>
      <c r="J64" s="243"/>
      <c r="K64" s="243"/>
      <c r="L64" s="243"/>
      <c r="M64" s="243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45">
      <c r="A65" s="5"/>
      <c r="B65" s="5"/>
      <c r="C65" s="5"/>
      <c r="D65" s="5"/>
      <c r="E65" s="5"/>
      <c r="F65" s="5"/>
      <c r="G65" s="5"/>
      <c r="H65" s="5"/>
      <c r="I65" s="243"/>
      <c r="J65" s="243"/>
      <c r="K65" s="243"/>
      <c r="L65" s="243"/>
      <c r="M65" s="243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45">
      <c r="A66" s="5"/>
      <c r="B66" s="5"/>
      <c r="C66" s="5"/>
      <c r="D66" s="5"/>
      <c r="E66" s="5"/>
      <c r="F66" s="5"/>
      <c r="G66" s="5"/>
      <c r="H66" s="5"/>
      <c r="I66" s="243"/>
      <c r="J66" s="243"/>
      <c r="K66" s="243"/>
      <c r="L66" s="243"/>
      <c r="M66" s="243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45">
      <c r="A67" s="5"/>
      <c r="B67" s="5"/>
      <c r="C67" s="5"/>
      <c r="D67" s="5"/>
      <c r="E67" s="5"/>
      <c r="F67" s="5"/>
      <c r="G67" s="5"/>
      <c r="H67" s="5"/>
      <c r="I67" s="243"/>
      <c r="J67" s="243"/>
      <c r="K67" s="243"/>
      <c r="L67" s="243"/>
      <c r="M67" s="243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45">
      <c r="A68" s="5"/>
      <c r="B68" s="5"/>
      <c r="C68" s="5"/>
      <c r="D68" s="5"/>
      <c r="E68" s="5"/>
      <c r="F68" s="5"/>
      <c r="G68" s="5"/>
      <c r="H68" s="5"/>
      <c r="I68" s="243"/>
      <c r="J68" s="243"/>
      <c r="K68" s="243"/>
      <c r="L68" s="243"/>
      <c r="M68" s="243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45">
      <c r="A69" s="5"/>
      <c r="B69" s="5"/>
      <c r="C69" s="5"/>
      <c r="D69" s="5"/>
      <c r="E69" s="5"/>
      <c r="F69" s="5"/>
      <c r="G69" s="5"/>
      <c r="H69" s="5"/>
      <c r="I69" s="243"/>
      <c r="J69" s="243"/>
      <c r="K69" s="243"/>
      <c r="L69" s="243"/>
      <c r="M69" s="243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45">
      <c r="A70" s="5"/>
      <c r="B70" s="5"/>
      <c r="C70" s="5"/>
      <c r="D70" s="5"/>
      <c r="E70" s="5"/>
      <c r="F70" s="5"/>
      <c r="G70" s="5"/>
      <c r="H70" s="5"/>
      <c r="I70" s="243"/>
      <c r="J70" s="243"/>
      <c r="K70" s="243"/>
      <c r="L70" s="243"/>
      <c r="M70" s="243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45">
      <c r="A71" s="5"/>
      <c r="B71" s="5"/>
      <c r="C71" s="5"/>
      <c r="D71" s="5"/>
      <c r="E71" s="5"/>
      <c r="F71" s="5"/>
      <c r="G71" s="5"/>
      <c r="H71" s="5"/>
      <c r="I71" s="243"/>
      <c r="J71" s="243"/>
      <c r="K71" s="243"/>
      <c r="L71" s="243"/>
      <c r="M71" s="243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45">
      <c r="A72" s="5"/>
      <c r="B72" s="5"/>
      <c r="C72" s="5"/>
      <c r="D72" s="5"/>
      <c r="E72" s="5"/>
      <c r="F72" s="5"/>
      <c r="G72" s="5"/>
      <c r="H72" s="5"/>
      <c r="I72" s="243"/>
      <c r="J72" s="243"/>
      <c r="K72" s="243"/>
      <c r="L72" s="243"/>
      <c r="M72" s="243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45">
      <c r="A73" s="5"/>
      <c r="B73" s="5"/>
      <c r="C73" s="5"/>
      <c r="D73" s="5"/>
      <c r="E73" s="5"/>
      <c r="F73" s="5"/>
      <c r="G73" s="5"/>
      <c r="H73" s="5"/>
      <c r="I73" s="243"/>
      <c r="J73" s="243"/>
      <c r="K73" s="243"/>
      <c r="L73" s="243"/>
      <c r="M73" s="243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45">
      <c r="A74" s="5"/>
      <c r="B74" s="5"/>
      <c r="C74" s="5"/>
      <c r="D74" s="5"/>
      <c r="E74" s="5"/>
      <c r="F74" s="5"/>
      <c r="G74" s="5"/>
      <c r="H74" s="5"/>
      <c r="I74" s="243"/>
      <c r="J74" s="243"/>
      <c r="K74" s="243"/>
      <c r="L74" s="243"/>
      <c r="M74" s="243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4.65" thickBot="1" x14ac:dyDescent="0.5">
      <c r="A75" s="5"/>
      <c r="B75" s="5"/>
      <c r="C75" s="5"/>
      <c r="D75" s="5"/>
      <c r="E75" s="5"/>
      <c r="F75" s="5"/>
      <c r="G75" s="5"/>
      <c r="H75" s="5"/>
      <c r="I75" s="243"/>
      <c r="J75" s="243"/>
      <c r="K75" s="243"/>
      <c r="L75" s="243"/>
      <c r="M75" s="243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4.65" thickBot="1" x14ac:dyDescent="0.5">
      <c r="A76" s="179" t="str">
        <f>A9</f>
        <v/>
      </c>
      <c r="B76" s="5"/>
      <c r="C76" s="5"/>
      <c r="D76" s="5"/>
      <c r="E76" s="5"/>
      <c r="F76" s="5"/>
      <c r="G76" s="5"/>
      <c r="H76" s="5"/>
      <c r="I76" s="243"/>
      <c r="J76" s="243"/>
      <c r="K76" s="243"/>
      <c r="L76" s="243"/>
      <c r="M76" s="243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45">
      <c r="A77" s="5"/>
      <c r="B77" s="5"/>
      <c r="C77" s="5"/>
      <c r="D77" s="5"/>
      <c r="E77" s="5"/>
      <c r="F77" s="5"/>
      <c r="G77" s="5"/>
      <c r="H77" s="5"/>
      <c r="I77" s="243"/>
      <c r="J77" s="243"/>
      <c r="K77" s="243"/>
      <c r="L77" s="243"/>
      <c r="M77" s="243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45">
      <c r="A78" s="5"/>
      <c r="B78" s="5"/>
      <c r="C78" s="5"/>
      <c r="D78" s="5"/>
      <c r="E78" s="5"/>
      <c r="F78" s="5"/>
      <c r="G78" s="5"/>
      <c r="H78" s="5"/>
      <c r="I78" s="243"/>
      <c r="J78" s="243"/>
      <c r="K78" s="243"/>
      <c r="L78" s="243"/>
      <c r="M78" s="243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45">
      <c r="A79" s="5"/>
      <c r="B79" s="5"/>
      <c r="C79" s="5"/>
      <c r="D79" s="5"/>
      <c r="E79" s="5"/>
      <c r="F79" s="5"/>
      <c r="G79" s="5"/>
      <c r="H79" s="5"/>
      <c r="I79" s="243"/>
      <c r="J79" s="243"/>
      <c r="K79" s="243"/>
      <c r="L79" s="243"/>
      <c r="M79" s="243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45">
      <c r="A80" s="5"/>
      <c r="B80" s="5"/>
      <c r="C80" s="5"/>
      <c r="D80" s="5"/>
      <c r="E80" s="5"/>
      <c r="F80" s="5"/>
      <c r="G80" s="5"/>
      <c r="H80" s="5"/>
      <c r="I80" s="243"/>
      <c r="J80" s="243"/>
      <c r="K80" s="243"/>
      <c r="L80" s="243"/>
      <c r="M80" s="243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45">
      <c r="A81" s="5"/>
      <c r="B81" s="5"/>
      <c r="C81" s="5"/>
      <c r="D81" s="5"/>
      <c r="E81" s="5"/>
      <c r="F81" s="5"/>
      <c r="G81" s="5"/>
      <c r="H81" s="5"/>
      <c r="I81" s="243"/>
      <c r="J81" s="243"/>
      <c r="K81" s="243"/>
      <c r="L81" s="243"/>
      <c r="M81" s="243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45">
      <c r="A82" s="5"/>
      <c r="B82" s="5"/>
      <c r="C82" s="5"/>
      <c r="D82" s="5"/>
      <c r="E82" s="5"/>
      <c r="F82" s="5"/>
      <c r="G82" s="5"/>
      <c r="H82" s="5"/>
      <c r="I82" s="243"/>
      <c r="J82" s="243"/>
      <c r="K82" s="243"/>
      <c r="L82" s="243"/>
      <c r="M82" s="243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45">
      <c r="A83" s="5"/>
      <c r="B83" s="5"/>
      <c r="C83" s="5"/>
      <c r="D83" s="5"/>
      <c r="E83" s="5"/>
      <c r="F83" s="5"/>
      <c r="G83" s="5"/>
      <c r="H83" s="5"/>
      <c r="I83" s="243"/>
      <c r="J83" s="243"/>
      <c r="K83" s="243"/>
      <c r="L83" s="243"/>
      <c r="M83" s="243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45">
      <c r="A84" s="5"/>
      <c r="B84" s="5"/>
      <c r="C84" s="5"/>
      <c r="D84" s="5"/>
      <c r="E84" s="5"/>
      <c r="F84" s="5"/>
      <c r="G84" s="5"/>
      <c r="H84" s="5"/>
      <c r="I84" s="243"/>
      <c r="J84" s="243"/>
      <c r="K84" s="243"/>
      <c r="L84" s="243"/>
      <c r="M84" s="243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45">
      <c r="A85" s="5"/>
      <c r="B85" s="5"/>
      <c r="C85" s="5"/>
      <c r="D85" s="5"/>
      <c r="E85" s="5"/>
      <c r="F85" s="5"/>
      <c r="G85" s="5"/>
      <c r="H85" s="5"/>
      <c r="I85" s="243"/>
      <c r="J85" s="243"/>
      <c r="K85" s="243"/>
      <c r="L85" s="243"/>
      <c r="M85" s="243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45">
      <c r="A86" s="5"/>
      <c r="B86" s="5"/>
      <c r="C86" s="5"/>
      <c r="D86" s="5"/>
      <c r="E86" s="5"/>
      <c r="F86" s="5"/>
      <c r="G86" s="5"/>
      <c r="H86" s="5"/>
      <c r="I86" s="243"/>
      <c r="J86" s="243"/>
      <c r="K86" s="243"/>
      <c r="L86" s="243"/>
      <c r="M86" s="243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45">
      <c r="A87" s="5"/>
      <c r="B87" s="5"/>
      <c r="C87" s="5"/>
      <c r="D87" s="5"/>
      <c r="E87" s="5"/>
      <c r="F87" s="5"/>
      <c r="G87" s="5"/>
      <c r="H87" s="5"/>
      <c r="I87" s="243"/>
      <c r="J87" s="243"/>
      <c r="K87" s="243"/>
      <c r="L87" s="243"/>
      <c r="M87" s="243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45">
      <c r="A88" s="5"/>
      <c r="B88" s="5"/>
      <c r="C88" s="5"/>
      <c r="D88" s="5"/>
      <c r="E88" s="5"/>
      <c r="F88" s="5"/>
      <c r="G88" s="5"/>
      <c r="H88" s="5"/>
      <c r="I88" s="243"/>
      <c r="J88" s="243"/>
      <c r="K88" s="243"/>
      <c r="L88" s="243"/>
      <c r="M88" s="243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45">
      <c r="A89" s="5"/>
      <c r="B89" s="5"/>
      <c r="C89" s="5"/>
      <c r="D89" s="5"/>
      <c r="E89" s="5"/>
      <c r="F89" s="5"/>
      <c r="G89" s="5"/>
      <c r="H89" s="5"/>
      <c r="I89" s="243"/>
      <c r="J89" s="243"/>
      <c r="K89" s="243"/>
      <c r="L89" s="243"/>
      <c r="M89" s="243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45">
      <c r="A90" s="5"/>
      <c r="B90" s="5"/>
      <c r="C90" s="5"/>
      <c r="D90" s="5"/>
      <c r="E90" s="5"/>
      <c r="F90" s="5"/>
      <c r="G90" s="5"/>
      <c r="H90" s="5"/>
      <c r="I90" s="243"/>
      <c r="J90" s="243"/>
      <c r="K90" s="243"/>
      <c r="L90" s="243"/>
      <c r="M90" s="243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45">
      <c r="A91" s="5"/>
      <c r="B91" s="5"/>
      <c r="C91" s="5"/>
      <c r="D91" s="5"/>
      <c r="E91" s="5"/>
      <c r="F91" s="5"/>
      <c r="G91" s="5"/>
      <c r="H91" s="5"/>
      <c r="I91" s="243"/>
      <c r="J91" s="243"/>
      <c r="K91" s="243"/>
      <c r="L91" s="243"/>
      <c r="M91" s="243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45">
      <c r="A92" s="5"/>
      <c r="B92" s="5"/>
      <c r="C92" s="5"/>
      <c r="D92" s="5"/>
      <c r="E92" s="5"/>
      <c r="F92" s="5"/>
      <c r="G92" s="5"/>
      <c r="H92" s="5"/>
      <c r="I92" s="243"/>
      <c r="J92" s="243"/>
      <c r="K92" s="243"/>
      <c r="L92" s="243"/>
      <c r="M92" s="243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4.65" thickBot="1" x14ac:dyDescent="0.5">
      <c r="A93" s="5"/>
      <c r="B93" s="5"/>
      <c r="C93" s="5"/>
      <c r="D93" s="5"/>
      <c r="E93" s="5"/>
      <c r="F93" s="5"/>
      <c r="G93" s="5"/>
      <c r="H93" s="5"/>
      <c r="I93" s="243"/>
      <c r="J93" s="243"/>
      <c r="K93" s="243"/>
      <c r="L93" s="243"/>
      <c r="M93" s="243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4.65" thickBot="1" x14ac:dyDescent="0.5">
      <c r="A94" s="179" t="str">
        <f>A10</f>
        <v/>
      </c>
      <c r="B94" s="5"/>
      <c r="C94" s="5"/>
      <c r="D94" s="5"/>
      <c r="E94" s="5"/>
      <c r="F94" s="5"/>
      <c r="G94" s="5"/>
      <c r="H94" s="5"/>
      <c r="I94" s="243"/>
      <c r="J94" s="243"/>
      <c r="K94" s="243"/>
      <c r="L94" s="243"/>
      <c r="M94" s="243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45">
      <c r="A95" s="5"/>
      <c r="B95" s="5"/>
      <c r="C95" s="5"/>
      <c r="D95" s="5"/>
      <c r="E95" s="5"/>
      <c r="F95" s="5"/>
      <c r="G95" s="5"/>
      <c r="H95" s="5"/>
      <c r="I95" s="243"/>
      <c r="J95" s="243"/>
      <c r="K95" s="243"/>
      <c r="L95" s="243"/>
      <c r="M95" s="243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45">
      <c r="A96" s="5"/>
      <c r="B96" s="5"/>
      <c r="C96" s="5"/>
      <c r="D96" s="5"/>
      <c r="E96" s="5"/>
      <c r="F96" s="5"/>
      <c r="G96" s="5"/>
      <c r="H96" s="5"/>
      <c r="I96" s="243"/>
      <c r="J96" s="243"/>
      <c r="K96" s="243"/>
      <c r="L96" s="243"/>
      <c r="M96" s="243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45">
      <c r="A97" s="5"/>
      <c r="B97" s="5"/>
      <c r="C97" s="5"/>
      <c r="D97" s="5"/>
      <c r="E97" s="5"/>
      <c r="F97" s="5"/>
      <c r="G97" s="5"/>
      <c r="H97" s="5"/>
      <c r="I97" s="243"/>
      <c r="J97" s="243"/>
      <c r="K97" s="243"/>
      <c r="L97" s="243"/>
      <c r="M97" s="243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45">
      <c r="A98" s="5"/>
      <c r="B98" s="5"/>
      <c r="C98" s="5"/>
      <c r="D98" s="5"/>
      <c r="E98" s="5"/>
      <c r="F98" s="5"/>
      <c r="G98" s="5"/>
      <c r="H98" s="5"/>
      <c r="I98" s="243"/>
      <c r="J98" s="243"/>
      <c r="K98" s="243"/>
      <c r="L98" s="243"/>
      <c r="M98" s="243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45">
      <c r="A99" s="5"/>
      <c r="B99" s="5"/>
      <c r="C99" s="5"/>
      <c r="D99" s="5"/>
      <c r="E99" s="5"/>
      <c r="F99" s="5"/>
      <c r="G99" s="5"/>
      <c r="H99" s="5"/>
      <c r="I99" s="243"/>
      <c r="J99" s="243"/>
      <c r="K99" s="243"/>
      <c r="L99" s="243"/>
      <c r="M99" s="243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45">
      <c r="A100" s="5"/>
      <c r="B100" s="5"/>
      <c r="C100" s="5"/>
      <c r="D100" s="5"/>
      <c r="E100" s="5"/>
      <c r="F100" s="5"/>
      <c r="G100" s="5"/>
      <c r="H100" s="5"/>
      <c r="I100" s="243"/>
      <c r="J100" s="243"/>
      <c r="K100" s="243"/>
      <c r="L100" s="243"/>
      <c r="M100" s="243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45">
      <c r="A101" s="5"/>
      <c r="B101" s="5"/>
      <c r="C101" s="5"/>
      <c r="D101" s="5"/>
      <c r="E101" s="5"/>
      <c r="F101" s="5"/>
      <c r="G101" s="5"/>
      <c r="H101" s="5"/>
      <c r="I101" s="243"/>
      <c r="J101" s="243"/>
      <c r="K101" s="243"/>
      <c r="L101" s="243"/>
      <c r="M101" s="243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45">
      <c r="A102" s="5"/>
      <c r="B102" s="5"/>
      <c r="C102" s="5"/>
      <c r="D102" s="5"/>
      <c r="E102" s="5"/>
      <c r="F102" s="5"/>
      <c r="G102" s="5"/>
      <c r="H102" s="5"/>
      <c r="I102" s="243"/>
      <c r="J102" s="243"/>
      <c r="K102" s="243"/>
      <c r="L102" s="243"/>
      <c r="M102" s="243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45">
      <c r="A103" s="5"/>
      <c r="B103" s="5"/>
      <c r="C103" s="5"/>
      <c r="D103" s="5"/>
      <c r="E103" s="5"/>
      <c r="F103" s="5"/>
      <c r="G103" s="5"/>
      <c r="H103" s="5"/>
      <c r="I103" s="243"/>
      <c r="J103" s="243"/>
      <c r="K103" s="243"/>
      <c r="L103" s="243"/>
      <c r="M103" s="243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45">
      <c r="A104" s="5"/>
      <c r="B104" s="5"/>
      <c r="C104" s="5"/>
      <c r="D104" s="5"/>
      <c r="E104" s="5"/>
      <c r="F104" s="5"/>
      <c r="G104" s="5"/>
      <c r="H104" s="5"/>
      <c r="I104" s="243"/>
      <c r="J104" s="243"/>
      <c r="K104" s="243"/>
      <c r="L104" s="243"/>
      <c r="M104" s="243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45">
      <c r="A105" s="5"/>
      <c r="B105" s="5"/>
      <c r="C105" s="5"/>
      <c r="D105" s="5"/>
      <c r="E105" s="5"/>
      <c r="F105" s="5"/>
      <c r="G105" s="5"/>
      <c r="H105" s="5"/>
      <c r="I105" s="243"/>
      <c r="J105" s="243"/>
      <c r="K105" s="243"/>
      <c r="L105" s="243"/>
      <c r="M105" s="243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45">
      <c r="A106" s="5"/>
      <c r="B106" s="5"/>
      <c r="C106" s="5"/>
      <c r="D106" s="5"/>
      <c r="E106" s="5"/>
      <c r="F106" s="5"/>
      <c r="G106" s="5"/>
      <c r="H106" s="5"/>
      <c r="I106" s="243"/>
      <c r="J106" s="243"/>
      <c r="K106" s="243"/>
      <c r="L106" s="243"/>
      <c r="M106" s="243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45">
      <c r="A107" s="5"/>
      <c r="B107" s="5"/>
      <c r="C107" s="5"/>
      <c r="D107" s="5"/>
      <c r="E107" s="5"/>
      <c r="F107" s="5"/>
      <c r="G107" s="5"/>
      <c r="H107" s="5"/>
      <c r="I107" s="243"/>
      <c r="J107" s="243"/>
      <c r="K107" s="243"/>
      <c r="L107" s="243"/>
      <c r="M107" s="243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45">
      <c r="A108" s="5"/>
      <c r="B108" s="5"/>
      <c r="C108" s="5"/>
      <c r="D108" s="5"/>
      <c r="E108" s="5"/>
      <c r="F108" s="5"/>
      <c r="G108" s="5"/>
      <c r="H108" s="5"/>
      <c r="I108" s="243"/>
      <c r="J108" s="243"/>
      <c r="K108" s="243"/>
      <c r="L108" s="243"/>
      <c r="M108" s="243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45">
      <c r="A109" s="5"/>
      <c r="B109" s="5"/>
      <c r="C109" s="5"/>
      <c r="D109" s="5"/>
      <c r="E109" s="5"/>
      <c r="F109" s="5"/>
      <c r="G109" s="5"/>
      <c r="H109" s="5"/>
      <c r="I109" s="243"/>
      <c r="J109" s="243"/>
      <c r="K109" s="243"/>
      <c r="L109" s="243"/>
      <c r="M109" s="243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45">
      <c r="A110" s="5"/>
      <c r="B110" s="5"/>
      <c r="C110" s="5"/>
      <c r="D110" s="5"/>
      <c r="E110" s="5"/>
      <c r="F110" s="5"/>
      <c r="G110" s="5"/>
      <c r="H110" s="5"/>
      <c r="I110" s="243"/>
      <c r="J110" s="243"/>
      <c r="K110" s="243"/>
      <c r="L110" s="243"/>
      <c r="M110" s="243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4.65" thickBot="1" x14ac:dyDescent="0.5">
      <c r="A111" s="5"/>
      <c r="B111" s="5"/>
      <c r="C111" s="5"/>
      <c r="D111" s="5"/>
      <c r="E111" s="5"/>
      <c r="F111" s="5"/>
      <c r="G111" s="5"/>
      <c r="H111" s="5"/>
      <c r="I111" s="243"/>
      <c r="J111" s="243"/>
      <c r="K111" s="243"/>
      <c r="L111" s="243"/>
      <c r="M111" s="243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4.65" thickBot="1" x14ac:dyDescent="0.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43"/>
      <c r="J112" s="243"/>
      <c r="K112" s="243"/>
      <c r="L112" s="243"/>
      <c r="M112" s="243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45">
      <c r="A113" s="5"/>
      <c r="B113" s="5"/>
      <c r="C113" s="5"/>
      <c r="D113" s="5"/>
      <c r="E113" s="5"/>
      <c r="F113" s="5"/>
      <c r="G113" s="5"/>
      <c r="H113" s="5"/>
      <c r="I113" s="243"/>
      <c r="J113" s="243"/>
      <c r="K113" s="243"/>
      <c r="L113" s="243"/>
      <c r="M113" s="243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45">
      <c r="A114" s="5"/>
      <c r="B114" s="5"/>
      <c r="C114" s="5"/>
      <c r="D114" s="5"/>
      <c r="E114" s="5"/>
      <c r="F114" s="5"/>
      <c r="G114" s="5"/>
      <c r="H114" s="5"/>
      <c r="I114" s="243"/>
      <c r="J114" s="243"/>
      <c r="K114" s="243"/>
      <c r="L114" s="243"/>
      <c r="M114" s="243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45">
      <c r="A115" s="5"/>
      <c r="B115" s="5"/>
      <c r="C115" s="5"/>
      <c r="D115" s="5"/>
      <c r="E115" s="5"/>
      <c r="F115" s="5"/>
      <c r="G115" s="5"/>
      <c r="H115" s="5"/>
      <c r="I115" s="243"/>
      <c r="J115" s="243"/>
      <c r="K115" s="243"/>
      <c r="L115" s="243"/>
      <c r="M115" s="243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45">
      <c r="A116" s="5"/>
      <c r="B116" s="5"/>
      <c r="C116" s="5"/>
      <c r="D116" s="5"/>
      <c r="E116" s="5"/>
      <c r="F116" s="5"/>
      <c r="G116" s="5"/>
      <c r="H116" s="5"/>
      <c r="I116" s="243"/>
      <c r="J116" s="243"/>
      <c r="K116" s="243"/>
      <c r="L116" s="243"/>
      <c r="M116" s="243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45">
      <c r="A117" s="5"/>
      <c r="B117" s="5"/>
      <c r="C117" s="5"/>
      <c r="D117" s="5"/>
      <c r="E117" s="5"/>
      <c r="F117" s="5"/>
      <c r="G117" s="5"/>
      <c r="H117" s="5"/>
      <c r="I117" s="243"/>
      <c r="J117" s="243"/>
      <c r="K117" s="243"/>
      <c r="L117" s="243"/>
      <c r="M117" s="243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45">
      <c r="A118" s="5"/>
      <c r="B118" s="5"/>
      <c r="C118" s="5"/>
      <c r="D118" s="5"/>
      <c r="E118" s="5"/>
      <c r="F118" s="5"/>
      <c r="G118" s="5"/>
      <c r="H118" s="5"/>
      <c r="I118" s="243"/>
      <c r="J118" s="243"/>
      <c r="K118" s="243"/>
      <c r="L118" s="243"/>
      <c r="M118" s="243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45">
      <c r="A119" s="5"/>
      <c r="B119" s="5"/>
      <c r="C119" s="5"/>
      <c r="D119" s="5"/>
      <c r="E119" s="5"/>
      <c r="F119" s="5"/>
      <c r="G119" s="5"/>
      <c r="H119" s="5"/>
      <c r="I119" s="243"/>
      <c r="J119" s="243"/>
      <c r="K119" s="243"/>
      <c r="L119" s="243"/>
      <c r="M119" s="243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45">
      <c r="A120" s="5"/>
      <c r="B120" s="5"/>
      <c r="C120" s="5"/>
      <c r="D120" s="5"/>
      <c r="E120" s="5"/>
      <c r="F120" s="5"/>
      <c r="G120" s="5"/>
      <c r="H120" s="5"/>
      <c r="I120" s="243"/>
      <c r="J120" s="243"/>
      <c r="K120" s="243"/>
      <c r="L120" s="243"/>
      <c r="M120" s="243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45">
      <c r="A121" s="5"/>
      <c r="B121" s="5"/>
      <c r="C121" s="5"/>
      <c r="D121" s="5"/>
      <c r="E121" s="5"/>
      <c r="F121" s="5"/>
      <c r="G121" s="5"/>
      <c r="H121" s="5"/>
      <c r="I121" s="243"/>
      <c r="J121" s="243"/>
      <c r="K121" s="243"/>
      <c r="L121" s="243"/>
      <c r="M121" s="243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45">
      <c r="A122" s="5"/>
      <c r="B122" s="5"/>
      <c r="C122" s="5"/>
      <c r="D122" s="5"/>
      <c r="E122" s="5"/>
      <c r="F122" s="5"/>
      <c r="G122" s="5"/>
      <c r="H122" s="5"/>
      <c r="I122" s="243"/>
      <c r="J122" s="243"/>
      <c r="K122" s="243"/>
      <c r="L122" s="243"/>
      <c r="M122" s="243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45">
      <c r="A123" s="5"/>
      <c r="B123" s="5"/>
      <c r="C123" s="5"/>
      <c r="D123" s="5"/>
      <c r="E123" s="5"/>
      <c r="F123" s="5"/>
      <c r="G123" s="5"/>
      <c r="H123" s="5"/>
      <c r="I123" s="243"/>
      <c r="J123" s="243"/>
      <c r="K123" s="243"/>
      <c r="L123" s="243"/>
      <c r="M123" s="243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45">
      <c r="A124" s="5"/>
      <c r="B124" s="5"/>
      <c r="C124" s="5"/>
      <c r="D124" s="5"/>
      <c r="E124" s="5"/>
      <c r="F124" s="5"/>
      <c r="G124" s="5"/>
      <c r="H124" s="5"/>
      <c r="I124" s="243"/>
      <c r="J124" s="243"/>
      <c r="K124" s="243"/>
      <c r="L124" s="243"/>
      <c r="M124" s="243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45">
      <c r="A125" s="5"/>
      <c r="B125" s="5"/>
      <c r="C125" s="5"/>
      <c r="D125" s="5"/>
      <c r="E125" s="5"/>
      <c r="F125" s="5"/>
      <c r="G125" s="5"/>
      <c r="H125" s="5"/>
      <c r="I125" s="243"/>
      <c r="J125" s="243"/>
      <c r="K125" s="243"/>
      <c r="L125" s="243"/>
      <c r="M125" s="243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45">
      <c r="A126" s="5"/>
      <c r="B126" s="5"/>
      <c r="C126" s="5"/>
      <c r="D126" s="5"/>
      <c r="E126" s="5"/>
      <c r="F126" s="5"/>
      <c r="G126" s="5"/>
      <c r="H126" s="5"/>
      <c r="I126" s="243"/>
      <c r="J126" s="243"/>
      <c r="K126" s="243"/>
      <c r="L126" s="243"/>
      <c r="M126" s="243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45">
      <c r="A127" s="5"/>
      <c r="B127" s="5"/>
      <c r="C127" s="5"/>
      <c r="D127" s="5"/>
      <c r="E127" s="5"/>
      <c r="F127" s="5"/>
      <c r="G127" s="5"/>
      <c r="H127" s="5"/>
      <c r="I127" s="243"/>
      <c r="J127" s="243"/>
      <c r="K127" s="243"/>
      <c r="L127" s="243"/>
      <c r="M127" s="243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45">
      <c r="A128" s="5"/>
      <c r="B128" s="5"/>
      <c r="C128" s="5"/>
      <c r="D128" s="5"/>
      <c r="E128" s="5"/>
      <c r="F128" s="5"/>
      <c r="G128" s="5"/>
      <c r="H128" s="5"/>
      <c r="I128" s="243"/>
      <c r="J128" s="243"/>
      <c r="K128" s="243"/>
      <c r="L128" s="243"/>
      <c r="M128" s="243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4.65" thickBot="1" x14ac:dyDescent="0.5">
      <c r="A129" s="5"/>
      <c r="B129" s="5"/>
      <c r="C129" s="5"/>
      <c r="D129" s="5"/>
      <c r="E129" s="5"/>
      <c r="F129" s="5"/>
      <c r="G129" s="5"/>
      <c r="H129" s="5"/>
      <c r="I129" s="243"/>
      <c r="J129" s="243"/>
      <c r="K129" s="243"/>
      <c r="L129" s="243"/>
      <c r="M129" s="243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4.65" thickBot="1" x14ac:dyDescent="0.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43"/>
      <c r="J130" s="243"/>
      <c r="K130" s="243"/>
      <c r="L130" s="243"/>
      <c r="M130" s="243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45">
      <c r="A131" s="5"/>
      <c r="B131" s="5"/>
      <c r="C131" s="5"/>
      <c r="D131" s="5"/>
      <c r="E131" s="5"/>
      <c r="F131" s="5"/>
      <c r="G131" s="5"/>
      <c r="H131" s="5"/>
      <c r="I131" s="243"/>
      <c r="J131" s="243"/>
      <c r="K131" s="243"/>
      <c r="L131" s="243"/>
      <c r="M131" s="243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45">
      <c r="A132" s="5"/>
      <c r="B132" s="5"/>
      <c r="C132" s="5"/>
      <c r="D132" s="5"/>
      <c r="E132" s="5"/>
      <c r="F132" s="5"/>
      <c r="G132" s="5"/>
      <c r="H132" s="5"/>
      <c r="I132" s="243"/>
      <c r="J132" s="243"/>
      <c r="K132" s="243"/>
      <c r="L132" s="243"/>
      <c r="M132" s="243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45">
      <c r="A133" s="5"/>
      <c r="B133" s="5"/>
      <c r="C133" s="5"/>
      <c r="D133" s="5"/>
      <c r="E133" s="5"/>
      <c r="F133" s="5"/>
      <c r="G133" s="5"/>
      <c r="H133" s="5"/>
      <c r="I133" s="243"/>
      <c r="J133" s="243"/>
      <c r="K133" s="243"/>
      <c r="L133" s="243"/>
      <c r="M133" s="243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45">
      <c r="A134" s="5"/>
      <c r="B134" s="5"/>
      <c r="C134" s="5"/>
      <c r="D134" s="5"/>
      <c r="E134" s="5"/>
      <c r="F134" s="5"/>
      <c r="G134" s="5"/>
      <c r="H134" s="5"/>
      <c r="I134" s="243"/>
      <c r="J134" s="243"/>
      <c r="K134" s="243"/>
      <c r="L134" s="243"/>
      <c r="M134" s="243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45">
      <c r="A135" s="5"/>
      <c r="B135" s="5"/>
      <c r="C135" s="5"/>
      <c r="D135" s="5"/>
      <c r="E135" s="5"/>
      <c r="F135" s="5"/>
      <c r="G135" s="5"/>
      <c r="H135" s="5"/>
      <c r="I135" s="243"/>
      <c r="J135" s="243"/>
      <c r="K135" s="243"/>
      <c r="L135" s="243"/>
      <c r="M135" s="243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45">
      <c r="A136" s="5"/>
      <c r="B136" s="5"/>
      <c r="C136" s="5"/>
      <c r="D136" s="5"/>
      <c r="E136" s="5"/>
      <c r="F136" s="5"/>
      <c r="G136" s="5"/>
      <c r="H136" s="5"/>
      <c r="I136" s="243"/>
      <c r="J136" s="243"/>
      <c r="K136" s="243"/>
      <c r="L136" s="243"/>
      <c r="M136" s="243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45">
      <c r="A137" s="5"/>
      <c r="B137" s="5"/>
      <c r="C137" s="5"/>
      <c r="D137" s="5"/>
      <c r="E137" s="5"/>
      <c r="F137" s="5"/>
      <c r="G137" s="5"/>
      <c r="H137" s="5"/>
      <c r="I137" s="243"/>
      <c r="J137" s="243"/>
      <c r="K137" s="243"/>
      <c r="L137" s="243"/>
      <c r="M137" s="243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45">
      <c r="A138" s="5"/>
      <c r="B138" s="5"/>
      <c r="C138" s="5"/>
      <c r="D138" s="5"/>
      <c r="E138" s="5"/>
      <c r="F138" s="5"/>
      <c r="G138" s="5"/>
      <c r="H138" s="5"/>
      <c r="I138" s="243"/>
      <c r="J138" s="243"/>
      <c r="K138" s="243"/>
      <c r="L138" s="243"/>
      <c r="M138" s="243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45">
      <c r="A139" s="5"/>
      <c r="B139" s="5"/>
      <c r="C139" s="5"/>
      <c r="D139" s="5"/>
      <c r="E139" s="5"/>
      <c r="F139" s="5"/>
      <c r="G139" s="5"/>
      <c r="H139" s="5"/>
      <c r="I139" s="243"/>
      <c r="J139" s="243"/>
      <c r="K139" s="243"/>
      <c r="L139" s="243"/>
      <c r="M139" s="243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45">
      <c r="A140" s="5"/>
      <c r="B140" s="5"/>
      <c r="C140" s="5"/>
      <c r="D140" s="5"/>
      <c r="E140" s="5"/>
      <c r="F140" s="5"/>
      <c r="G140" s="5"/>
      <c r="H140" s="5"/>
      <c r="I140" s="243"/>
      <c r="J140" s="243"/>
      <c r="K140" s="243"/>
      <c r="L140" s="243"/>
      <c r="M140" s="243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45">
      <c r="A141" s="5"/>
      <c r="B141" s="5"/>
      <c r="C141" s="5"/>
      <c r="D141" s="5"/>
      <c r="E141" s="5"/>
      <c r="F141" s="5"/>
      <c r="G141" s="5"/>
      <c r="H141" s="5"/>
      <c r="I141" s="243"/>
      <c r="J141" s="243"/>
      <c r="K141" s="243"/>
      <c r="L141" s="243"/>
      <c r="M141" s="243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45">
      <c r="A142" s="5"/>
      <c r="B142" s="5"/>
      <c r="C142" s="5"/>
      <c r="D142" s="5"/>
      <c r="E142" s="5"/>
      <c r="F142" s="5"/>
      <c r="G142" s="5"/>
      <c r="H142" s="5"/>
      <c r="I142" s="243"/>
      <c r="J142" s="243"/>
      <c r="K142" s="243"/>
      <c r="L142" s="243"/>
      <c r="M142" s="243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45">
      <c r="A143" s="5"/>
      <c r="B143" s="5"/>
      <c r="C143" s="5"/>
      <c r="D143" s="5"/>
      <c r="E143" s="5"/>
      <c r="F143" s="5"/>
      <c r="G143" s="5"/>
      <c r="H143" s="5"/>
      <c r="I143" s="243"/>
      <c r="J143" s="243"/>
      <c r="K143" s="243"/>
      <c r="L143" s="243"/>
      <c r="M143" s="243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45">
      <c r="A144" s="5"/>
      <c r="B144" s="5"/>
      <c r="C144" s="5"/>
      <c r="D144" s="5"/>
      <c r="E144" s="5"/>
      <c r="F144" s="5"/>
      <c r="G144" s="5"/>
      <c r="H144" s="5"/>
      <c r="I144" s="243"/>
      <c r="J144" s="243"/>
      <c r="K144" s="243"/>
      <c r="L144" s="243"/>
      <c r="M144" s="243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45">
      <c r="A145" s="5"/>
      <c r="B145" s="5"/>
      <c r="C145" s="5"/>
      <c r="D145" s="5"/>
      <c r="E145" s="5"/>
      <c r="F145" s="5"/>
      <c r="G145" s="5"/>
      <c r="H145" s="5"/>
      <c r="I145" s="243"/>
      <c r="J145" s="243"/>
      <c r="K145" s="243"/>
      <c r="L145" s="243"/>
      <c r="M145" s="243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45">
      <c r="A146" s="5"/>
      <c r="B146" s="5"/>
      <c r="C146" s="5"/>
      <c r="D146" s="5"/>
      <c r="E146" s="5"/>
      <c r="F146" s="5"/>
      <c r="G146" s="5"/>
      <c r="H146" s="5"/>
      <c r="I146" s="243"/>
      <c r="J146" s="243"/>
      <c r="K146" s="243"/>
      <c r="L146" s="243"/>
      <c r="M146" s="243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4.65" thickBot="1" x14ac:dyDescent="0.5">
      <c r="A147" s="5"/>
      <c r="B147" s="5"/>
      <c r="C147" s="5"/>
      <c r="D147" s="5"/>
      <c r="E147" s="5"/>
      <c r="F147" s="5"/>
      <c r="G147" s="5"/>
      <c r="H147" s="5"/>
      <c r="I147" s="243"/>
      <c r="J147" s="243"/>
      <c r="K147" s="243"/>
      <c r="L147" s="243"/>
      <c r="M147" s="243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4.65" thickBot="1" x14ac:dyDescent="0.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43"/>
      <c r="J148" s="243"/>
      <c r="K148" s="243"/>
      <c r="L148" s="243"/>
      <c r="M148" s="243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45">
      <c r="A149" s="5"/>
      <c r="B149" s="5"/>
      <c r="C149" s="5"/>
      <c r="D149" s="5"/>
      <c r="E149" s="5"/>
      <c r="F149" s="5"/>
      <c r="G149" s="5"/>
      <c r="H149" s="5"/>
      <c r="I149" s="243"/>
      <c r="J149" s="243"/>
      <c r="K149" s="243"/>
      <c r="L149" s="243"/>
      <c r="M149" s="243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45">
      <c r="A150" s="5"/>
      <c r="B150" s="5"/>
      <c r="C150" s="5"/>
      <c r="D150" s="5"/>
      <c r="E150" s="5"/>
      <c r="F150" s="5"/>
      <c r="G150" s="5"/>
      <c r="H150" s="5"/>
      <c r="I150" s="243"/>
      <c r="J150" s="243"/>
      <c r="K150" s="243"/>
      <c r="L150" s="243"/>
      <c r="M150" s="243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45">
      <c r="A151" s="5"/>
      <c r="B151" s="5"/>
      <c r="C151" s="5"/>
      <c r="D151" s="5"/>
      <c r="E151" s="5"/>
      <c r="F151" s="5"/>
      <c r="G151" s="5"/>
      <c r="H151" s="5"/>
      <c r="I151" s="243"/>
      <c r="J151" s="243"/>
      <c r="K151" s="243"/>
      <c r="L151" s="243"/>
      <c r="M151" s="243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45">
      <c r="A152" s="5"/>
      <c r="B152" s="5"/>
      <c r="C152" s="5"/>
      <c r="D152" s="5"/>
      <c r="E152" s="5"/>
      <c r="F152" s="5"/>
      <c r="G152" s="5"/>
      <c r="H152" s="5"/>
      <c r="I152" s="243"/>
      <c r="J152" s="243"/>
      <c r="K152" s="243"/>
      <c r="L152" s="243"/>
      <c r="M152" s="243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45">
      <c r="A153" s="5"/>
      <c r="B153" s="5"/>
      <c r="C153" s="5"/>
      <c r="D153" s="5"/>
      <c r="E153" s="5"/>
      <c r="F153" s="5"/>
      <c r="G153" s="5"/>
      <c r="H153" s="5"/>
      <c r="I153" s="243"/>
      <c r="J153" s="243"/>
      <c r="K153" s="243"/>
      <c r="L153" s="243"/>
      <c r="M153" s="243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45">
      <c r="A154" s="5"/>
      <c r="B154" s="5"/>
      <c r="C154" s="5"/>
      <c r="D154" s="5"/>
      <c r="E154" s="5"/>
      <c r="F154" s="5"/>
      <c r="G154" s="5"/>
      <c r="H154" s="5"/>
      <c r="I154" s="243"/>
      <c r="J154" s="243"/>
      <c r="K154" s="243"/>
      <c r="L154" s="243"/>
      <c r="M154" s="243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45">
      <c r="A155" s="5"/>
      <c r="B155" s="5"/>
      <c r="C155" s="5"/>
      <c r="D155" s="5"/>
      <c r="E155" s="5"/>
      <c r="F155" s="5"/>
      <c r="G155" s="5"/>
      <c r="H155" s="5"/>
      <c r="I155" s="243"/>
      <c r="J155" s="243"/>
      <c r="K155" s="243"/>
      <c r="L155" s="243"/>
      <c r="M155" s="243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45">
      <c r="A156" s="5"/>
      <c r="B156" s="5"/>
      <c r="C156" s="5"/>
      <c r="D156" s="5"/>
      <c r="E156" s="5"/>
      <c r="F156" s="5"/>
      <c r="G156" s="5"/>
      <c r="H156" s="5"/>
      <c r="I156" s="243"/>
      <c r="J156" s="243"/>
      <c r="K156" s="243"/>
      <c r="L156" s="243"/>
      <c r="M156" s="243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45">
      <c r="A157" s="5"/>
      <c r="B157" s="5"/>
      <c r="C157" s="5"/>
      <c r="D157" s="5"/>
      <c r="E157" s="5"/>
      <c r="F157" s="5"/>
      <c r="G157" s="5"/>
      <c r="H157" s="5"/>
      <c r="I157" s="243"/>
      <c r="J157" s="243"/>
      <c r="K157" s="243"/>
      <c r="L157" s="243"/>
      <c r="M157" s="243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45">
      <c r="A158" s="5"/>
      <c r="B158" s="5"/>
      <c r="C158" s="5"/>
      <c r="D158" s="5"/>
      <c r="E158" s="5"/>
      <c r="F158" s="5"/>
      <c r="G158" s="5"/>
      <c r="H158" s="5"/>
      <c r="I158" s="243"/>
      <c r="J158" s="243"/>
      <c r="K158" s="243"/>
      <c r="L158" s="243"/>
      <c r="M158" s="243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45">
      <c r="A159" s="5"/>
      <c r="B159" s="5"/>
      <c r="C159" s="5"/>
      <c r="D159" s="5"/>
      <c r="E159" s="5"/>
      <c r="F159" s="5"/>
      <c r="G159" s="5"/>
      <c r="H159" s="5"/>
      <c r="I159" s="243"/>
      <c r="J159" s="243"/>
      <c r="K159" s="243"/>
      <c r="L159" s="243"/>
      <c r="M159" s="243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45">
      <c r="A160" s="5"/>
      <c r="B160" s="5"/>
      <c r="C160" s="5"/>
      <c r="D160" s="5"/>
      <c r="E160" s="5"/>
      <c r="F160" s="5"/>
      <c r="G160" s="5"/>
      <c r="H160" s="5"/>
      <c r="I160" s="243"/>
      <c r="J160" s="243"/>
      <c r="K160" s="243"/>
      <c r="L160" s="243"/>
      <c r="M160" s="243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45">
      <c r="A161" s="5"/>
      <c r="B161" s="5"/>
      <c r="C161" s="5"/>
      <c r="D161" s="5"/>
      <c r="E161" s="5"/>
      <c r="F161" s="5"/>
      <c r="G161" s="5"/>
      <c r="H161" s="5"/>
      <c r="I161" s="243"/>
      <c r="J161" s="243"/>
      <c r="K161" s="243"/>
      <c r="L161" s="243"/>
      <c r="M161" s="243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45">
      <c r="A162" s="5"/>
      <c r="B162" s="5"/>
      <c r="C162" s="5"/>
      <c r="D162" s="5"/>
      <c r="E162" s="5"/>
      <c r="F162" s="5"/>
      <c r="G162" s="5"/>
      <c r="H162" s="5"/>
      <c r="I162" s="243"/>
      <c r="J162" s="243"/>
      <c r="K162" s="243"/>
      <c r="L162" s="243"/>
      <c r="M162" s="243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45">
      <c r="A163" s="5"/>
      <c r="B163" s="5"/>
      <c r="C163" s="5"/>
      <c r="D163" s="5"/>
      <c r="E163" s="5"/>
      <c r="F163" s="5"/>
      <c r="G163" s="5"/>
      <c r="H163" s="5"/>
      <c r="I163" s="243"/>
      <c r="J163" s="243"/>
      <c r="K163" s="243"/>
      <c r="L163" s="243"/>
      <c r="M163" s="243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45">
      <c r="A164" s="5"/>
      <c r="B164" s="5"/>
      <c r="C164" s="5"/>
      <c r="D164" s="5"/>
      <c r="E164" s="5"/>
      <c r="F164" s="5"/>
      <c r="G164" s="5"/>
      <c r="H164" s="5"/>
      <c r="I164" s="243"/>
      <c r="J164" s="243"/>
      <c r="K164" s="243"/>
      <c r="L164" s="243"/>
      <c r="M164" s="243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4.65" thickBot="1" x14ac:dyDescent="0.5">
      <c r="A165" s="5"/>
      <c r="B165" s="5"/>
      <c r="C165" s="5"/>
      <c r="D165" s="5"/>
      <c r="E165" s="5"/>
      <c r="F165" s="5"/>
      <c r="G165" s="5"/>
      <c r="H165" s="5"/>
      <c r="I165" s="243"/>
      <c r="J165" s="243"/>
      <c r="K165" s="243"/>
      <c r="L165" s="243"/>
      <c r="M165" s="243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4.65" thickBot="1" x14ac:dyDescent="0.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43"/>
      <c r="J166" s="243"/>
      <c r="K166" s="243"/>
      <c r="L166" s="243"/>
      <c r="M166" s="243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45">
      <c r="A167" s="5"/>
      <c r="B167" s="5"/>
      <c r="C167" s="5"/>
      <c r="D167" s="5"/>
      <c r="E167" s="5"/>
      <c r="F167" s="5"/>
      <c r="G167" s="5"/>
      <c r="H167" s="5"/>
      <c r="I167" s="243"/>
      <c r="J167" s="243"/>
      <c r="K167" s="243"/>
      <c r="L167" s="243"/>
      <c r="M167" s="243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45">
      <c r="A168" s="5"/>
      <c r="B168" s="5"/>
      <c r="C168" s="5"/>
      <c r="D168" s="5"/>
      <c r="E168" s="5"/>
      <c r="F168" s="5"/>
      <c r="G168" s="5"/>
      <c r="H168" s="5"/>
      <c r="I168" s="243"/>
      <c r="J168" s="243"/>
      <c r="K168" s="243"/>
      <c r="L168" s="243"/>
      <c r="M168" s="243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45">
      <c r="A169" s="5"/>
      <c r="B169" s="5"/>
      <c r="C169" s="5"/>
      <c r="D169" s="5"/>
      <c r="E169" s="5"/>
      <c r="F169" s="5"/>
      <c r="G169" s="5"/>
      <c r="H169" s="5"/>
      <c r="I169" s="243"/>
      <c r="J169" s="243"/>
      <c r="K169" s="243"/>
      <c r="L169" s="243"/>
      <c r="M169" s="243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45">
      <c r="A170" s="5"/>
      <c r="B170" s="5"/>
      <c r="C170" s="5"/>
      <c r="D170" s="5"/>
      <c r="E170" s="5"/>
      <c r="F170" s="5"/>
      <c r="G170" s="5"/>
      <c r="H170" s="5"/>
      <c r="I170" s="243"/>
      <c r="J170" s="243"/>
      <c r="K170" s="243"/>
      <c r="L170" s="243"/>
      <c r="M170" s="243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45">
      <c r="A171" s="5"/>
      <c r="B171" s="5"/>
      <c r="C171" s="5"/>
      <c r="D171" s="5"/>
      <c r="E171" s="5"/>
      <c r="F171" s="5"/>
      <c r="G171" s="5"/>
      <c r="H171" s="5"/>
      <c r="I171" s="243"/>
      <c r="J171" s="243"/>
      <c r="K171" s="243"/>
      <c r="L171" s="243"/>
      <c r="M171" s="243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45">
      <c r="A172" s="5"/>
      <c r="B172" s="5"/>
      <c r="C172" s="5"/>
      <c r="D172" s="5"/>
      <c r="E172" s="5"/>
      <c r="F172" s="5"/>
      <c r="G172" s="5"/>
      <c r="H172" s="5"/>
      <c r="I172" s="243"/>
      <c r="J172" s="243"/>
      <c r="K172" s="243"/>
      <c r="L172" s="243"/>
      <c r="M172" s="243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45">
      <c r="A173" s="5"/>
      <c r="B173" s="5"/>
      <c r="C173" s="5"/>
      <c r="D173" s="5"/>
      <c r="E173" s="5"/>
      <c r="F173" s="5"/>
      <c r="G173" s="5"/>
      <c r="H173" s="5"/>
      <c r="I173" s="243"/>
      <c r="J173" s="243"/>
      <c r="K173" s="243"/>
      <c r="L173" s="243"/>
      <c r="M173" s="243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45">
      <c r="A174" s="5"/>
      <c r="B174" s="5"/>
      <c r="C174" s="5"/>
      <c r="D174" s="5"/>
      <c r="E174" s="5"/>
      <c r="F174" s="5"/>
      <c r="G174" s="5"/>
      <c r="H174" s="5"/>
      <c r="I174" s="243"/>
      <c r="J174" s="243"/>
      <c r="K174" s="243"/>
      <c r="L174" s="243"/>
      <c r="M174" s="243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45">
      <c r="A175" s="5"/>
      <c r="B175" s="5"/>
      <c r="C175" s="5"/>
      <c r="D175" s="5"/>
      <c r="E175" s="5"/>
      <c r="F175" s="5"/>
      <c r="G175" s="5"/>
      <c r="H175" s="5"/>
      <c r="I175" s="243"/>
      <c r="J175" s="243"/>
      <c r="K175" s="243"/>
      <c r="L175" s="243"/>
      <c r="M175" s="243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45">
      <c r="A176" s="5"/>
      <c r="B176" s="5"/>
      <c r="C176" s="5"/>
      <c r="D176" s="5"/>
      <c r="E176" s="5"/>
      <c r="F176" s="5"/>
      <c r="G176" s="5"/>
      <c r="H176" s="5"/>
      <c r="I176" s="243"/>
      <c r="J176" s="243"/>
      <c r="K176" s="243"/>
      <c r="L176" s="243"/>
      <c r="M176" s="243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45">
      <c r="A177" s="5"/>
      <c r="B177" s="5"/>
      <c r="C177" s="5"/>
      <c r="D177" s="5"/>
      <c r="E177" s="5"/>
      <c r="F177" s="5"/>
      <c r="G177" s="5"/>
      <c r="H177" s="5"/>
      <c r="I177" s="243"/>
      <c r="J177" s="243"/>
      <c r="K177" s="243"/>
      <c r="L177" s="243"/>
      <c r="M177" s="243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45">
      <c r="A178" s="5"/>
      <c r="B178" s="5"/>
      <c r="C178" s="5"/>
      <c r="D178" s="5"/>
      <c r="E178" s="5"/>
      <c r="F178" s="5"/>
      <c r="G178" s="5"/>
      <c r="H178" s="5"/>
      <c r="I178" s="243"/>
      <c r="J178" s="243"/>
      <c r="K178" s="243"/>
      <c r="L178" s="243"/>
      <c r="M178" s="243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45">
      <c r="A179" s="5"/>
      <c r="B179" s="5"/>
      <c r="C179" s="5"/>
      <c r="D179" s="5"/>
      <c r="E179" s="5"/>
      <c r="F179" s="5"/>
      <c r="G179" s="5"/>
      <c r="H179" s="5"/>
      <c r="I179" s="243"/>
      <c r="J179" s="243"/>
      <c r="K179" s="243"/>
      <c r="L179" s="243"/>
      <c r="M179" s="243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45">
      <c r="A180" s="5"/>
      <c r="B180" s="5"/>
      <c r="C180" s="5"/>
      <c r="D180" s="5"/>
      <c r="E180" s="5"/>
      <c r="F180" s="5"/>
      <c r="G180" s="5"/>
      <c r="H180" s="5"/>
      <c r="I180" s="243"/>
      <c r="J180" s="243"/>
      <c r="K180" s="243"/>
      <c r="L180" s="243"/>
      <c r="M180" s="243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45">
      <c r="A181" s="5"/>
      <c r="B181" s="5"/>
      <c r="C181" s="5"/>
      <c r="D181" s="5"/>
      <c r="E181" s="5"/>
      <c r="F181" s="5"/>
      <c r="G181" s="5"/>
      <c r="H181" s="5"/>
      <c r="I181" s="243"/>
      <c r="J181" s="243"/>
      <c r="K181" s="243"/>
      <c r="L181" s="243"/>
      <c r="M181" s="243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45">
      <c r="A182" s="5"/>
      <c r="B182" s="5"/>
      <c r="C182" s="5"/>
      <c r="D182" s="5"/>
      <c r="E182" s="5"/>
      <c r="F182" s="5"/>
      <c r="G182" s="5"/>
      <c r="H182" s="5"/>
      <c r="I182" s="243"/>
      <c r="J182" s="243"/>
      <c r="K182" s="243"/>
      <c r="L182" s="243"/>
      <c r="M182" s="243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4.65" thickBot="1" x14ac:dyDescent="0.5">
      <c r="A183" s="5"/>
      <c r="B183" s="5"/>
      <c r="C183" s="5"/>
      <c r="D183" s="5"/>
      <c r="E183" s="5"/>
      <c r="F183" s="5"/>
      <c r="G183" s="5"/>
      <c r="H183" s="5"/>
      <c r="I183" s="243"/>
      <c r="J183" s="243"/>
      <c r="K183" s="243"/>
      <c r="L183" s="243"/>
      <c r="M183" s="243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4.65" thickBot="1" x14ac:dyDescent="0.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43"/>
      <c r="J184" s="243"/>
      <c r="K184" s="243"/>
      <c r="L184" s="243"/>
      <c r="M184" s="243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45">
      <c r="A185" s="5"/>
      <c r="B185" s="5"/>
      <c r="C185" s="5"/>
      <c r="D185" s="5"/>
      <c r="E185" s="5"/>
      <c r="F185" s="5"/>
      <c r="G185" s="5"/>
      <c r="H185" s="5"/>
      <c r="I185" s="243"/>
      <c r="J185" s="243"/>
      <c r="K185" s="243"/>
      <c r="L185" s="243"/>
      <c r="M185" s="243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45">
      <c r="A186" s="5"/>
      <c r="B186" s="5"/>
      <c r="C186" s="5"/>
      <c r="D186" s="5"/>
      <c r="E186" s="5"/>
      <c r="F186" s="5"/>
      <c r="G186" s="5"/>
      <c r="H186" s="5"/>
      <c r="I186" s="243"/>
      <c r="J186" s="243"/>
      <c r="K186" s="243"/>
      <c r="L186" s="243"/>
      <c r="M186" s="243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45">
      <c r="A187" s="5"/>
      <c r="B187" s="5"/>
      <c r="C187" s="5"/>
      <c r="D187" s="5"/>
      <c r="E187" s="5"/>
      <c r="F187" s="5"/>
      <c r="G187" s="5"/>
      <c r="H187" s="5"/>
      <c r="I187" s="243"/>
      <c r="J187" s="243"/>
      <c r="K187" s="243"/>
      <c r="L187" s="243"/>
      <c r="M187" s="243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45">
      <c r="A188" s="5"/>
      <c r="B188" s="5"/>
      <c r="C188" s="5"/>
      <c r="D188" s="5"/>
      <c r="E188" s="5"/>
      <c r="F188" s="5"/>
      <c r="G188" s="5"/>
      <c r="H188" s="5"/>
      <c r="I188" s="243"/>
      <c r="J188" s="243"/>
      <c r="K188" s="243"/>
      <c r="L188" s="243"/>
      <c r="M188" s="243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45">
      <c r="A189" s="5"/>
      <c r="B189" s="5"/>
      <c r="C189" s="5"/>
      <c r="D189" s="5"/>
      <c r="E189" s="5"/>
      <c r="F189" s="5"/>
      <c r="G189" s="5"/>
      <c r="H189" s="5"/>
      <c r="I189" s="243"/>
      <c r="J189" s="243"/>
      <c r="K189" s="243"/>
      <c r="L189" s="243"/>
      <c r="M189" s="243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45">
      <c r="A190" s="5"/>
      <c r="B190" s="5"/>
      <c r="C190" s="5"/>
      <c r="D190" s="5"/>
      <c r="E190" s="5"/>
      <c r="F190" s="5"/>
      <c r="G190" s="5"/>
      <c r="H190" s="5"/>
      <c r="I190" s="243"/>
      <c r="J190" s="243"/>
      <c r="K190" s="243"/>
      <c r="L190" s="243"/>
      <c r="M190" s="243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45">
      <c r="A191" s="5"/>
      <c r="B191" s="5"/>
      <c r="C191" s="5"/>
      <c r="D191" s="5"/>
      <c r="E191" s="5"/>
      <c r="F191" s="5"/>
      <c r="G191" s="5"/>
      <c r="H191" s="5"/>
      <c r="I191" s="243"/>
      <c r="J191" s="243"/>
      <c r="K191" s="243"/>
      <c r="L191" s="243"/>
      <c r="M191" s="243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45">
      <c r="A192" s="5"/>
      <c r="B192" s="5"/>
      <c r="C192" s="5"/>
      <c r="D192" s="5"/>
      <c r="E192" s="5"/>
      <c r="F192" s="5"/>
      <c r="G192" s="5"/>
      <c r="H192" s="5"/>
      <c r="I192" s="243"/>
      <c r="J192" s="243"/>
      <c r="K192" s="243"/>
      <c r="L192" s="243"/>
      <c r="M192" s="243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45">
      <c r="A193" s="5"/>
      <c r="B193" s="5"/>
      <c r="C193" s="5"/>
      <c r="D193" s="5"/>
      <c r="E193" s="5"/>
      <c r="F193" s="5"/>
      <c r="G193" s="5"/>
      <c r="H193" s="5"/>
      <c r="I193" s="243"/>
      <c r="J193" s="243"/>
      <c r="K193" s="243"/>
      <c r="L193" s="243"/>
      <c r="M193" s="243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45">
      <c r="A194" s="5"/>
      <c r="B194" s="5"/>
      <c r="C194" s="5"/>
      <c r="D194" s="5"/>
      <c r="E194" s="5"/>
      <c r="F194" s="5"/>
      <c r="G194" s="5"/>
      <c r="H194" s="5"/>
      <c r="I194" s="243"/>
      <c r="J194" s="243"/>
      <c r="K194" s="243"/>
      <c r="L194" s="243"/>
      <c r="M194" s="243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45">
      <c r="A195" s="5"/>
      <c r="B195" s="5"/>
      <c r="C195" s="5"/>
      <c r="D195" s="5"/>
      <c r="E195" s="5"/>
      <c r="F195" s="5"/>
      <c r="G195" s="5"/>
      <c r="H195" s="5"/>
      <c r="I195" s="243"/>
      <c r="J195" s="243"/>
      <c r="K195" s="243"/>
      <c r="L195" s="243"/>
      <c r="M195" s="243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45">
      <c r="A196" s="5"/>
      <c r="B196" s="5"/>
      <c r="C196" s="5"/>
      <c r="D196" s="5"/>
      <c r="E196" s="5"/>
      <c r="F196" s="5"/>
      <c r="G196" s="5"/>
      <c r="H196" s="5"/>
      <c r="I196" s="243"/>
      <c r="J196" s="243"/>
      <c r="K196" s="243"/>
      <c r="L196" s="243"/>
      <c r="M196" s="243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45">
      <c r="A197" s="5"/>
      <c r="B197" s="5"/>
      <c r="C197" s="5"/>
      <c r="D197" s="5"/>
      <c r="E197" s="5"/>
      <c r="F197" s="5"/>
      <c r="G197" s="5"/>
      <c r="H197" s="5"/>
      <c r="I197" s="243"/>
      <c r="J197" s="243"/>
      <c r="K197" s="243"/>
      <c r="L197" s="243"/>
      <c r="M197" s="243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45">
      <c r="A198" s="5"/>
      <c r="B198" s="5"/>
      <c r="C198" s="5"/>
      <c r="D198" s="5"/>
      <c r="E198" s="5"/>
      <c r="F198" s="5"/>
      <c r="G198" s="5"/>
      <c r="H198" s="5"/>
      <c r="I198" s="243"/>
      <c r="J198" s="243"/>
      <c r="K198" s="243"/>
      <c r="L198" s="243"/>
      <c r="M198" s="243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45">
      <c r="A199" s="5"/>
      <c r="B199" s="5"/>
      <c r="C199" s="5"/>
      <c r="D199" s="5"/>
      <c r="E199" s="5"/>
      <c r="F199" s="5"/>
      <c r="G199" s="5"/>
      <c r="H199" s="5"/>
      <c r="I199" s="243"/>
      <c r="J199" s="243"/>
      <c r="K199" s="243"/>
      <c r="L199" s="243"/>
      <c r="M199" s="243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45">
      <c r="A200" s="5"/>
      <c r="B200" s="5"/>
      <c r="C200" s="5"/>
      <c r="D200" s="5"/>
      <c r="E200" s="5"/>
      <c r="F200" s="5"/>
      <c r="G200" s="5"/>
      <c r="H200" s="5"/>
      <c r="I200" s="243"/>
      <c r="J200" s="243"/>
      <c r="K200" s="243"/>
      <c r="L200" s="243"/>
      <c r="M200" s="243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45">
      <c r="A201" s="5"/>
      <c r="B201" s="5"/>
      <c r="C201" s="5"/>
      <c r="D201" s="5"/>
      <c r="E201" s="5"/>
      <c r="F201" s="5"/>
      <c r="G201" s="5"/>
      <c r="H201" s="5"/>
      <c r="I201" s="243"/>
      <c r="J201" s="243"/>
      <c r="K201" s="243"/>
      <c r="L201" s="243"/>
      <c r="M201" s="243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45">
      <c r="A202" s="5"/>
      <c r="B202" s="5"/>
      <c r="C202" s="5"/>
      <c r="D202" s="5"/>
      <c r="E202" s="5"/>
      <c r="F202" s="5"/>
      <c r="G202" s="5"/>
      <c r="H202" s="5"/>
      <c r="I202" s="243"/>
      <c r="J202" s="243"/>
      <c r="K202" s="243"/>
      <c r="L202" s="243"/>
      <c r="M202" s="243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45">
      <c r="A203" s="5"/>
      <c r="B203" s="5"/>
      <c r="C203" s="5"/>
      <c r="D203" s="5"/>
      <c r="E203" s="5"/>
      <c r="F203" s="5"/>
      <c r="G203" s="5"/>
      <c r="H203" s="5"/>
      <c r="I203" s="70"/>
      <c r="J203" s="70"/>
      <c r="K203" s="70"/>
      <c r="L203" s="70"/>
      <c r="M203" s="243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45">
      <c r="A204" s="5"/>
      <c r="B204" s="5"/>
      <c r="C204" s="5"/>
      <c r="D204" s="5"/>
      <c r="E204" s="5"/>
      <c r="F204" s="5"/>
      <c r="G204" s="5"/>
      <c r="H204" s="5"/>
      <c r="I204" s="70"/>
      <c r="J204" s="70"/>
      <c r="K204" s="70"/>
      <c r="L204" s="70"/>
      <c r="M204" s="7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45">
      <c r="A205" s="5"/>
      <c r="B205" s="5"/>
      <c r="C205" s="5"/>
      <c r="D205" s="5"/>
      <c r="E205" s="5"/>
      <c r="F205" s="5"/>
      <c r="G205" s="5"/>
      <c r="H205" s="5"/>
      <c r="I205" s="70"/>
      <c r="J205" s="70"/>
      <c r="K205" s="70"/>
      <c r="L205" s="70"/>
      <c r="M205" s="7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45">
      <c r="A206" s="5"/>
      <c r="B206" s="5"/>
      <c r="C206" s="5"/>
      <c r="D206" s="5"/>
      <c r="E206" s="5"/>
      <c r="F206" s="5"/>
      <c r="G206" s="5"/>
      <c r="H206" s="5"/>
      <c r="I206" s="70"/>
      <c r="J206" s="70"/>
      <c r="K206" s="70"/>
      <c r="L206" s="70"/>
      <c r="M206" s="7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45">
      <c r="A207" s="5"/>
      <c r="B207" s="5"/>
      <c r="C207" s="5"/>
      <c r="D207" s="5"/>
      <c r="E207" s="5"/>
      <c r="F207" s="5"/>
      <c r="G207" s="5"/>
      <c r="H207" s="5"/>
      <c r="I207" s="70"/>
      <c r="J207" s="70"/>
      <c r="K207" s="70"/>
      <c r="L207" s="70"/>
      <c r="M207" s="7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45">
      <c r="A208" s="5"/>
      <c r="B208" s="5"/>
      <c r="C208" s="5"/>
      <c r="D208" s="5"/>
      <c r="E208" s="5"/>
      <c r="F208" s="5"/>
      <c r="G208" s="5"/>
      <c r="H208" s="5"/>
      <c r="I208" s="70"/>
      <c r="J208" s="70"/>
      <c r="K208" s="70"/>
      <c r="L208" s="70"/>
      <c r="M208" s="7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45">
      <c r="A209" s="5"/>
      <c r="B209" s="5"/>
      <c r="C209" s="5"/>
      <c r="D209" s="5"/>
      <c r="E209" s="5"/>
      <c r="F209" s="5"/>
      <c r="G209" s="5"/>
      <c r="H209" s="5"/>
      <c r="I209" s="70"/>
      <c r="J209" s="70"/>
      <c r="K209" s="70"/>
      <c r="L209" s="70"/>
      <c r="M209" s="7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45">
      <c r="A210" s="5"/>
      <c r="B210" s="5"/>
      <c r="C210" s="5"/>
      <c r="D210" s="5"/>
      <c r="E210" s="5"/>
      <c r="F210" s="5"/>
      <c r="G210" s="5"/>
      <c r="H210" s="5"/>
      <c r="I210" s="70"/>
      <c r="J210" s="70"/>
      <c r="K210" s="70"/>
      <c r="L210" s="70"/>
      <c r="M210" s="7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45">
      <c r="A211" s="5"/>
      <c r="B211" s="5"/>
      <c r="C211" s="5"/>
      <c r="D211" s="5"/>
      <c r="E211" s="5"/>
      <c r="F211" s="5"/>
      <c r="G211" s="5"/>
      <c r="H211" s="5"/>
      <c r="I211" s="70"/>
      <c r="J211" s="70"/>
      <c r="K211" s="70"/>
      <c r="L211" s="70"/>
      <c r="M211" s="7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45">
      <c r="A212" s="5"/>
      <c r="B212" s="5"/>
      <c r="C212" s="5"/>
      <c r="D212" s="5"/>
      <c r="E212" s="5"/>
      <c r="F212" s="5"/>
      <c r="G212" s="5"/>
      <c r="H212" s="5"/>
      <c r="I212" s="70"/>
      <c r="J212" s="70"/>
      <c r="K212" s="70"/>
      <c r="L212" s="70"/>
      <c r="M212" s="7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45">
      <c r="A213" s="5"/>
      <c r="B213" s="5"/>
      <c r="C213" s="5"/>
      <c r="D213" s="5"/>
      <c r="E213" s="5"/>
      <c r="F213" s="5"/>
      <c r="G213" s="5"/>
      <c r="H213" s="5"/>
      <c r="I213" s="70"/>
      <c r="J213" s="70"/>
      <c r="K213" s="70"/>
      <c r="L213" s="70"/>
      <c r="M213" s="7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45">
      <c r="A214" s="5"/>
      <c r="B214" s="5"/>
      <c r="C214" s="5"/>
      <c r="D214" s="5"/>
      <c r="E214" s="5"/>
      <c r="F214" s="5"/>
      <c r="G214" s="5"/>
      <c r="H214" s="5"/>
      <c r="I214" s="70"/>
      <c r="J214" s="70"/>
      <c r="K214" s="70"/>
      <c r="L214" s="70"/>
      <c r="M214" s="7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45">
      <c r="A215" s="5"/>
      <c r="B215" s="5"/>
      <c r="C215" s="5"/>
      <c r="D215" s="5"/>
      <c r="E215" s="5"/>
      <c r="F215" s="5"/>
      <c r="G215" s="5"/>
      <c r="H215" s="5"/>
      <c r="I215" s="70"/>
      <c r="J215" s="70"/>
      <c r="K215" s="70"/>
      <c r="L215" s="70"/>
      <c r="M215" s="7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45">
      <c r="A216" s="5"/>
      <c r="B216" s="5"/>
      <c r="C216" s="5"/>
      <c r="D216" s="5"/>
      <c r="E216" s="5"/>
      <c r="F216" s="5"/>
      <c r="G216" s="5"/>
      <c r="H216" s="5"/>
      <c r="I216" s="70"/>
      <c r="J216" s="70"/>
      <c r="K216" s="70"/>
      <c r="L216" s="70"/>
      <c r="M216" s="7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45">
      <c r="A217" s="5"/>
      <c r="B217" s="5"/>
      <c r="C217" s="5"/>
      <c r="D217" s="5"/>
      <c r="E217" s="5"/>
      <c r="F217" s="5"/>
      <c r="G217" s="5"/>
      <c r="H217" s="5"/>
      <c r="I217" s="70"/>
      <c r="J217" s="70"/>
      <c r="K217" s="70"/>
      <c r="L217" s="70"/>
      <c r="M217" s="7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45">
      <c r="A218" s="5"/>
      <c r="B218" s="5"/>
      <c r="C218" s="5"/>
      <c r="D218" s="5"/>
      <c r="E218" s="5"/>
      <c r="F218" s="5"/>
      <c r="G218" s="5"/>
      <c r="H218" s="5"/>
      <c r="I218" s="70"/>
      <c r="J218" s="70"/>
      <c r="K218" s="70"/>
      <c r="L218" s="70"/>
      <c r="M218" s="7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45">
      <c r="A219" s="5"/>
      <c r="B219" s="5"/>
      <c r="C219" s="5"/>
      <c r="D219" s="5"/>
      <c r="E219" s="5"/>
      <c r="F219" s="5"/>
      <c r="G219" s="5"/>
      <c r="H219" s="5"/>
      <c r="I219" s="70"/>
      <c r="J219" s="70"/>
      <c r="K219" s="70"/>
      <c r="L219" s="70"/>
      <c r="M219" s="7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45">
      <c r="A220" s="5"/>
      <c r="B220" s="5"/>
      <c r="C220" s="5"/>
      <c r="D220" s="5"/>
      <c r="E220" s="5"/>
      <c r="F220" s="5"/>
      <c r="G220" s="5"/>
      <c r="H220" s="5"/>
      <c r="I220" s="70"/>
      <c r="J220" s="70"/>
      <c r="K220" s="70"/>
      <c r="L220" s="70"/>
      <c r="M220" s="7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45">
      <c r="A221" s="5"/>
      <c r="B221" s="5"/>
      <c r="C221" s="5"/>
      <c r="D221" s="5"/>
      <c r="E221" s="5"/>
      <c r="F221" s="5"/>
      <c r="G221" s="5"/>
      <c r="H221" s="5"/>
      <c r="I221" s="70"/>
      <c r="J221" s="70"/>
      <c r="K221" s="70"/>
      <c r="L221" s="70"/>
      <c r="M221" s="70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45">
      <c r="A222" s="5"/>
      <c r="B222" s="5"/>
      <c r="C222" s="5"/>
      <c r="D222" s="5"/>
      <c r="E222" s="5"/>
      <c r="F222" s="5"/>
      <c r="G222" s="5"/>
      <c r="H222" s="5"/>
      <c r="I222" s="70"/>
      <c r="J222" s="70"/>
      <c r="K222" s="70"/>
      <c r="L222" s="70"/>
      <c r="M222" s="70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45">
      <c r="A223" s="5"/>
      <c r="B223" s="5"/>
      <c r="C223" s="5"/>
      <c r="D223" s="5"/>
      <c r="E223" s="5"/>
      <c r="F223" s="5"/>
      <c r="G223" s="5"/>
      <c r="H223" s="5"/>
      <c r="I223" s="70"/>
      <c r="J223" s="70"/>
      <c r="K223" s="70"/>
      <c r="L223" s="70"/>
      <c r="M223" s="70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45">
      <c r="A224" s="5"/>
      <c r="B224" s="5"/>
      <c r="C224" s="5"/>
      <c r="D224" s="5"/>
      <c r="E224" s="5"/>
      <c r="F224" s="5"/>
      <c r="G224" s="5"/>
      <c r="H224" s="5"/>
      <c r="I224" s="70"/>
      <c r="J224" s="70"/>
      <c r="K224" s="70"/>
      <c r="L224" s="70"/>
      <c r="M224" s="70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45">
      <c r="A225" s="5"/>
      <c r="B225" s="5"/>
      <c r="C225" s="5"/>
      <c r="D225" s="5"/>
      <c r="E225" s="5"/>
      <c r="F225" s="5"/>
      <c r="G225" s="5"/>
      <c r="H225" s="5"/>
      <c r="I225" s="70"/>
      <c r="J225" s="70"/>
      <c r="K225" s="70"/>
      <c r="L225" s="70"/>
      <c r="M225" s="70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45">
      <c r="A226" s="5"/>
      <c r="B226" s="5"/>
      <c r="C226" s="5"/>
      <c r="D226" s="5"/>
      <c r="E226" s="5"/>
      <c r="F226" s="5"/>
      <c r="G226" s="5"/>
      <c r="H226" s="5"/>
      <c r="I226" s="70"/>
      <c r="J226" s="70"/>
      <c r="K226" s="70"/>
      <c r="L226" s="70"/>
      <c r="M226" s="70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45">
      <c r="A227" s="5"/>
      <c r="B227" s="5"/>
      <c r="C227" s="5"/>
      <c r="D227" s="5"/>
      <c r="E227" s="5"/>
      <c r="F227" s="5"/>
      <c r="G227" s="5"/>
      <c r="H227" s="5"/>
      <c r="I227" s="70"/>
      <c r="J227" s="70"/>
      <c r="K227" s="70"/>
      <c r="L227" s="70"/>
      <c r="M227" s="70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45">
      <c r="A228" s="5"/>
      <c r="B228" s="5"/>
      <c r="C228" s="5"/>
      <c r="D228" s="5"/>
      <c r="E228" s="5"/>
      <c r="F228" s="5"/>
      <c r="G228" s="5"/>
      <c r="H228" s="5"/>
      <c r="I228" s="70"/>
      <c r="J228" s="70"/>
      <c r="K228" s="70"/>
      <c r="L228" s="70"/>
      <c r="M228" s="70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45">
      <c r="A229" s="5"/>
      <c r="B229" s="5"/>
      <c r="C229" s="5"/>
      <c r="D229" s="5"/>
      <c r="E229" s="5"/>
      <c r="F229" s="5"/>
      <c r="G229" s="5"/>
      <c r="H229" s="5"/>
      <c r="I229" s="70"/>
      <c r="J229" s="70"/>
      <c r="K229" s="70"/>
      <c r="L229" s="70"/>
      <c r="M229" s="70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45">
      <c r="A230" s="5"/>
      <c r="B230" s="5"/>
      <c r="C230" s="5"/>
      <c r="D230" s="5"/>
      <c r="E230" s="5"/>
      <c r="F230" s="5"/>
      <c r="G230" s="5"/>
      <c r="H230" s="5"/>
      <c r="I230" s="70"/>
      <c r="J230" s="70"/>
      <c r="K230" s="70"/>
      <c r="L230" s="70"/>
      <c r="M230" s="70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45">
      <c r="A231" s="5"/>
      <c r="B231" s="5"/>
      <c r="C231" s="5"/>
      <c r="D231" s="5"/>
      <c r="E231" s="5"/>
      <c r="F231" s="5"/>
      <c r="G231" s="5"/>
      <c r="H231" s="5"/>
      <c r="I231" s="70"/>
      <c r="J231" s="70"/>
      <c r="K231" s="70"/>
      <c r="L231" s="70"/>
      <c r="M231" s="70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45">
      <c r="A232" s="5"/>
      <c r="B232" s="5"/>
      <c r="C232" s="5"/>
      <c r="D232" s="5"/>
      <c r="E232" s="5"/>
      <c r="F232" s="5"/>
      <c r="G232" s="5"/>
      <c r="H232" s="5"/>
      <c r="I232" s="70"/>
      <c r="J232" s="70"/>
      <c r="K232" s="70"/>
      <c r="L232" s="70"/>
      <c r="M232" s="70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45">
      <c r="A233" s="5"/>
      <c r="B233" s="5"/>
      <c r="C233" s="5"/>
      <c r="D233" s="5"/>
      <c r="E233" s="5"/>
      <c r="F233" s="5"/>
      <c r="G233" s="5"/>
      <c r="H233" s="5"/>
      <c r="I233" s="70"/>
      <c r="J233" s="70"/>
      <c r="K233" s="70"/>
      <c r="L233" s="70"/>
      <c r="M233" s="70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45">
      <c r="A234" s="5"/>
      <c r="B234" s="5"/>
      <c r="C234" s="5"/>
      <c r="D234" s="5"/>
      <c r="E234" s="5"/>
      <c r="F234" s="5"/>
      <c r="G234" s="5"/>
      <c r="H234" s="5"/>
      <c r="I234" s="70"/>
      <c r="J234" s="70"/>
      <c r="K234" s="70"/>
      <c r="L234" s="70"/>
      <c r="M234" s="70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45">
      <c r="A235" s="5"/>
      <c r="B235" s="5"/>
      <c r="C235" s="5"/>
      <c r="D235" s="5"/>
      <c r="E235" s="5"/>
      <c r="F235" s="5"/>
      <c r="G235" s="5"/>
      <c r="H235" s="5"/>
      <c r="I235" s="70"/>
      <c r="J235" s="70"/>
      <c r="K235" s="70"/>
      <c r="L235" s="70"/>
      <c r="M235" s="70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45">
      <c r="A236" s="5"/>
      <c r="B236" s="5"/>
      <c r="C236" s="5"/>
      <c r="D236" s="5"/>
      <c r="E236" s="5"/>
      <c r="F236" s="5"/>
      <c r="G236" s="5"/>
      <c r="H236" s="5"/>
      <c r="I236" s="70"/>
      <c r="J236" s="70"/>
      <c r="K236" s="70"/>
      <c r="L236" s="70"/>
      <c r="M236" s="70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45">
      <c r="A237" s="5"/>
      <c r="B237" s="5"/>
      <c r="C237" s="5"/>
      <c r="D237" s="5"/>
      <c r="E237" s="5"/>
      <c r="F237" s="5"/>
      <c r="G237" s="5"/>
      <c r="H237" s="5"/>
      <c r="I237" s="70"/>
      <c r="J237" s="70"/>
      <c r="K237" s="70"/>
      <c r="L237" s="70"/>
      <c r="M237" s="70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45">
      <c r="A238" s="5"/>
      <c r="B238" s="5"/>
      <c r="C238" s="5"/>
      <c r="D238" s="5"/>
      <c r="E238" s="5"/>
      <c r="F238" s="5"/>
      <c r="G238" s="5"/>
      <c r="H238" s="5"/>
      <c r="I238" s="70"/>
      <c r="J238" s="70"/>
      <c r="K238" s="70"/>
      <c r="L238" s="70"/>
      <c r="M238" s="70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45">
      <c r="A239" s="5"/>
      <c r="B239" s="5"/>
      <c r="C239" s="5"/>
      <c r="D239" s="5"/>
      <c r="E239" s="5"/>
      <c r="F239" s="5"/>
      <c r="G239" s="5"/>
      <c r="H239" s="5"/>
      <c r="I239" s="70"/>
      <c r="J239" s="70"/>
      <c r="K239" s="70"/>
      <c r="L239" s="70"/>
      <c r="M239" s="70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45">
      <c r="A240" s="5"/>
      <c r="B240" s="5"/>
      <c r="C240" s="5"/>
      <c r="D240" s="5"/>
      <c r="E240" s="5"/>
      <c r="F240" s="5"/>
      <c r="G240" s="5"/>
      <c r="H240" s="5"/>
      <c r="I240" s="70"/>
      <c r="J240" s="70"/>
      <c r="K240" s="70"/>
      <c r="L240" s="70"/>
      <c r="M240" s="70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45">
      <c r="A241" s="5"/>
      <c r="B241" s="5"/>
      <c r="C241" s="5"/>
      <c r="D241" s="5"/>
      <c r="E241" s="5"/>
      <c r="F241" s="5"/>
      <c r="G241" s="5"/>
      <c r="H241" s="5"/>
      <c r="I241" s="70"/>
      <c r="J241" s="70"/>
      <c r="K241" s="70"/>
      <c r="L241" s="70"/>
      <c r="M241" s="70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45">
      <c r="A242" s="5"/>
      <c r="B242" s="5"/>
      <c r="C242" s="5"/>
      <c r="D242" s="5"/>
      <c r="E242" s="5"/>
      <c r="F242" s="5"/>
      <c r="G242" s="5"/>
      <c r="H242" s="5"/>
      <c r="I242" s="70"/>
      <c r="J242" s="70"/>
      <c r="K242" s="70"/>
      <c r="L242" s="70"/>
      <c r="M242" s="70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45">
      <c r="A243" s="5"/>
      <c r="B243" s="5"/>
      <c r="C243" s="5"/>
      <c r="D243" s="5"/>
      <c r="E243" s="5"/>
      <c r="F243" s="5"/>
      <c r="G243" s="5"/>
      <c r="H243" s="5"/>
      <c r="I243" s="70"/>
      <c r="J243" s="70"/>
      <c r="K243" s="70"/>
      <c r="L243" s="70"/>
      <c r="M243" s="70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45">
      <c r="A244" s="5"/>
      <c r="B244" s="5"/>
      <c r="C244" s="5"/>
      <c r="D244" s="5"/>
      <c r="E244" s="5"/>
      <c r="F244" s="5"/>
      <c r="G244" s="5"/>
      <c r="H244" s="5"/>
      <c r="I244" s="70"/>
      <c r="J244" s="70"/>
      <c r="K244" s="70"/>
      <c r="L244" s="70"/>
      <c r="M244" s="70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45">
      <c r="A245" s="5"/>
      <c r="B245" s="5"/>
      <c r="C245" s="5"/>
      <c r="D245" s="5"/>
      <c r="E245" s="5"/>
      <c r="F245" s="5"/>
      <c r="G245" s="5"/>
      <c r="H245" s="5"/>
      <c r="I245" s="70"/>
      <c r="J245" s="70"/>
      <c r="K245" s="70"/>
      <c r="L245" s="70"/>
      <c r="M245" s="70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45">
      <c r="A246" s="5"/>
      <c r="B246" s="5"/>
      <c r="C246" s="5"/>
      <c r="D246" s="5"/>
      <c r="E246" s="5"/>
      <c r="F246" s="5"/>
      <c r="G246" s="5"/>
      <c r="H246" s="5"/>
      <c r="I246" s="70"/>
      <c r="J246" s="70"/>
      <c r="K246" s="70"/>
      <c r="L246" s="70"/>
      <c r="M246" s="70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45">
      <c r="A247" s="5"/>
      <c r="B247" s="5"/>
      <c r="C247" s="5"/>
      <c r="D247" s="5"/>
      <c r="E247" s="5"/>
      <c r="F247" s="5"/>
      <c r="G247" s="5"/>
      <c r="H247" s="5"/>
      <c r="I247" s="70"/>
      <c r="J247" s="70"/>
      <c r="K247" s="70"/>
      <c r="L247" s="70"/>
      <c r="M247" s="70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45">
      <c r="A248" s="5"/>
      <c r="B248" s="5"/>
      <c r="C248" s="5"/>
      <c r="D248" s="5"/>
      <c r="E248" s="5"/>
      <c r="F248" s="5"/>
      <c r="G248" s="5"/>
      <c r="H248" s="5"/>
      <c r="I248" s="70"/>
      <c r="J248" s="70"/>
      <c r="K248" s="70"/>
      <c r="L248" s="70"/>
      <c r="M248" s="70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45">
      <c r="A249" s="5"/>
      <c r="B249" s="5"/>
      <c r="C249" s="5"/>
      <c r="D249" s="5"/>
      <c r="E249" s="5"/>
      <c r="F249" s="5"/>
      <c r="G249" s="5"/>
      <c r="H249" s="5"/>
      <c r="I249" s="70"/>
      <c r="J249" s="70"/>
      <c r="K249" s="70"/>
      <c r="L249" s="70"/>
      <c r="M249" s="70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45">
      <c r="A250" s="5"/>
      <c r="B250" s="5"/>
      <c r="C250" s="5"/>
      <c r="D250" s="5"/>
      <c r="E250" s="5"/>
      <c r="F250" s="5"/>
      <c r="G250" s="5"/>
      <c r="H250" s="5"/>
      <c r="I250" s="70"/>
      <c r="J250" s="70"/>
      <c r="K250" s="70"/>
      <c r="L250" s="70"/>
      <c r="M250" s="70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45">
      <c r="A251" s="5"/>
      <c r="B251" s="5"/>
      <c r="C251" s="5"/>
      <c r="D251" s="5"/>
      <c r="E251" s="5"/>
      <c r="F251" s="5"/>
      <c r="G251" s="5"/>
      <c r="H251" s="5"/>
      <c r="I251" s="70"/>
      <c r="J251" s="70"/>
      <c r="K251" s="70"/>
      <c r="L251" s="70"/>
      <c r="M251" s="70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45">
      <c r="A252" s="5"/>
      <c r="B252" s="5"/>
      <c r="C252" s="5"/>
      <c r="D252" s="5"/>
      <c r="E252" s="5"/>
      <c r="F252" s="5"/>
      <c r="G252" s="5"/>
      <c r="H252" s="5"/>
      <c r="I252" s="70"/>
      <c r="J252" s="70"/>
      <c r="K252" s="70"/>
      <c r="L252" s="70"/>
      <c r="M252" s="70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45">
      <c r="A253" s="5"/>
      <c r="B253" s="5"/>
      <c r="C253" s="5"/>
      <c r="D253" s="5"/>
      <c r="E253" s="5"/>
      <c r="F253" s="5"/>
      <c r="G253" s="5"/>
      <c r="H253" s="5"/>
      <c r="I253" s="70"/>
      <c r="J253" s="70"/>
      <c r="K253" s="70"/>
      <c r="L253" s="70"/>
      <c r="M253" s="70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45">
      <c r="A254" s="5"/>
      <c r="B254" s="5"/>
      <c r="C254" s="5"/>
      <c r="D254" s="5"/>
      <c r="E254" s="5"/>
      <c r="F254" s="5"/>
      <c r="G254" s="5"/>
      <c r="H254" s="5"/>
      <c r="I254" s="70"/>
      <c r="J254" s="70"/>
      <c r="K254" s="70"/>
      <c r="L254" s="70"/>
      <c r="M254" s="70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45">
      <c r="A255" s="5"/>
      <c r="B255" s="5"/>
      <c r="C255" s="5"/>
      <c r="D255" s="5"/>
      <c r="E255" s="5"/>
      <c r="F255" s="5"/>
      <c r="G255" s="5"/>
      <c r="H255" s="5"/>
      <c r="I255" s="70"/>
      <c r="J255" s="70"/>
      <c r="K255" s="70"/>
      <c r="L255" s="70"/>
      <c r="M255" s="70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45">
      <c r="A256" s="5"/>
      <c r="B256" s="5"/>
      <c r="C256" s="5"/>
      <c r="D256" s="5"/>
      <c r="E256" s="5"/>
      <c r="F256" s="5"/>
      <c r="G256" s="5"/>
      <c r="H256" s="5"/>
      <c r="I256" s="70"/>
      <c r="J256" s="70"/>
      <c r="K256" s="70"/>
      <c r="L256" s="70"/>
      <c r="M256" s="70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45">
      <c r="A257" s="5"/>
      <c r="B257" s="5"/>
      <c r="C257" s="5"/>
      <c r="D257" s="5"/>
      <c r="E257" s="5"/>
      <c r="F257" s="5"/>
      <c r="G257" s="5"/>
      <c r="H257" s="5"/>
      <c r="I257" s="70"/>
      <c r="J257" s="70"/>
      <c r="K257" s="70"/>
      <c r="L257" s="70"/>
      <c r="M257" s="70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45">
      <c r="A258" s="5"/>
      <c r="B258" s="5"/>
      <c r="C258" s="5"/>
      <c r="D258" s="5"/>
      <c r="E258" s="5"/>
      <c r="F258" s="5"/>
      <c r="G258" s="5"/>
      <c r="H258" s="5"/>
      <c r="I258" s="70"/>
      <c r="J258" s="70"/>
      <c r="K258" s="70"/>
      <c r="L258" s="70"/>
      <c r="M258" s="70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45">
      <c r="A259" s="5"/>
      <c r="B259" s="5"/>
      <c r="C259" s="5"/>
      <c r="D259" s="5"/>
      <c r="E259" s="5"/>
      <c r="F259" s="5"/>
      <c r="G259" s="5"/>
      <c r="H259" s="5"/>
      <c r="I259" s="70"/>
      <c r="J259" s="70"/>
      <c r="K259" s="70"/>
      <c r="L259" s="70"/>
      <c r="M259" s="70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45">
      <c r="A260" s="5"/>
      <c r="B260" s="5"/>
      <c r="C260" s="5"/>
      <c r="D260" s="5"/>
      <c r="E260" s="5"/>
      <c r="F260" s="5"/>
      <c r="G260" s="5"/>
      <c r="H260" s="5"/>
      <c r="I260" s="70"/>
      <c r="J260" s="70"/>
      <c r="K260" s="70"/>
      <c r="L260" s="70"/>
      <c r="M260" s="70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45">
      <c r="A261" s="5"/>
      <c r="B261" s="5"/>
      <c r="C261" s="5"/>
      <c r="D261" s="5"/>
      <c r="E261" s="5"/>
      <c r="F261" s="5"/>
      <c r="G261" s="5"/>
      <c r="H261" s="5"/>
      <c r="I261" s="70"/>
      <c r="J261" s="70"/>
      <c r="K261" s="70"/>
      <c r="L261" s="70"/>
      <c r="M261" s="70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45">
      <c r="A262" s="5"/>
      <c r="B262" s="5"/>
      <c r="C262" s="5"/>
      <c r="D262" s="5"/>
      <c r="E262" s="5"/>
      <c r="F262" s="5"/>
      <c r="G262" s="5"/>
      <c r="H262" s="5"/>
      <c r="I262" s="70"/>
      <c r="J262" s="70"/>
      <c r="K262" s="70"/>
      <c r="L262" s="70"/>
      <c r="M262" s="70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45">
      <c r="A263" s="5"/>
      <c r="B263" s="5"/>
      <c r="C263" s="5"/>
      <c r="D263" s="5"/>
      <c r="E263" s="5"/>
      <c r="F263" s="5"/>
      <c r="G263" s="5"/>
      <c r="H263" s="5"/>
      <c r="I263" s="70"/>
      <c r="J263" s="70"/>
      <c r="K263" s="70"/>
      <c r="L263" s="70"/>
      <c r="M263" s="70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45">
      <c r="A264" s="5"/>
      <c r="B264" s="5"/>
      <c r="C264" s="5"/>
      <c r="D264" s="5"/>
      <c r="E264" s="5"/>
      <c r="F264" s="5"/>
      <c r="G264" s="5"/>
      <c r="H264" s="5"/>
      <c r="I264" s="70"/>
      <c r="J264" s="70"/>
      <c r="K264" s="70"/>
      <c r="L264" s="70"/>
      <c r="M264" s="70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45">
      <c r="A265" s="5"/>
      <c r="B265" s="5"/>
      <c r="C265" s="5"/>
      <c r="D265" s="5"/>
      <c r="E265" s="5"/>
      <c r="F265" s="5"/>
      <c r="G265" s="5"/>
      <c r="H265" s="5"/>
      <c r="I265" s="70"/>
      <c r="J265" s="70"/>
      <c r="K265" s="70"/>
      <c r="L265" s="70"/>
      <c r="M265" s="70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45">
      <c r="A266" s="5"/>
      <c r="B266" s="5"/>
      <c r="C266" s="5"/>
      <c r="D266" s="5"/>
      <c r="E266" s="5"/>
      <c r="F266" s="5"/>
      <c r="G266" s="5"/>
      <c r="H266" s="5"/>
      <c r="I266" s="70"/>
      <c r="J266" s="70"/>
      <c r="K266" s="70"/>
      <c r="L266" s="70"/>
      <c r="M266" s="70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45">
      <c r="A267" s="5"/>
      <c r="B267" s="5"/>
      <c r="C267" s="5"/>
      <c r="D267" s="5"/>
      <c r="E267" s="5"/>
      <c r="F267" s="5"/>
      <c r="G267" s="5"/>
      <c r="H267" s="5"/>
      <c r="I267" s="70"/>
      <c r="J267" s="70"/>
      <c r="K267" s="70"/>
      <c r="L267" s="70"/>
      <c r="M267" s="70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45">
      <c r="A268" s="5"/>
      <c r="B268" s="5"/>
      <c r="C268" s="5"/>
      <c r="D268" s="5"/>
      <c r="E268" s="5"/>
      <c r="F268" s="5"/>
      <c r="G268" s="5"/>
      <c r="H268" s="5"/>
      <c r="I268" s="70"/>
      <c r="J268" s="70"/>
      <c r="K268" s="70"/>
      <c r="L268" s="70"/>
      <c r="M268" s="70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45">
      <c r="A269" s="5"/>
      <c r="B269" s="5"/>
      <c r="C269" s="5"/>
      <c r="D269" s="5"/>
      <c r="E269" s="5"/>
      <c r="F269" s="5"/>
      <c r="G269" s="5"/>
      <c r="H269" s="5"/>
      <c r="I269" s="70"/>
      <c r="J269" s="70"/>
      <c r="K269" s="70"/>
      <c r="L269" s="70"/>
      <c r="M269" s="70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45">
      <c r="A270" s="5"/>
      <c r="B270" s="5"/>
      <c r="C270" s="5"/>
      <c r="D270" s="5"/>
      <c r="E270" s="5"/>
      <c r="F270" s="5"/>
      <c r="G270" s="5"/>
      <c r="H270" s="5"/>
      <c r="I270" s="70"/>
      <c r="J270" s="70"/>
      <c r="K270" s="70"/>
      <c r="L270" s="70"/>
      <c r="M270" s="70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45">
      <c r="A271" s="5"/>
      <c r="B271" s="5"/>
      <c r="C271" s="5"/>
      <c r="D271" s="5"/>
      <c r="E271" s="5"/>
      <c r="F271" s="5"/>
      <c r="G271" s="5"/>
      <c r="H271" s="5"/>
      <c r="I271" s="70"/>
      <c r="J271" s="70"/>
      <c r="K271" s="70"/>
      <c r="L271" s="70"/>
      <c r="M271" s="70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45">
      <c r="A272" s="5"/>
      <c r="B272" s="5"/>
      <c r="C272" s="5"/>
      <c r="D272" s="5"/>
      <c r="E272" s="5"/>
      <c r="F272" s="5"/>
      <c r="G272" s="5"/>
      <c r="H272" s="5"/>
      <c r="I272" s="70"/>
      <c r="J272" s="70"/>
      <c r="K272" s="70"/>
      <c r="L272" s="70"/>
      <c r="M272" s="70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45">
      <c r="A273" s="5"/>
      <c r="B273" s="5"/>
      <c r="C273" s="5"/>
      <c r="D273" s="5"/>
      <c r="E273" s="5"/>
      <c r="F273" s="5"/>
      <c r="G273" s="5"/>
      <c r="H273" s="5"/>
      <c r="I273" s="70"/>
      <c r="J273" s="70"/>
      <c r="K273" s="70"/>
      <c r="L273" s="70"/>
      <c r="M273" s="70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45">
      <c r="A274" s="5"/>
      <c r="B274" s="5"/>
      <c r="C274" s="5"/>
      <c r="D274" s="5"/>
      <c r="E274" s="5"/>
      <c r="F274" s="5"/>
      <c r="G274" s="5"/>
      <c r="H274" s="5"/>
      <c r="I274" s="70"/>
      <c r="J274" s="70"/>
      <c r="K274" s="70"/>
      <c r="L274" s="70"/>
      <c r="M274" s="70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45">
      <c r="A275" s="5"/>
      <c r="B275" s="5"/>
      <c r="C275" s="5"/>
      <c r="D275" s="5"/>
      <c r="E275" s="5"/>
      <c r="F275" s="5"/>
      <c r="G275" s="5"/>
      <c r="H275" s="5"/>
      <c r="I275" s="70"/>
      <c r="J275" s="70"/>
      <c r="K275" s="70"/>
      <c r="L275" s="70"/>
      <c r="M275" s="70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45">
      <c r="A276" s="5"/>
      <c r="B276" s="5"/>
      <c r="C276" s="5"/>
      <c r="D276" s="5"/>
      <c r="E276" s="5"/>
      <c r="F276" s="5"/>
      <c r="G276" s="5"/>
      <c r="H276" s="5"/>
      <c r="I276" s="70"/>
      <c r="J276" s="70"/>
      <c r="K276" s="70"/>
      <c r="L276" s="70"/>
      <c r="M276" s="70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45">
      <c r="A277" s="5"/>
      <c r="B277" s="5"/>
      <c r="C277" s="5"/>
      <c r="D277" s="5"/>
      <c r="E277" s="5"/>
      <c r="F277" s="5"/>
      <c r="G277" s="5"/>
      <c r="H277" s="5"/>
      <c r="I277" s="70"/>
      <c r="J277" s="70"/>
      <c r="K277" s="70"/>
      <c r="L277" s="70"/>
      <c r="M277" s="70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45">
      <c r="A278" s="5"/>
      <c r="B278" s="5"/>
      <c r="C278" s="5"/>
      <c r="D278" s="5"/>
      <c r="E278" s="5"/>
      <c r="F278" s="5"/>
      <c r="G278" s="5"/>
      <c r="H278" s="5"/>
      <c r="I278" s="70"/>
      <c r="J278" s="70"/>
      <c r="K278" s="70"/>
      <c r="L278" s="70"/>
      <c r="M278" s="70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45">
      <c r="A279" s="5"/>
      <c r="B279" s="5"/>
      <c r="C279" s="5"/>
      <c r="D279" s="5"/>
      <c r="E279" s="5"/>
      <c r="F279" s="5"/>
      <c r="G279" s="5"/>
      <c r="H279" s="5"/>
      <c r="I279" s="70"/>
      <c r="J279" s="70"/>
      <c r="K279" s="70"/>
      <c r="L279" s="70"/>
      <c r="M279" s="70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45">
      <c r="A280" s="5"/>
      <c r="B280" s="5"/>
      <c r="C280" s="5"/>
      <c r="D280" s="5"/>
      <c r="E280" s="5"/>
      <c r="F280" s="5"/>
      <c r="G280" s="5"/>
      <c r="H280" s="5"/>
      <c r="I280" s="70"/>
      <c r="J280" s="70"/>
      <c r="K280" s="70"/>
      <c r="L280" s="70"/>
      <c r="M280" s="70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45">
      <c r="A281" s="5"/>
      <c r="B281" s="5"/>
      <c r="C281" s="5"/>
      <c r="D281" s="5"/>
      <c r="E281" s="5"/>
      <c r="F281" s="5"/>
      <c r="G281" s="5"/>
      <c r="H281" s="5"/>
      <c r="I281" s="70"/>
      <c r="J281" s="70"/>
      <c r="K281" s="70"/>
      <c r="L281" s="70"/>
      <c r="M281" s="70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45">
      <c r="A282" s="5"/>
      <c r="B282" s="5"/>
      <c r="C282" s="5"/>
      <c r="D282" s="5"/>
      <c r="E282" s="5"/>
      <c r="F282" s="5"/>
      <c r="G282" s="5"/>
      <c r="H282" s="5"/>
      <c r="I282" s="70"/>
      <c r="J282" s="70"/>
      <c r="K282" s="70"/>
      <c r="L282" s="70"/>
      <c r="M282" s="70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45">
      <c r="A283" s="5"/>
      <c r="B283" s="5"/>
      <c r="C283" s="5"/>
      <c r="D283" s="5"/>
      <c r="E283" s="5"/>
      <c r="F283" s="5"/>
      <c r="G283" s="5"/>
      <c r="H283" s="5"/>
      <c r="I283" s="70"/>
      <c r="J283" s="70"/>
      <c r="K283" s="70"/>
      <c r="L283" s="70"/>
      <c r="M283" s="70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45">
      <c r="A284" s="5"/>
      <c r="B284" s="5"/>
      <c r="C284" s="5"/>
      <c r="D284" s="5"/>
      <c r="E284" s="5"/>
      <c r="F284" s="5"/>
      <c r="G284" s="5"/>
      <c r="H284" s="5"/>
      <c r="I284" s="70"/>
      <c r="J284" s="70"/>
      <c r="K284" s="70"/>
      <c r="L284" s="70"/>
      <c r="M284" s="70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45">
      <c r="A285" s="5"/>
      <c r="B285" s="5"/>
      <c r="C285" s="5"/>
      <c r="D285" s="5"/>
      <c r="E285" s="5"/>
      <c r="F285" s="5"/>
      <c r="G285" s="5"/>
      <c r="H285" s="5"/>
      <c r="I285" s="70"/>
      <c r="J285" s="70"/>
      <c r="K285" s="70"/>
      <c r="L285" s="70"/>
      <c r="M285" s="70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45">
      <c r="A286" s="5"/>
      <c r="B286" s="5"/>
      <c r="C286" s="5"/>
      <c r="D286" s="5"/>
      <c r="E286" s="5"/>
      <c r="F286" s="5"/>
      <c r="G286" s="5"/>
      <c r="H286" s="5"/>
      <c r="I286" s="70"/>
      <c r="J286" s="70"/>
      <c r="K286" s="70"/>
      <c r="L286" s="70"/>
      <c r="M286" s="70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45">
      <c r="A287" s="5"/>
      <c r="B287" s="5"/>
      <c r="C287" s="5"/>
      <c r="D287" s="5"/>
      <c r="E287" s="5"/>
      <c r="F287" s="5"/>
      <c r="G287" s="5"/>
      <c r="H287" s="5"/>
      <c r="I287" s="70"/>
      <c r="J287" s="70"/>
      <c r="K287" s="70"/>
      <c r="L287" s="70"/>
      <c r="M287" s="70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45">
      <c r="A288" s="5"/>
      <c r="B288" s="5"/>
      <c r="C288" s="5"/>
      <c r="D288" s="5"/>
      <c r="E288" s="5"/>
      <c r="F288" s="5"/>
      <c r="G288" s="5"/>
      <c r="H288" s="5"/>
      <c r="I288" s="70"/>
      <c r="J288" s="70"/>
      <c r="K288" s="70"/>
      <c r="L288" s="70"/>
      <c r="M288" s="70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45">
      <c r="A289" s="5"/>
      <c r="B289" s="5"/>
      <c r="C289" s="5"/>
      <c r="D289" s="5"/>
      <c r="E289" s="5"/>
      <c r="F289" s="5"/>
      <c r="G289" s="5"/>
      <c r="H289" s="5"/>
      <c r="I289" s="70"/>
      <c r="J289" s="70"/>
      <c r="K289" s="70"/>
      <c r="L289" s="70"/>
      <c r="M289" s="70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45">
      <c r="A290" s="5"/>
      <c r="B290" s="5"/>
      <c r="C290" s="5"/>
      <c r="D290" s="5"/>
      <c r="E290" s="5"/>
      <c r="F290" s="5"/>
      <c r="G290" s="5"/>
      <c r="H290" s="5"/>
      <c r="I290" s="70"/>
      <c r="J290" s="70"/>
      <c r="K290" s="70"/>
      <c r="L290" s="70"/>
      <c r="M290" s="70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45">
      <c r="A291" s="5"/>
      <c r="B291" s="5"/>
      <c r="C291" s="5"/>
      <c r="D291" s="5"/>
      <c r="E291" s="5"/>
      <c r="F291" s="5"/>
      <c r="G291" s="5"/>
      <c r="H291" s="5"/>
      <c r="I291" s="70"/>
      <c r="J291" s="70"/>
      <c r="K291" s="70"/>
      <c r="L291" s="70"/>
      <c r="M291" s="70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45">
      <c r="A292" s="5"/>
      <c r="B292" s="5"/>
      <c r="C292" s="5"/>
      <c r="D292" s="5"/>
      <c r="E292" s="5"/>
      <c r="F292" s="5"/>
      <c r="G292" s="5"/>
      <c r="H292" s="5"/>
      <c r="I292" s="70"/>
      <c r="J292" s="70"/>
      <c r="K292" s="70"/>
      <c r="L292" s="70"/>
      <c r="M292" s="70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45">
      <c r="A293" s="5"/>
      <c r="B293" s="5"/>
      <c r="C293" s="5"/>
      <c r="D293" s="5"/>
      <c r="E293" s="5"/>
      <c r="F293" s="5"/>
      <c r="G293" s="5"/>
      <c r="H293" s="5"/>
      <c r="I293" s="70"/>
      <c r="J293" s="70"/>
      <c r="K293" s="70"/>
      <c r="L293" s="70"/>
      <c r="M293" s="70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45">
      <c r="A294" s="5"/>
      <c r="B294" s="5"/>
      <c r="C294" s="5"/>
      <c r="D294" s="5"/>
      <c r="E294" s="5"/>
      <c r="F294" s="5"/>
      <c r="G294" s="5"/>
      <c r="H294" s="5"/>
      <c r="I294" s="70"/>
      <c r="J294" s="70"/>
      <c r="K294" s="70"/>
      <c r="L294" s="70"/>
      <c r="M294" s="70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45">
      <c r="A295" s="5"/>
      <c r="B295" s="5"/>
      <c r="C295" s="5"/>
      <c r="D295" s="5"/>
      <c r="E295" s="5"/>
      <c r="F295" s="5"/>
      <c r="G295" s="5"/>
      <c r="H295" s="5"/>
      <c r="I295" s="70"/>
      <c r="J295" s="70"/>
      <c r="K295" s="70"/>
      <c r="L295" s="70"/>
      <c r="M295" s="70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45">
      <c r="A296" s="5"/>
      <c r="B296" s="5"/>
      <c r="C296" s="5"/>
      <c r="D296" s="5"/>
      <c r="E296" s="5"/>
      <c r="F296" s="5"/>
      <c r="G296" s="5"/>
      <c r="H296" s="5"/>
      <c r="I296" s="70"/>
      <c r="J296" s="70"/>
      <c r="K296" s="70"/>
      <c r="L296" s="70"/>
      <c r="M296" s="70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45">
      <c r="A297" s="5"/>
      <c r="B297" s="5"/>
      <c r="C297" s="5"/>
      <c r="D297" s="5"/>
      <c r="E297" s="5"/>
      <c r="F297" s="5"/>
      <c r="G297" s="5"/>
      <c r="H297" s="5"/>
      <c r="I297" s="70"/>
      <c r="J297" s="70"/>
      <c r="K297" s="70"/>
      <c r="L297" s="70"/>
      <c r="M297" s="70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45">
      <c r="A298" s="5"/>
      <c r="B298" s="5"/>
      <c r="C298" s="5"/>
      <c r="D298" s="5"/>
      <c r="E298" s="5"/>
      <c r="F298" s="5"/>
      <c r="G298" s="5"/>
      <c r="H298" s="5"/>
      <c r="I298" s="70"/>
      <c r="J298" s="70"/>
      <c r="K298" s="70"/>
      <c r="L298" s="70"/>
      <c r="M298" s="70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45">
      <c r="A299" s="5"/>
      <c r="B299" s="5"/>
      <c r="C299" s="5"/>
      <c r="D299" s="5"/>
      <c r="E299" s="5"/>
      <c r="F299" s="5"/>
      <c r="G299" s="5"/>
      <c r="H299" s="5"/>
      <c r="I299" s="70"/>
      <c r="J299" s="70"/>
      <c r="K299" s="70"/>
      <c r="L299" s="70"/>
      <c r="M299" s="70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45">
      <c r="A300" s="5"/>
      <c r="B300" s="5"/>
      <c r="C300" s="5"/>
      <c r="D300" s="5"/>
      <c r="E300" s="5"/>
      <c r="F300" s="5"/>
      <c r="G300" s="5"/>
      <c r="H300" s="5"/>
      <c r="I300" s="70"/>
      <c r="J300" s="70"/>
      <c r="K300" s="70"/>
      <c r="L300" s="70"/>
      <c r="M300" s="70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45">
      <c r="A301" s="5"/>
      <c r="B301" s="5"/>
      <c r="C301" s="5"/>
      <c r="D301" s="5"/>
      <c r="E301" s="5"/>
      <c r="F301" s="5"/>
      <c r="G301" s="5"/>
      <c r="H301" s="5"/>
      <c r="I301" s="70"/>
      <c r="J301" s="70"/>
      <c r="K301" s="70"/>
      <c r="L301" s="70"/>
      <c r="M301" s="70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45">
      <c r="A302" s="5"/>
      <c r="B302" s="5"/>
      <c r="C302" s="5"/>
      <c r="D302" s="5"/>
      <c r="E302" s="5"/>
      <c r="F302" s="5"/>
      <c r="G302" s="5"/>
      <c r="H302" s="5"/>
      <c r="I302" s="70"/>
      <c r="J302" s="70"/>
      <c r="K302" s="70"/>
      <c r="L302" s="70"/>
      <c r="M302" s="70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45">
      <c r="A303" s="5"/>
      <c r="B303" s="5"/>
      <c r="C303" s="5"/>
      <c r="D303" s="5"/>
      <c r="E303" s="5"/>
      <c r="F303" s="5"/>
      <c r="G303" s="5"/>
      <c r="H303" s="5"/>
      <c r="I303" s="70"/>
      <c r="J303" s="70"/>
      <c r="K303" s="70"/>
      <c r="L303" s="70"/>
      <c r="M303" s="70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45">
      <c r="A304" s="5"/>
      <c r="B304" s="5"/>
      <c r="C304" s="5"/>
      <c r="D304" s="5"/>
      <c r="E304" s="5"/>
      <c r="F304" s="5"/>
      <c r="G304" s="5"/>
      <c r="H304" s="5"/>
      <c r="I304" s="70"/>
      <c r="J304" s="70"/>
      <c r="K304" s="70"/>
      <c r="L304" s="70"/>
      <c r="M304" s="70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45">
      <c r="A305" s="5"/>
      <c r="B305" s="5"/>
      <c r="C305" s="5"/>
      <c r="D305" s="5"/>
      <c r="E305" s="5"/>
      <c r="F305" s="5"/>
      <c r="G305" s="5"/>
      <c r="H305" s="5"/>
      <c r="I305" s="70"/>
      <c r="J305" s="70"/>
      <c r="K305" s="70"/>
      <c r="L305" s="70"/>
      <c r="M305" s="70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45">
      <c r="A306" s="5"/>
      <c r="B306" s="5"/>
      <c r="C306" s="5"/>
      <c r="D306" s="5"/>
      <c r="E306" s="5"/>
      <c r="F306" s="5"/>
      <c r="G306" s="5"/>
      <c r="H306" s="5"/>
      <c r="I306" s="70"/>
      <c r="J306" s="70"/>
      <c r="K306" s="70"/>
      <c r="L306" s="70"/>
      <c r="M306" s="70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45">
      <c r="A307" s="5"/>
      <c r="B307" s="5"/>
      <c r="C307" s="5"/>
      <c r="D307" s="5"/>
      <c r="E307" s="5"/>
      <c r="F307" s="5"/>
      <c r="G307" s="5"/>
      <c r="H307" s="5"/>
      <c r="I307" s="70"/>
      <c r="J307" s="70"/>
      <c r="K307" s="70"/>
      <c r="L307" s="70"/>
      <c r="M307" s="70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45">
      <c r="A308" s="5"/>
      <c r="B308" s="5"/>
      <c r="C308" s="5"/>
      <c r="D308" s="5"/>
      <c r="E308" s="5"/>
      <c r="F308" s="5"/>
      <c r="G308" s="5"/>
      <c r="H308" s="5"/>
      <c r="I308" s="70"/>
      <c r="J308" s="70"/>
      <c r="K308" s="70"/>
      <c r="L308" s="70"/>
      <c r="M308" s="70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45">
      <c r="A309" s="5"/>
      <c r="B309" s="5"/>
      <c r="C309" s="5"/>
      <c r="D309" s="5"/>
      <c r="E309" s="5"/>
      <c r="F309" s="5"/>
      <c r="G309" s="5"/>
      <c r="H309" s="5"/>
      <c r="I309" s="70"/>
      <c r="J309" s="70"/>
      <c r="K309" s="70"/>
      <c r="L309" s="70"/>
      <c r="M309" s="70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45">
      <c r="A310" s="5"/>
      <c r="B310" s="5"/>
      <c r="C310" s="5"/>
      <c r="D310" s="5"/>
      <c r="E310" s="5"/>
      <c r="F310" s="5"/>
      <c r="G310" s="5"/>
      <c r="H310" s="5"/>
      <c r="I310" s="70"/>
      <c r="J310" s="70"/>
      <c r="K310" s="70"/>
      <c r="L310" s="70"/>
      <c r="M310" s="70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45">
      <c r="A311" s="5"/>
      <c r="B311" s="5"/>
      <c r="C311" s="5"/>
      <c r="D311" s="5"/>
      <c r="E311" s="5"/>
      <c r="F311" s="5"/>
      <c r="G311" s="5"/>
      <c r="H311" s="5"/>
      <c r="I311" s="70"/>
      <c r="J311" s="70"/>
      <c r="K311" s="70"/>
      <c r="L311" s="70"/>
      <c r="M311" s="70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45">
      <c r="A312" s="5"/>
      <c r="B312" s="5"/>
      <c r="C312" s="5"/>
      <c r="D312" s="5"/>
      <c r="E312" s="5"/>
      <c r="F312" s="5"/>
      <c r="G312" s="5"/>
      <c r="H312" s="5"/>
      <c r="I312" s="70"/>
      <c r="J312" s="70"/>
      <c r="K312" s="70"/>
      <c r="L312" s="70"/>
      <c r="M312" s="70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45">
      <c r="A313" s="5"/>
      <c r="B313" s="5"/>
      <c r="C313" s="5"/>
      <c r="D313" s="5"/>
      <c r="E313" s="5"/>
      <c r="F313" s="5"/>
      <c r="G313" s="5"/>
      <c r="H313" s="5"/>
      <c r="I313" s="70"/>
      <c r="J313" s="70"/>
      <c r="K313" s="70"/>
      <c r="L313" s="70"/>
      <c r="M313" s="70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45">
      <c r="A314" s="5"/>
      <c r="B314" s="5"/>
      <c r="C314" s="5"/>
      <c r="D314" s="5"/>
      <c r="E314" s="5"/>
      <c r="F314" s="5"/>
      <c r="G314" s="5"/>
      <c r="H314" s="5"/>
      <c r="I314" s="70"/>
      <c r="J314" s="70"/>
      <c r="K314" s="70"/>
      <c r="L314" s="70"/>
      <c r="M314" s="70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45">
      <c r="A315" s="5"/>
      <c r="B315" s="5"/>
      <c r="C315" s="5"/>
      <c r="D315" s="5"/>
      <c r="E315" s="5"/>
      <c r="F315" s="5"/>
      <c r="G315" s="5"/>
      <c r="H315" s="5"/>
      <c r="I315" s="70"/>
      <c r="J315" s="70"/>
      <c r="K315" s="70"/>
      <c r="L315" s="70"/>
      <c r="M315" s="70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45">
      <c r="A316" s="5"/>
      <c r="B316" s="5"/>
      <c r="C316" s="5"/>
      <c r="D316" s="5"/>
      <c r="E316" s="5"/>
      <c r="F316" s="5"/>
      <c r="G316" s="5"/>
      <c r="H316" s="5"/>
      <c r="I316" s="70"/>
      <c r="J316" s="70"/>
      <c r="K316" s="70"/>
      <c r="L316" s="70"/>
      <c r="M316" s="70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45">
      <c r="A317" s="5"/>
      <c r="B317" s="5"/>
      <c r="C317" s="5"/>
      <c r="D317" s="5"/>
      <c r="E317" s="5"/>
      <c r="F317" s="5"/>
      <c r="G317" s="5"/>
      <c r="H317" s="5"/>
      <c r="I317" s="70"/>
      <c r="J317" s="70"/>
      <c r="K317" s="70"/>
      <c r="L317" s="70"/>
      <c r="M317" s="70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45">
      <c r="A318" s="5"/>
      <c r="B318" s="5"/>
      <c r="C318" s="5"/>
      <c r="D318" s="5"/>
      <c r="E318" s="5"/>
      <c r="F318" s="5"/>
      <c r="G318" s="5"/>
      <c r="H318" s="5"/>
      <c r="I318" s="70"/>
      <c r="J318" s="70"/>
      <c r="K318" s="70"/>
      <c r="L318" s="70"/>
      <c r="M318" s="70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45">
      <c r="A319" s="5"/>
      <c r="B319" s="5"/>
      <c r="C319" s="5"/>
      <c r="D319" s="5"/>
      <c r="E319" s="5"/>
      <c r="F319" s="5"/>
      <c r="G319" s="5"/>
      <c r="H319" s="5"/>
      <c r="I319" s="70"/>
      <c r="J319" s="70"/>
      <c r="K319" s="70"/>
      <c r="L319" s="70"/>
      <c r="M319" s="70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45">
      <c r="A320" s="5"/>
      <c r="B320" s="5"/>
      <c r="C320" s="5"/>
      <c r="D320" s="5"/>
      <c r="E320" s="5"/>
      <c r="F320" s="5"/>
      <c r="G320" s="5"/>
      <c r="H320" s="5"/>
      <c r="I320" s="70"/>
      <c r="J320" s="70"/>
      <c r="K320" s="70"/>
      <c r="L320" s="70"/>
      <c r="M320" s="70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45">
      <c r="A321" s="5"/>
      <c r="B321" s="5"/>
      <c r="C321" s="5"/>
      <c r="D321" s="5"/>
      <c r="E321" s="5"/>
      <c r="F321" s="5"/>
      <c r="G321" s="5"/>
      <c r="H321" s="5"/>
      <c r="I321" s="70"/>
      <c r="J321" s="70"/>
      <c r="K321" s="70"/>
      <c r="L321" s="70"/>
      <c r="M321" s="70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45">
      <c r="A322" s="5"/>
      <c r="B322" s="5"/>
      <c r="C322" s="5"/>
      <c r="D322" s="5"/>
      <c r="E322" s="5"/>
      <c r="F322" s="5"/>
      <c r="G322" s="5"/>
      <c r="H322" s="5"/>
      <c r="I322" s="70"/>
      <c r="J322" s="70"/>
      <c r="K322" s="70"/>
      <c r="L322" s="70"/>
      <c r="M322" s="70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45">
      <c r="A323" s="5"/>
      <c r="B323" s="5"/>
      <c r="C323" s="5"/>
      <c r="D323" s="5"/>
      <c r="E323" s="5"/>
      <c r="F323" s="5"/>
      <c r="G323" s="5"/>
      <c r="H323" s="5"/>
      <c r="I323" s="70"/>
      <c r="J323" s="70"/>
      <c r="K323" s="70"/>
      <c r="L323" s="70"/>
      <c r="M323" s="70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45">
      <c r="A324" s="5"/>
      <c r="B324" s="5"/>
      <c r="C324" s="5"/>
      <c r="D324" s="5"/>
      <c r="E324" s="5"/>
      <c r="F324" s="5"/>
      <c r="G324" s="5"/>
      <c r="H324" s="5"/>
      <c r="I324" s="70"/>
      <c r="J324" s="70"/>
      <c r="K324" s="70"/>
      <c r="L324" s="70"/>
      <c r="M324" s="70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45">
      <c r="A325" s="5"/>
      <c r="B325" s="5"/>
      <c r="C325" s="5"/>
      <c r="D325" s="5"/>
      <c r="E325" s="5"/>
      <c r="F325" s="5"/>
      <c r="G325" s="5"/>
      <c r="H325" s="5"/>
      <c r="I325" s="70"/>
      <c r="J325" s="70"/>
      <c r="K325" s="70"/>
      <c r="L325" s="70"/>
      <c r="M325" s="70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45">
      <c r="A326" s="5"/>
      <c r="B326" s="5"/>
      <c r="C326" s="5"/>
      <c r="D326" s="5"/>
      <c r="E326" s="5"/>
      <c r="F326" s="5"/>
      <c r="G326" s="5"/>
      <c r="H326" s="5"/>
      <c r="I326" s="70"/>
      <c r="J326" s="70"/>
      <c r="K326" s="70"/>
      <c r="L326" s="70"/>
      <c r="M326" s="70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45">
      <c r="A327" s="5"/>
      <c r="B327" s="5"/>
      <c r="C327" s="5"/>
      <c r="D327" s="5"/>
      <c r="E327" s="5"/>
      <c r="F327" s="5"/>
      <c r="G327" s="5"/>
      <c r="H327" s="5"/>
      <c r="I327" s="70"/>
      <c r="J327" s="70"/>
      <c r="K327" s="70"/>
      <c r="L327" s="70"/>
      <c r="M327" s="70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45">
      <c r="A328" s="5"/>
      <c r="B328" s="5"/>
      <c r="C328" s="5"/>
      <c r="D328" s="5"/>
      <c r="E328" s="5"/>
      <c r="F328" s="5"/>
      <c r="G328" s="5"/>
      <c r="H328" s="5"/>
      <c r="I328" s="70"/>
      <c r="J328" s="70"/>
      <c r="K328" s="70"/>
      <c r="L328" s="70"/>
      <c r="M328" s="70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45">
      <c r="A329" s="5"/>
      <c r="B329" s="5"/>
      <c r="C329" s="5"/>
      <c r="D329" s="5"/>
      <c r="E329" s="5"/>
      <c r="F329" s="5"/>
      <c r="G329" s="5"/>
      <c r="H329" s="5"/>
      <c r="I329" s="70"/>
      <c r="J329" s="70"/>
      <c r="K329" s="70"/>
      <c r="L329" s="70"/>
      <c r="M329" s="70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45">
      <c r="A330" s="5"/>
      <c r="B330" s="5"/>
      <c r="C330" s="5"/>
      <c r="D330" s="5"/>
      <c r="E330" s="5"/>
      <c r="F330" s="5"/>
      <c r="G330" s="5"/>
      <c r="H330" s="5"/>
      <c r="I330" s="70"/>
      <c r="J330" s="70"/>
      <c r="K330" s="70"/>
      <c r="L330" s="70"/>
      <c r="M330" s="70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45">
      <c r="A331" s="5"/>
      <c r="B331" s="5"/>
      <c r="C331" s="5"/>
      <c r="D331" s="5"/>
      <c r="E331" s="5"/>
      <c r="F331" s="5"/>
      <c r="G331" s="5"/>
      <c r="H331" s="5"/>
      <c r="I331" s="70"/>
      <c r="J331" s="70"/>
      <c r="K331" s="70"/>
      <c r="L331" s="70"/>
      <c r="M331" s="70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45">
      <c r="A332" s="5"/>
      <c r="B332" s="5"/>
      <c r="C332" s="5"/>
      <c r="D332" s="5"/>
      <c r="E332" s="5"/>
      <c r="F332" s="5"/>
      <c r="G332" s="5"/>
      <c r="H332" s="5"/>
      <c r="I332" s="70"/>
      <c r="J332" s="70"/>
      <c r="K332" s="70"/>
      <c r="L332" s="70"/>
      <c r="M332" s="70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45">
      <c r="A333" s="5"/>
      <c r="B333" s="5"/>
      <c r="C333" s="5"/>
      <c r="D333" s="5"/>
      <c r="E333" s="5"/>
      <c r="F333" s="5"/>
      <c r="G333" s="5"/>
      <c r="H333" s="5"/>
      <c r="I333" s="70"/>
      <c r="J333" s="70"/>
      <c r="K333" s="70"/>
      <c r="L333" s="70"/>
      <c r="M333" s="70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45">
      <c r="A334" s="5"/>
      <c r="B334" s="5"/>
      <c r="C334" s="5"/>
      <c r="D334" s="5"/>
      <c r="E334" s="5"/>
      <c r="F334" s="5"/>
      <c r="G334" s="5"/>
      <c r="H334" s="5"/>
      <c r="I334" s="70"/>
      <c r="J334" s="70"/>
      <c r="K334" s="70"/>
      <c r="L334" s="70"/>
      <c r="M334" s="70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45">
      <c r="A335" s="5"/>
      <c r="B335" s="5"/>
      <c r="C335" s="5"/>
      <c r="D335" s="5"/>
      <c r="E335" s="5"/>
      <c r="F335" s="5"/>
      <c r="G335" s="5"/>
      <c r="H335" s="5"/>
      <c r="I335" s="70"/>
      <c r="J335" s="70"/>
      <c r="K335" s="70"/>
      <c r="L335" s="70"/>
      <c r="M335" s="70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45">
      <c r="A336" s="5"/>
      <c r="B336" s="5"/>
      <c r="C336" s="5"/>
      <c r="D336" s="5"/>
      <c r="E336" s="5"/>
      <c r="F336" s="5"/>
      <c r="G336" s="5"/>
      <c r="H336" s="5"/>
      <c r="I336" s="70"/>
      <c r="J336" s="70"/>
      <c r="K336" s="70"/>
      <c r="L336" s="70"/>
      <c r="M336" s="70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45">
      <c r="A337" s="5"/>
      <c r="B337" s="5"/>
      <c r="C337" s="5"/>
      <c r="D337" s="5"/>
      <c r="E337" s="5"/>
      <c r="F337" s="5"/>
      <c r="G337" s="5"/>
      <c r="H337" s="5"/>
      <c r="I337" s="70"/>
      <c r="J337" s="70"/>
      <c r="K337" s="70"/>
      <c r="L337" s="70"/>
      <c r="M337" s="70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45">
      <c r="A338" s="5"/>
      <c r="B338" s="5"/>
      <c r="C338" s="5"/>
      <c r="D338" s="5"/>
      <c r="E338" s="5"/>
      <c r="F338" s="5"/>
      <c r="G338" s="5"/>
      <c r="H338" s="5"/>
      <c r="I338" s="70"/>
      <c r="J338" s="70"/>
      <c r="K338" s="70"/>
      <c r="L338" s="70"/>
      <c r="M338" s="70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45">
      <c r="A339" s="5"/>
      <c r="B339" s="5"/>
      <c r="C339" s="5"/>
      <c r="D339" s="5"/>
      <c r="E339" s="5"/>
      <c r="F339" s="5"/>
      <c r="G339" s="5"/>
      <c r="H339" s="5"/>
      <c r="I339" s="70"/>
      <c r="J339" s="70"/>
      <c r="K339" s="70"/>
      <c r="L339" s="70"/>
      <c r="M339" s="70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45">
      <c r="A340" s="5"/>
      <c r="B340" s="5"/>
      <c r="C340" s="5"/>
      <c r="D340" s="5"/>
      <c r="E340" s="5"/>
      <c r="F340" s="5"/>
      <c r="G340" s="5"/>
      <c r="H340" s="5"/>
      <c r="I340" s="70"/>
      <c r="J340" s="70"/>
      <c r="K340" s="70"/>
      <c r="L340" s="70"/>
      <c r="M340" s="70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45">
      <c r="A341" s="5"/>
      <c r="B341" s="5"/>
      <c r="C341" s="5"/>
      <c r="D341" s="5"/>
      <c r="E341" s="5"/>
      <c r="F341" s="5"/>
      <c r="G341" s="5"/>
      <c r="H341" s="5"/>
      <c r="I341" s="70"/>
      <c r="J341" s="70"/>
      <c r="K341" s="70"/>
      <c r="L341" s="70"/>
      <c r="M341" s="70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45">
      <c r="A342" s="5"/>
      <c r="B342" s="5"/>
      <c r="C342" s="5"/>
      <c r="D342" s="5"/>
      <c r="E342" s="5"/>
      <c r="F342" s="5"/>
      <c r="G342" s="5"/>
      <c r="H342" s="5"/>
      <c r="I342" s="70"/>
      <c r="J342" s="70"/>
      <c r="K342" s="70"/>
      <c r="L342" s="70"/>
      <c r="M342" s="70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45">
      <c r="A343" s="5"/>
      <c r="B343" s="5"/>
      <c r="C343" s="5"/>
      <c r="D343" s="5"/>
      <c r="E343" s="5"/>
      <c r="F343" s="5"/>
      <c r="G343" s="5"/>
      <c r="H343" s="5"/>
      <c r="I343" s="70"/>
      <c r="J343" s="70"/>
      <c r="K343" s="70"/>
      <c r="L343" s="70"/>
      <c r="M343" s="70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45">
      <c r="A344" s="5"/>
      <c r="B344" s="5"/>
      <c r="C344" s="5"/>
      <c r="D344" s="5"/>
      <c r="E344" s="5"/>
      <c r="F344" s="5"/>
      <c r="G344" s="5"/>
      <c r="H344" s="5"/>
      <c r="I344" s="70"/>
      <c r="J344" s="70"/>
      <c r="K344" s="70"/>
      <c r="L344" s="70"/>
      <c r="M344" s="70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45">
      <c r="A345" s="5"/>
      <c r="B345" s="5"/>
      <c r="C345" s="5"/>
      <c r="D345" s="5"/>
      <c r="E345" s="5"/>
      <c r="F345" s="5"/>
      <c r="G345" s="5"/>
      <c r="H345" s="5"/>
      <c r="I345" s="70"/>
      <c r="J345" s="70"/>
      <c r="K345" s="70"/>
      <c r="L345" s="70"/>
      <c r="M345" s="70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45">
      <c r="A346" s="5"/>
      <c r="B346" s="5"/>
      <c r="C346" s="5"/>
      <c r="D346" s="5"/>
      <c r="E346" s="5"/>
      <c r="F346" s="5"/>
      <c r="G346" s="5"/>
      <c r="H346" s="5"/>
      <c r="I346" s="70"/>
      <c r="J346" s="70"/>
      <c r="K346" s="70"/>
      <c r="L346" s="70"/>
      <c r="M346" s="70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45">
      <c r="A347" s="5"/>
      <c r="B347" s="5"/>
      <c r="C347" s="5"/>
      <c r="D347" s="5"/>
      <c r="E347" s="5"/>
      <c r="F347" s="5"/>
      <c r="G347" s="5"/>
      <c r="H347" s="5"/>
      <c r="I347" s="70"/>
      <c r="J347" s="70"/>
      <c r="K347" s="70"/>
      <c r="L347" s="70"/>
      <c r="M347" s="70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45">
      <c r="A348" s="5"/>
      <c r="B348" s="5"/>
      <c r="C348" s="5"/>
      <c r="D348" s="5"/>
      <c r="E348" s="5"/>
      <c r="F348" s="5"/>
      <c r="G348" s="5"/>
      <c r="H348" s="5"/>
      <c r="I348" s="70"/>
      <c r="J348" s="70"/>
      <c r="K348" s="70"/>
      <c r="L348" s="70"/>
      <c r="M348" s="70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45">
      <c r="A349" s="5"/>
      <c r="B349" s="5"/>
      <c r="C349" s="5"/>
      <c r="D349" s="5"/>
      <c r="E349" s="5"/>
      <c r="F349" s="5"/>
      <c r="G349" s="5"/>
      <c r="H349" s="5"/>
      <c r="I349" s="70"/>
      <c r="J349" s="70"/>
      <c r="K349" s="70"/>
      <c r="L349" s="70"/>
      <c r="M349" s="70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45">
      <c r="A350" s="5"/>
      <c r="B350" s="5"/>
      <c r="C350" s="5"/>
      <c r="D350" s="5"/>
      <c r="E350" s="5"/>
      <c r="F350" s="5"/>
      <c r="G350" s="5"/>
      <c r="H350" s="5"/>
      <c r="I350" s="70"/>
      <c r="J350" s="70"/>
      <c r="K350" s="70"/>
      <c r="L350" s="70"/>
      <c r="M350" s="70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45">
      <c r="A351" s="5"/>
      <c r="B351" s="5"/>
      <c r="C351" s="5"/>
      <c r="D351" s="5"/>
      <c r="E351" s="5"/>
      <c r="F351" s="5"/>
      <c r="G351" s="5"/>
      <c r="H351" s="5"/>
      <c r="I351" s="70"/>
      <c r="J351" s="70"/>
      <c r="K351" s="70"/>
      <c r="L351" s="70"/>
      <c r="M351" s="70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45">
      <c r="A352" s="5"/>
      <c r="B352" s="5"/>
      <c r="C352" s="5"/>
      <c r="D352" s="5"/>
      <c r="E352" s="5"/>
      <c r="F352" s="5"/>
      <c r="G352" s="5"/>
      <c r="H352" s="5"/>
      <c r="I352" s="70"/>
      <c r="J352" s="70"/>
      <c r="K352" s="70"/>
      <c r="L352" s="70"/>
      <c r="M352" s="70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45">
      <c r="A353" s="5"/>
      <c r="B353" s="5"/>
      <c r="C353" s="5"/>
      <c r="D353" s="5"/>
      <c r="E353" s="5"/>
      <c r="F353" s="5"/>
      <c r="G353" s="5"/>
      <c r="H353" s="5"/>
      <c r="I353" s="70"/>
      <c r="J353" s="70"/>
      <c r="K353" s="70"/>
      <c r="L353" s="70"/>
      <c r="M353" s="70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45">
      <c r="A354" s="5"/>
      <c r="B354" s="5"/>
      <c r="C354" s="5"/>
      <c r="D354" s="5"/>
      <c r="E354" s="5"/>
      <c r="F354" s="5"/>
      <c r="G354" s="5"/>
      <c r="H354" s="5"/>
      <c r="I354" s="70"/>
      <c r="J354" s="70"/>
      <c r="K354" s="70"/>
      <c r="L354" s="70"/>
      <c r="M354" s="70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45">
      <c r="A355" s="5"/>
      <c r="B355" s="5"/>
      <c r="C355" s="5"/>
      <c r="D355" s="5"/>
      <c r="E355" s="5"/>
      <c r="F355" s="5"/>
      <c r="G355" s="5"/>
      <c r="H355" s="5"/>
      <c r="I355" s="70"/>
      <c r="J355" s="70"/>
      <c r="K355" s="70"/>
      <c r="L355" s="70"/>
      <c r="M355" s="70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45">
      <c r="A356" s="5"/>
      <c r="B356" s="5"/>
      <c r="C356" s="5"/>
      <c r="D356" s="5"/>
      <c r="E356" s="5"/>
      <c r="F356" s="5"/>
      <c r="G356" s="5"/>
      <c r="H356" s="5"/>
      <c r="I356" s="70"/>
      <c r="J356" s="70"/>
      <c r="K356" s="70"/>
      <c r="L356" s="70"/>
      <c r="M356" s="70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45">
      <c r="I357" s="3"/>
      <c r="J357" s="3"/>
      <c r="K357" s="3"/>
      <c r="L357" s="3"/>
      <c r="M357" s="3"/>
    </row>
  </sheetData>
  <sheetProtection algorithmName="SHA-512" hashValue="QiYlmIbLuplryFv6XjubRvwMkRg4xkN9BDQhQf5t/SoG0VcMsnFa2mKZ6g+dUOBSsDdf/MG8GmXh7toTsSvEdw==" saltValue="luJUpmHQ91mezK6FzeQ18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P500"/>
  <sheetViews>
    <sheetView topLeftCell="D16" zoomScale="60" zoomScaleNormal="60" workbookViewId="0">
      <selection activeCell="J33" sqref="J33:L33"/>
    </sheetView>
  </sheetViews>
  <sheetFormatPr baseColWidth="10" defaultColWidth="11.3984375" defaultRowHeight="14.25" x14ac:dyDescent="0.45"/>
  <cols>
    <col min="1" max="1" width="11.3984375" style="1"/>
    <col min="2" max="2" width="30.86328125" style="1" bestFit="1" customWidth="1"/>
    <col min="3" max="3" width="18.1328125" style="1" bestFit="1" customWidth="1"/>
    <col min="4" max="5" width="11.3984375" style="1"/>
    <col min="6" max="6" width="34" style="3" customWidth="1"/>
    <col min="7" max="7" width="11.3984375" style="3"/>
    <col min="8" max="8" width="11.3984375" style="1"/>
    <col min="9" max="9" width="33" style="1" customWidth="1"/>
    <col min="10" max="10" width="37" style="1" customWidth="1"/>
    <col min="11" max="15" width="11.3984375" style="1"/>
    <col min="16" max="16" width="21" style="1" customWidth="1"/>
    <col min="17" max="16384" width="11.3984375" style="1"/>
  </cols>
  <sheetData>
    <row r="1" spans="1:46" ht="14.65" thickBot="1" x14ac:dyDescent="0.5">
      <c r="A1" s="5"/>
      <c r="B1" s="5"/>
      <c r="C1" s="5"/>
      <c r="D1" s="5"/>
      <c r="E1" s="5"/>
      <c r="F1" s="70"/>
      <c r="G1" s="7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5.9" thickBot="1" x14ac:dyDescent="0.8">
      <c r="A2" s="5"/>
      <c r="B2" s="288" t="s">
        <v>273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90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5" customFormat="1" x14ac:dyDescent="0.45">
      <c r="A3" s="99"/>
      <c r="B3" s="99"/>
      <c r="C3" s="99"/>
      <c r="D3" s="99"/>
      <c r="E3" s="99"/>
      <c r="F3" s="180"/>
      <c r="G3" s="180"/>
      <c r="H3" s="99"/>
      <c r="I3" s="181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</row>
    <row r="4" spans="1:46" s="205" customFormat="1" x14ac:dyDescent="0.45">
      <c r="A4" s="99"/>
      <c r="B4" s="99"/>
      <c r="C4" s="99"/>
      <c r="D4" s="99"/>
      <c r="E4" s="99"/>
      <c r="F4" s="180"/>
      <c r="G4" s="180"/>
      <c r="H4" s="99"/>
      <c r="I4" s="273" t="s">
        <v>190</v>
      </c>
      <c r="J4" s="273"/>
      <c r="K4" s="273"/>
      <c r="L4" s="273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</row>
    <row r="5" spans="1:46" s="205" customFormat="1" x14ac:dyDescent="0.45">
      <c r="A5" s="99"/>
      <c r="B5" s="99"/>
      <c r="C5" s="99"/>
      <c r="D5" s="99"/>
      <c r="E5" s="99"/>
      <c r="F5" s="239"/>
      <c r="G5" s="180"/>
      <c r="H5" s="99"/>
      <c r="I5" s="182"/>
      <c r="J5" s="182"/>
      <c r="K5" s="182"/>
      <c r="L5" s="182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</row>
    <row r="6" spans="1:46" s="205" customFormat="1" ht="25.5" x14ac:dyDescent="0.75">
      <c r="A6" s="99"/>
      <c r="B6" s="312" t="s">
        <v>192</v>
      </c>
      <c r="C6" s="312"/>
      <c r="D6" s="99"/>
      <c r="E6" s="99"/>
      <c r="F6" s="240"/>
      <c r="G6" s="241"/>
      <c r="H6" s="26"/>
      <c r="I6" s="187" t="s">
        <v>253</v>
      </c>
      <c r="J6" s="183">
        <v>4.4999999999999998E-2</v>
      </c>
      <c r="K6" s="26"/>
      <c r="L6" s="26"/>
      <c r="M6" s="26"/>
      <c r="N6" s="184"/>
      <c r="O6" s="312" t="s">
        <v>191</v>
      </c>
      <c r="P6" s="312"/>
      <c r="Q6" s="312"/>
      <c r="R6" s="312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</row>
    <row r="7" spans="1:46" x14ac:dyDescent="0.45">
      <c r="A7" s="25"/>
      <c r="B7" s="25"/>
      <c r="C7" s="25"/>
      <c r="D7" s="25"/>
      <c r="E7" s="25"/>
      <c r="F7" s="217"/>
      <c r="G7" s="229"/>
      <c r="H7" s="25"/>
      <c r="I7" s="5"/>
      <c r="J7" s="5"/>
      <c r="K7" s="221"/>
      <c r="L7" s="221"/>
      <c r="M7" s="25"/>
      <c r="N7" s="235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45">
      <c r="A8" s="25"/>
      <c r="B8" s="25"/>
      <c r="C8" s="25"/>
      <c r="D8" s="25"/>
      <c r="E8" s="25"/>
      <c r="F8" s="217"/>
      <c r="G8" s="229"/>
      <c r="H8" s="25"/>
      <c r="I8" s="187" t="s">
        <v>178</v>
      </c>
      <c r="J8" s="187" t="s">
        <v>294</v>
      </c>
      <c r="K8" s="221"/>
      <c r="L8" s="221"/>
      <c r="M8" s="25"/>
      <c r="N8" s="235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45">
      <c r="A9" s="25"/>
      <c r="B9" s="25"/>
      <c r="C9" s="25"/>
      <c r="D9" s="25"/>
      <c r="E9" s="25"/>
      <c r="F9" s="217"/>
      <c r="G9" s="229"/>
      <c r="H9" s="25"/>
      <c r="I9" s="206">
        <v>1</v>
      </c>
      <c r="J9" s="207">
        <v>0</v>
      </c>
      <c r="K9" s="221"/>
      <c r="L9" s="221"/>
      <c r="M9" s="25"/>
      <c r="N9" s="235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45">
      <c r="A10" s="25"/>
      <c r="B10" s="25"/>
      <c r="C10" s="25"/>
      <c r="D10" s="25"/>
      <c r="E10" s="25"/>
      <c r="F10" s="217"/>
      <c r="G10" s="229"/>
      <c r="H10" s="25"/>
      <c r="I10" s="5"/>
      <c r="J10" s="5"/>
      <c r="K10" s="221"/>
      <c r="L10" s="221"/>
      <c r="M10" s="25"/>
      <c r="N10" s="23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45">
      <c r="A11" s="25"/>
      <c r="B11" s="25"/>
      <c r="C11" s="25"/>
      <c r="D11" s="25"/>
      <c r="E11" s="25"/>
      <c r="F11" s="217"/>
      <c r="G11" s="25"/>
      <c r="H11" s="25"/>
      <c r="I11" s="245" t="s">
        <v>178</v>
      </c>
      <c r="J11" s="245" t="s">
        <v>289</v>
      </c>
      <c r="K11" s="25"/>
      <c r="L11" s="221"/>
      <c r="M11" s="25"/>
      <c r="N11" s="23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45">
      <c r="A12" s="25"/>
      <c r="B12" s="25"/>
      <c r="C12" s="25"/>
      <c r="D12" s="25"/>
      <c r="E12" s="25"/>
      <c r="F12" s="233"/>
      <c r="G12" s="242"/>
      <c r="H12" s="25"/>
      <c r="I12" s="206">
        <v>1</v>
      </c>
      <c r="J12" s="207">
        <v>6558</v>
      </c>
      <c r="K12" s="222"/>
      <c r="L12" s="223"/>
      <c r="M12" s="25"/>
      <c r="N12" s="185"/>
      <c r="O12" s="186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45">
      <c r="A13" s="25"/>
      <c r="B13" s="25"/>
      <c r="C13" s="25"/>
      <c r="D13" s="25"/>
      <c r="E13" s="25"/>
      <c r="F13" s="233"/>
      <c r="G13" s="242"/>
      <c r="H13" s="25"/>
      <c r="I13" s="206">
        <v>2</v>
      </c>
      <c r="J13" s="207"/>
      <c r="K13" s="224"/>
      <c r="L13" s="223"/>
      <c r="M13" s="25"/>
      <c r="N13" s="235"/>
      <c r="O13" s="225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45">
      <c r="A14" s="25"/>
      <c r="B14" s="25"/>
      <c r="C14" s="25"/>
      <c r="D14" s="25"/>
      <c r="E14" s="25"/>
      <c r="F14" s="233"/>
      <c r="G14" s="242"/>
      <c r="H14" s="25"/>
      <c r="I14" s="206">
        <v>3</v>
      </c>
      <c r="J14" s="207">
        <v>780</v>
      </c>
      <c r="K14" s="224"/>
      <c r="L14" s="223"/>
      <c r="M14" s="25"/>
      <c r="N14" s="235"/>
      <c r="O14" s="225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45">
      <c r="A15" s="25"/>
      <c r="B15" s="25"/>
      <c r="C15" s="25"/>
      <c r="D15" s="25"/>
      <c r="E15" s="25"/>
      <c r="F15" s="233"/>
      <c r="G15" s="242"/>
      <c r="H15" s="25"/>
      <c r="I15" s="206">
        <v>4</v>
      </c>
      <c r="J15" s="207">
        <v>360</v>
      </c>
      <c r="K15" s="224"/>
      <c r="L15" s="223"/>
      <c r="M15" s="25"/>
      <c r="N15" s="235"/>
      <c r="O15" s="225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45">
      <c r="A16" s="25"/>
      <c r="B16" s="25"/>
      <c r="C16" s="25"/>
      <c r="D16" s="25"/>
      <c r="E16" s="25"/>
      <c r="F16" s="233"/>
      <c r="G16" s="242"/>
      <c r="H16" s="25"/>
      <c r="I16" s="206">
        <v>5</v>
      </c>
      <c r="J16" s="207">
        <v>370</v>
      </c>
      <c r="K16" s="224"/>
      <c r="L16" s="223"/>
      <c r="M16" s="25"/>
      <c r="N16" s="235"/>
      <c r="O16" s="225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45">
      <c r="A17" s="234"/>
      <c r="B17" s="234"/>
      <c r="C17" s="25"/>
      <c r="D17" s="25"/>
      <c r="E17" s="25"/>
      <c r="F17" s="217"/>
      <c r="G17" s="229"/>
      <c r="H17" s="25"/>
      <c r="I17" s="303" t="s">
        <v>292</v>
      </c>
      <c r="J17" s="303"/>
      <c r="K17" s="303"/>
      <c r="L17" s="303"/>
      <c r="M17" s="5"/>
      <c r="N17" s="185"/>
      <c r="O17" s="313" t="s">
        <v>254</v>
      </c>
      <c r="P17" s="313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45">
      <c r="A18" s="48" t="s">
        <v>165</v>
      </c>
      <c r="B18" s="188" t="str">
        <f>IF('Données projet'!$B$9="","",'Données projet'!$B$9)</f>
        <v>Pin laricio</v>
      </c>
      <c r="C18" s="5"/>
      <c r="D18" s="5"/>
      <c r="E18" s="5"/>
      <c r="F18" s="217"/>
      <c r="G18" s="229"/>
      <c r="H18" s="25"/>
      <c r="I18" s="5"/>
      <c r="J18" s="5"/>
      <c r="K18" s="5"/>
      <c r="L18" s="5"/>
      <c r="M18" s="5"/>
      <c r="N18" s="185"/>
      <c r="O18" s="274" t="s">
        <v>291</v>
      </c>
      <c r="P18" s="274"/>
      <c r="Q18" s="189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45">
      <c r="A19" s="5"/>
      <c r="B19" s="5"/>
      <c r="C19" s="5"/>
      <c r="D19" s="5"/>
      <c r="E19" s="5"/>
      <c r="F19" s="217"/>
      <c r="G19" s="229"/>
      <c r="H19" s="25"/>
      <c r="I19" s="5"/>
      <c r="J19" s="187" t="s">
        <v>263</v>
      </c>
      <c r="K19" s="190" t="s">
        <v>249</v>
      </c>
      <c r="L19" s="187" t="s">
        <v>264</v>
      </c>
      <c r="M19" s="25"/>
      <c r="N19" s="185"/>
      <c r="O19" s="274" t="s">
        <v>255</v>
      </c>
      <c r="P19" s="274"/>
      <c r="Q19" s="208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45">
      <c r="A20" s="187" t="s">
        <v>180</v>
      </c>
      <c r="B20" s="50" t="s">
        <v>256</v>
      </c>
      <c r="C20" s="50" t="s">
        <v>255</v>
      </c>
      <c r="D20" s="187" t="s">
        <v>252</v>
      </c>
      <c r="E20" s="187" t="s">
        <v>288</v>
      </c>
      <c r="F20" s="217"/>
      <c r="G20" s="230"/>
      <c r="H20" s="25"/>
      <c r="I20" s="187" t="str">
        <f>B18</f>
        <v>Pin laricio</v>
      </c>
      <c r="J20" s="191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736.7425105364016</v>
      </c>
      <c r="K20" s="192">
        <f>'Données projet'!D9</f>
        <v>5.1852</v>
      </c>
      <c r="L20" s="191">
        <f>K20*J20</f>
        <v>3820.1572656333497</v>
      </c>
      <c r="M20" s="25"/>
      <c r="N20" s="185"/>
      <c r="O20" s="274" t="s">
        <v>290</v>
      </c>
      <c r="P20" s="274"/>
      <c r="Q20" s="193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45">
      <c r="A21" s="213">
        <v>0</v>
      </c>
      <c r="B21" s="216" t="s">
        <v>132</v>
      </c>
      <c r="C21" s="215" t="s">
        <v>132</v>
      </c>
      <c r="D21" s="214" t="s">
        <v>132</v>
      </c>
      <c r="E21" s="209"/>
      <c r="F21" s="217"/>
      <c r="G21" s="230"/>
      <c r="H21" s="25"/>
      <c r="I21" s="187" t="str">
        <f>B44</f>
        <v>Cèdre de l'Atlas</v>
      </c>
      <c r="J21" s="191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1089.882979284072</v>
      </c>
      <c r="K21" s="192">
        <f>'Données projet'!D10</f>
        <v>5.1852</v>
      </c>
      <c r="L21" s="191">
        <f t="shared" ref="L21:L29" si="0">K21*J21</f>
        <v>5651.2612241837705</v>
      </c>
      <c r="M21" s="25"/>
      <c r="N21" s="235"/>
      <c r="O21" s="236"/>
      <c r="P21" s="236"/>
      <c r="Q21" s="231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45">
      <c r="A22" s="194">
        <f>'Données projet'!A36</f>
        <v>20</v>
      </c>
      <c r="B22" s="195">
        <f>'Données projet'!D36</f>
        <v>16</v>
      </c>
      <c r="C22" s="209">
        <v>8</v>
      </c>
      <c r="D22" s="196">
        <f>B22*C22</f>
        <v>128</v>
      </c>
      <c r="E22" s="209">
        <v>60</v>
      </c>
      <c r="F22" s="217"/>
      <c r="G22" s="226"/>
      <c r="H22" s="25"/>
      <c r="I22" s="187" t="str">
        <f>B70</f>
        <v>Chêne pubescent</v>
      </c>
      <c r="J22" s="191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34.880844598107601</v>
      </c>
      <c r="K22" s="192">
        <f>'Données projet'!D11</f>
        <v>1.2063999999999999</v>
      </c>
      <c r="L22" s="191">
        <f t="shared" si="0"/>
        <v>42.08025092315701</v>
      </c>
      <c r="M22" s="25"/>
      <c r="N22" s="235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45">
      <c r="A23" s="194">
        <f>'Données projet'!A37</f>
        <v>25</v>
      </c>
      <c r="B23" s="195">
        <f>'Données projet'!D37</f>
        <v>26</v>
      </c>
      <c r="C23" s="209">
        <v>8</v>
      </c>
      <c r="D23" s="196">
        <f t="shared" ref="D23:D41" si="1">B23*C23</f>
        <v>208</v>
      </c>
      <c r="E23" s="209">
        <v>60</v>
      </c>
      <c r="F23" s="218"/>
      <c r="G23" s="226"/>
      <c r="H23" s="25"/>
      <c r="I23" s="187" t="str">
        <f>B96</f>
        <v/>
      </c>
      <c r="J23" s="191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2">
        <f>'Données projet'!D12</f>
        <v>0</v>
      </c>
      <c r="L23" s="191">
        <f t="shared" si="0"/>
        <v>0</v>
      </c>
      <c r="M23" s="225"/>
      <c r="N23" s="197"/>
      <c r="O23" s="316" t="s">
        <v>261</v>
      </c>
      <c r="P23" s="316"/>
      <c r="Q23" s="316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45">
      <c r="A24" s="194">
        <f>'Données projet'!A38</f>
        <v>30</v>
      </c>
      <c r="B24" s="195">
        <f>'Données projet'!D38</f>
        <v>33</v>
      </c>
      <c r="C24" s="209">
        <v>8</v>
      </c>
      <c r="D24" s="196">
        <f t="shared" si="1"/>
        <v>264</v>
      </c>
      <c r="E24" s="209">
        <v>60</v>
      </c>
      <c r="F24" s="218"/>
      <c r="G24" s="226"/>
      <c r="H24" s="25"/>
      <c r="I24" s="187" t="str">
        <f>B122</f>
        <v/>
      </c>
      <c r="J24" s="191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2">
        <f>'Données projet'!D13</f>
        <v>0</v>
      </c>
      <c r="L24" s="191">
        <f t="shared" si="0"/>
        <v>0</v>
      </c>
      <c r="M24" s="25"/>
      <c r="N24" s="185"/>
      <c r="O24" s="314" t="s">
        <v>286</v>
      </c>
      <c r="P24" s="314"/>
      <c r="Q24" s="314"/>
      <c r="R24" s="314"/>
      <c r="S24" s="314"/>
      <c r="T24" s="208">
        <v>550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45">
      <c r="A25" s="194">
        <f>'Données projet'!A39</f>
        <v>35</v>
      </c>
      <c r="B25" s="195">
        <f>'Données projet'!D39</f>
        <v>39</v>
      </c>
      <c r="C25" s="209">
        <v>8</v>
      </c>
      <c r="D25" s="196">
        <f t="shared" si="1"/>
        <v>312</v>
      </c>
      <c r="E25" s="209">
        <v>60</v>
      </c>
      <c r="F25" s="218"/>
      <c r="G25" s="226"/>
      <c r="H25" s="25"/>
      <c r="I25" s="187" t="str">
        <f>B148</f>
        <v/>
      </c>
      <c r="J25" s="191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2">
        <f>'Données projet'!D14</f>
        <v>0</v>
      </c>
      <c r="L25" s="191">
        <f t="shared" si="0"/>
        <v>0</v>
      </c>
      <c r="M25" s="25"/>
      <c r="N25" s="185"/>
      <c r="O25" s="315" t="s">
        <v>258</v>
      </c>
      <c r="P25" s="315"/>
      <c r="Q25" s="315"/>
      <c r="R25" s="315"/>
      <c r="S25" s="315"/>
      <c r="T25" s="315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45">
      <c r="A26" s="194">
        <f>'Données projet'!A40</f>
        <v>40</v>
      </c>
      <c r="B26" s="195">
        <f>'Données projet'!D40</f>
        <v>43</v>
      </c>
      <c r="C26" s="209">
        <v>8</v>
      </c>
      <c r="D26" s="196">
        <f t="shared" si="1"/>
        <v>344</v>
      </c>
      <c r="E26" s="209">
        <v>60</v>
      </c>
      <c r="F26" s="218"/>
      <c r="G26" s="226"/>
      <c r="H26" s="25"/>
      <c r="I26" s="187" t="str">
        <f>B174</f>
        <v/>
      </c>
      <c r="J26" s="191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2">
        <f>'Données projet'!D15</f>
        <v>0</v>
      </c>
      <c r="L26" s="191">
        <f t="shared" si="0"/>
        <v>0</v>
      </c>
      <c r="M26" s="25"/>
      <c r="N26" s="185"/>
      <c r="O26" s="315"/>
      <c r="P26" s="315"/>
      <c r="Q26" s="315"/>
      <c r="R26" s="315"/>
      <c r="S26" s="315"/>
      <c r="T26" s="315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45">
      <c r="A27" s="194">
        <f>'Données projet'!A41</f>
        <v>45</v>
      </c>
      <c r="B27" s="195">
        <f>'Données projet'!D41</f>
        <v>46</v>
      </c>
      <c r="C27" s="209">
        <v>12</v>
      </c>
      <c r="D27" s="196">
        <f t="shared" si="1"/>
        <v>552</v>
      </c>
      <c r="E27" s="209">
        <v>60</v>
      </c>
      <c r="F27" s="218"/>
      <c r="G27" s="226"/>
      <c r="H27" s="25"/>
      <c r="I27" s="187" t="str">
        <f>B200</f>
        <v/>
      </c>
      <c r="J27" s="191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2">
        <f>'Données projet'!D16</f>
        <v>0</v>
      </c>
      <c r="L27" s="191">
        <f t="shared" si="0"/>
        <v>0</v>
      </c>
      <c r="M27" s="25"/>
      <c r="N27" s="185"/>
      <c r="O27" s="198"/>
      <c r="P27" s="198"/>
      <c r="Q27" s="198"/>
      <c r="R27" s="198"/>
      <c r="S27" s="198"/>
      <c r="T27" s="244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45">
      <c r="A28" s="194">
        <f>'Données projet'!A42</f>
        <v>50</v>
      </c>
      <c r="B28" s="195">
        <f>'Données projet'!D42</f>
        <v>47</v>
      </c>
      <c r="C28" s="209">
        <v>20</v>
      </c>
      <c r="D28" s="196">
        <f t="shared" si="1"/>
        <v>940</v>
      </c>
      <c r="E28" s="209">
        <v>60</v>
      </c>
      <c r="F28" s="218"/>
      <c r="G28" s="226"/>
      <c r="H28" s="25"/>
      <c r="I28" s="187" t="str">
        <f>B226</f>
        <v/>
      </c>
      <c r="J28" s="191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2">
        <f>'Données projet'!D17</f>
        <v>0</v>
      </c>
      <c r="L28" s="191">
        <f t="shared" si="0"/>
        <v>0</v>
      </c>
      <c r="M28" s="25"/>
      <c r="N28" s="185"/>
      <c r="O28" s="187" t="s">
        <v>259</v>
      </c>
      <c r="P28" s="199">
        <f ca="1">SUM(OFFSET($S$29,0,0,MIN('Données projet'!$E$9:$E$18)+1,1))</f>
        <v>12539.582411688038</v>
      </c>
      <c r="Q28" s="5"/>
      <c r="R28" s="92" t="s">
        <v>178</v>
      </c>
      <c r="S28" s="92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45">
      <c r="A29" s="194">
        <f>'Données projet'!A43</f>
        <v>55</v>
      </c>
      <c r="B29" s="195">
        <f>'Données projet'!D43</f>
        <v>48</v>
      </c>
      <c r="C29" s="209">
        <v>20</v>
      </c>
      <c r="D29" s="196">
        <f t="shared" si="1"/>
        <v>960</v>
      </c>
      <c r="E29" s="209">
        <v>60</v>
      </c>
      <c r="F29" s="218"/>
      <c r="G29" s="226"/>
      <c r="H29" s="25"/>
      <c r="I29" s="187" t="str">
        <f>B252</f>
        <v/>
      </c>
      <c r="J29" s="191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2">
        <f>'Données projet'!D18</f>
        <v>0</v>
      </c>
      <c r="L29" s="191">
        <f t="shared" si="0"/>
        <v>0</v>
      </c>
      <c r="M29" s="25"/>
      <c r="N29" s="185"/>
      <c r="O29" s="5"/>
      <c r="P29" s="5"/>
      <c r="Q29" s="5"/>
      <c r="R29" s="210">
        <v>0</v>
      </c>
      <c r="S29" s="200">
        <f>$T$24/(1+$J$6)^R29</f>
        <v>550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45">
      <c r="A30" s="194">
        <f>'Données projet'!A44</f>
        <v>60</v>
      </c>
      <c r="B30" s="195">
        <f>'Données projet'!D44</f>
        <v>47</v>
      </c>
      <c r="C30" s="209">
        <v>20</v>
      </c>
      <c r="D30" s="196">
        <f t="shared" si="1"/>
        <v>940</v>
      </c>
      <c r="E30" s="209">
        <v>60</v>
      </c>
      <c r="F30" s="218"/>
      <c r="G30" s="226"/>
      <c r="H30" s="25"/>
      <c r="M30" s="5"/>
      <c r="N30" s="185"/>
      <c r="O30" s="310" t="s">
        <v>260</v>
      </c>
      <c r="P30" s="310"/>
      <c r="Q30" s="311"/>
      <c r="R30" s="210">
        <f>IF(R29+1&lt;=MIN('Données projet'!$E$9:$E$18),R29+1,"STOP")</f>
        <v>1</v>
      </c>
      <c r="S30" s="200">
        <f t="shared" ref="S30:S46" si="2">$T$24/(1+$J$6)^R30</f>
        <v>526.31578947368428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45">
      <c r="A31" s="194">
        <f>'Données projet'!A45</f>
        <v>65</v>
      </c>
      <c r="B31" s="195">
        <f>'Données projet'!D45</f>
        <v>46</v>
      </c>
      <c r="C31" s="209">
        <v>20</v>
      </c>
      <c r="D31" s="196">
        <f t="shared" si="1"/>
        <v>920</v>
      </c>
      <c r="E31" s="209">
        <v>60</v>
      </c>
      <c r="F31" s="218"/>
      <c r="G31" s="226"/>
      <c r="H31" s="25"/>
      <c r="I31" s="25"/>
      <c r="J31" s="25"/>
      <c r="K31" s="25"/>
      <c r="L31" s="25"/>
      <c r="M31" s="5"/>
      <c r="N31" s="185"/>
      <c r="O31" s="310" t="s">
        <v>297</v>
      </c>
      <c r="P31" s="310"/>
      <c r="Q31" s="311"/>
      <c r="R31" s="210">
        <f>IF(R30+1&lt;=MIN('Données projet'!$E$9:$E$18),R30+1,"STOP")</f>
        <v>2</v>
      </c>
      <c r="S31" s="200">
        <f t="shared" si="2"/>
        <v>503.65147318055915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45">
      <c r="A32" s="194">
        <f>'Données projet'!A46</f>
        <v>70</v>
      </c>
      <c r="B32" s="195">
        <f>'Données projet'!D46</f>
        <v>44</v>
      </c>
      <c r="C32" s="209">
        <v>24</v>
      </c>
      <c r="D32" s="196">
        <f t="shared" si="1"/>
        <v>1056</v>
      </c>
      <c r="E32" s="209">
        <v>60</v>
      </c>
      <c r="F32" s="218"/>
      <c r="G32" s="226"/>
      <c r="H32" s="25"/>
      <c r="I32" s="25"/>
      <c r="J32" s="25"/>
      <c r="K32" s="25"/>
      <c r="L32" s="25"/>
      <c r="M32" s="5"/>
      <c r="N32" s="235"/>
      <c r="O32" s="25"/>
      <c r="P32" s="25"/>
      <c r="Q32" s="25"/>
      <c r="R32" s="210">
        <f>IF(R31+1&lt;=MIN('Données projet'!$E$9:$E$18),R31+1,"STOP")</f>
        <v>3</v>
      </c>
      <c r="S32" s="200">
        <f t="shared" si="2"/>
        <v>481.96313223020013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45">
      <c r="A33" s="194">
        <f>'Données projet'!A47</f>
        <v>75</v>
      </c>
      <c r="B33" s="195">
        <f>'Données projet'!D47</f>
        <v>42</v>
      </c>
      <c r="C33" s="209">
        <v>28</v>
      </c>
      <c r="D33" s="196">
        <f t="shared" si="1"/>
        <v>1176</v>
      </c>
      <c r="E33" s="209">
        <v>60</v>
      </c>
      <c r="F33" s="218"/>
      <c r="G33" s="226"/>
      <c r="H33" s="25"/>
      <c r="I33" s="187" t="s">
        <v>265</v>
      </c>
      <c r="J33" s="306">
        <f>SUM(L20:L29) - (J12/(1+J6)^I12 + J13/(1+J6)^I13 + J14/(1+J6)^I14 + J15/(1+J6)^I15 + J16/(1+J6)^I16 + J9/(1+J6)^I9)*'Données projet'!C5</f>
        <v>-78158.122794217808</v>
      </c>
      <c r="K33" s="306"/>
      <c r="L33" s="306"/>
      <c r="M33" s="25"/>
      <c r="N33" s="235"/>
      <c r="O33" s="25"/>
      <c r="P33" s="25"/>
      <c r="Q33" s="25"/>
      <c r="R33" s="210">
        <f>IF(R32+1&lt;=MIN('Données projet'!$E$9:$E$18),R32+1,"STOP")</f>
        <v>4</v>
      </c>
      <c r="S33" s="200">
        <f t="shared" si="2"/>
        <v>461.20873897626819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45">
      <c r="A34" s="194">
        <f>'Données projet'!A48</f>
        <v>80</v>
      </c>
      <c r="B34" s="195">
        <f>'Données projet'!D48</f>
        <v>40</v>
      </c>
      <c r="C34" s="209">
        <v>28</v>
      </c>
      <c r="D34" s="196">
        <f t="shared" si="1"/>
        <v>1120</v>
      </c>
      <c r="E34" s="209">
        <v>60</v>
      </c>
      <c r="F34" s="218"/>
      <c r="G34" s="226"/>
      <c r="H34" s="25"/>
      <c r="I34" s="187" t="s">
        <v>262</v>
      </c>
      <c r="J34" s="307">
        <f ca="1">'Scénario référence'!$B$8*$P$28*'Données projet'!$C$5+('Scénario référence'!B9+'Scénario référence'!B10+'Scénario référence'!F8+'Scénario référence'!F9)*$Q$20/(1+J6)^Q17*'Données projet'!$C$5</f>
        <v>145459.15597558123</v>
      </c>
      <c r="K34" s="307"/>
      <c r="L34" s="307"/>
      <c r="M34" s="25"/>
      <c r="N34" s="235"/>
      <c r="O34" s="25"/>
      <c r="P34" s="25"/>
      <c r="Q34" s="25"/>
      <c r="R34" s="210">
        <f>IF(R33+1&lt;=MIN('Données projet'!$E$9:$E$18),R33+1,"STOP")</f>
        <v>5</v>
      </c>
      <c r="S34" s="200">
        <f t="shared" si="2"/>
        <v>441.34807557537624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45">
      <c r="A35" s="194">
        <f>'Données projet'!A49</f>
        <v>85</v>
      </c>
      <c r="B35" s="195">
        <f>'Données projet'!D49</f>
        <v>37</v>
      </c>
      <c r="C35" s="209">
        <v>32</v>
      </c>
      <c r="D35" s="196">
        <f t="shared" si="1"/>
        <v>1184</v>
      </c>
      <c r="E35" s="209">
        <v>60</v>
      </c>
      <c r="F35" s="218"/>
      <c r="G35" s="226"/>
      <c r="H35" s="25"/>
      <c r="I35" s="201" t="s">
        <v>267</v>
      </c>
      <c r="J35" s="308">
        <f ca="1">J33-J34</f>
        <v>-223617.27876979904</v>
      </c>
      <c r="K35" s="308"/>
      <c r="L35" s="308"/>
      <c r="M35" s="25"/>
      <c r="N35" s="235"/>
      <c r="O35" s="25"/>
      <c r="P35" s="25"/>
      <c r="Q35" s="25"/>
      <c r="R35" s="210">
        <f>IF(R34+1&lt;=MIN('Données projet'!$E$9:$E$18),R34+1,"STOP")</f>
        <v>6</v>
      </c>
      <c r="S35" s="200">
        <f t="shared" si="2"/>
        <v>422.34265605299174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45">
      <c r="A36" s="194">
        <f>'Données projet'!A50</f>
        <v>90</v>
      </c>
      <c r="B36" s="195">
        <f>'Données projet'!D50</f>
        <v>585</v>
      </c>
      <c r="C36" s="209"/>
      <c r="D36" s="196">
        <f t="shared" si="1"/>
        <v>0</v>
      </c>
      <c r="E36" s="209"/>
      <c r="F36" s="218"/>
      <c r="G36" s="226"/>
      <c r="H36" s="25"/>
      <c r="I36" s="201" t="s">
        <v>266</v>
      </c>
      <c r="J36" s="305" t="str">
        <f ca="1">IF(J35&lt;0,"Votre projet est additionnel","Votre projet n'est pas additionnel")</f>
        <v>Votre projet est additionnel</v>
      </c>
      <c r="K36" s="305"/>
      <c r="L36" s="305"/>
      <c r="M36" s="25"/>
      <c r="N36" s="235"/>
      <c r="O36" s="25"/>
      <c r="P36" s="25"/>
      <c r="Q36" s="25"/>
      <c r="R36" s="210">
        <f>IF(R35+1&lt;=MIN('Données projet'!$E$9:$E$18),R35+1,"STOP")</f>
        <v>7</v>
      </c>
      <c r="S36" s="200">
        <f t="shared" si="2"/>
        <v>404.15565172535094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45">
      <c r="A37" s="194">
        <f>'Données projet'!A51</f>
        <v>0</v>
      </c>
      <c r="B37" s="195">
        <f>'Données projet'!D51</f>
        <v>0</v>
      </c>
      <c r="C37" s="209"/>
      <c r="D37" s="196">
        <f t="shared" si="1"/>
        <v>0</v>
      </c>
      <c r="E37" s="209"/>
      <c r="F37" s="218"/>
      <c r="G37" s="226"/>
      <c r="H37" s="25"/>
      <c r="I37" s="309" t="s">
        <v>268</v>
      </c>
      <c r="J37" s="309"/>
      <c r="K37" s="309"/>
      <c r="L37" s="309"/>
      <c r="M37" s="25"/>
      <c r="N37" s="235"/>
      <c r="O37" s="25"/>
      <c r="P37" s="25"/>
      <c r="Q37" s="25"/>
      <c r="R37" s="210">
        <f>IF(R36+1&lt;=MIN('Données projet'!$E$9:$E$18),R36+1,"STOP")</f>
        <v>8</v>
      </c>
      <c r="S37" s="200">
        <f t="shared" si="2"/>
        <v>386.75181983287183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45">
      <c r="A38" s="194">
        <f>'Données projet'!A52</f>
        <v>0</v>
      </c>
      <c r="B38" s="195">
        <f>'Données projet'!D52</f>
        <v>0</v>
      </c>
      <c r="C38" s="209"/>
      <c r="D38" s="196">
        <f t="shared" si="1"/>
        <v>0</v>
      </c>
      <c r="E38" s="209"/>
      <c r="F38" s="218"/>
      <c r="G38" s="226"/>
      <c r="H38" s="25"/>
      <c r="I38" s="25"/>
      <c r="J38" s="25"/>
      <c r="K38" s="25"/>
      <c r="L38" s="25"/>
      <c r="M38" s="25"/>
      <c r="N38" s="235"/>
      <c r="O38" s="25"/>
      <c r="P38" s="25"/>
      <c r="Q38" s="25"/>
      <c r="R38" s="210">
        <f>IF(R37+1&lt;=MIN('Données projet'!$E$9:$E$18),R37+1,"STOP")</f>
        <v>9</v>
      </c>
      <c r="S38" s="200">
        <f t="shared" si="2"/>
        <v>370.0974352467673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45">
      <c r="A39" s="194">
        <f>'Données projet'!A53</f>
        <v>0</v>
      </c>
      <c r="B39" s="195">
        <f>'Données projet'!D53</f>
        <v>0</v>
      </c>
      <c r="C39" s="209"/>
      <c r="D39" s="196">
        <f t="shared" si="1"/>
        <v>0</v>
      </c>
      <c r="E39" s="209"/>
      <c r="F39" s="218"/>
      <c r="G39" s="226"/>
      <c r="H39" s="25"/>
      <c r="I39" s="25"/>
      <c r="J39" s="25"/>
      <c r="K39" s="25"/>
      <c r="L39" s="25"/>
      <c r="M39" s="25"/>
      <c r="N39" s="235"/>
      <c r="O39" s="25"/>
      <c r="P39" s="25"/>
      <c r="Q39" s="25"/>
      <c r="R39" s="210">
        <f>IF(R38+1&lt;=MIN('Données projet'!$E$9:$E$18),R38+1,"STOP")</f>
        <v>10</v>
      </c>
      <c r="S39" s="200">
        <f t="shared" si="2"/>
        <v>354.1602251165238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45">
      <c r="A40" s="194">
        <f>'Données projet'!A54</f>
        <v>0</v>
      </c>
      <c r="B40" s="195">
        <f>'Données projet'!D54</f>
        <v>0</v>
      </c>
      <c r="C40" s="209"/>
      <c r="D40" s="196">
        <f t="shared" si="1"/>
        <v>0</v>
      </c>
      <c r="E40" s="209"/>
      <c r="F40" s="218"/>
      <c r="G40" s="226"/>
      <c r="H40" s="25"/>
      <c r="I40" s="25"/>
      <c r="J40" s="25"/>
      <c r="K40" s="25"/>
      <c r="L40" s="25"/>
      <c r="M40" s="25"/>
      <c r="N40" s="235"/>
      <c r="O40" s="25"/>
      <c r="P40" s="25"/>
      <c r="Q40" s="25"/>
      <c r="R40" s="210">
        <f>IF(R39+1&lt;=MIN('Données projet'!$E$9:$E$18),R39+1,"STOP")</f>
        <v>11</v>
      </c>
      <c r="S40" s="200">
        <f t="shared" si="2"/>
        <v>338.90930633160173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45">
      <c r="A41" s="194">
        <f>'Données projet'!A55</f>
        <v>0</v>
      </c>
      <c r="B41" s="195">
        <f>'Données projet'!D55</f>
        <v>0</v>
      </c>
      <c r="C41" s="209"/>
      <c r="D41" s="196">
        <f t="shared" si="1"/>
        <v>0</v>
      </c>
      <c r="E41" s="209"/>
      <c r="F41" s="218"/>
      <c r="G41" s="226"/>
      <c r="H41" s="25"/>
      <c r="I41" s="25"/>
      <c r="J41" s="25"/>
      <c r="K41" s="25"/>
      <c r="L41" s="25"/>
      <c r="M41" s="25"/>
      <c r="N41" s="235"/>
      <c r="O41" s="25"/>
      <c r="P41" s="25"/>
      <c r="Q41" s="25"/>
      <c r="R41" s="210">
        <f>IF(R40+1&lt;=MIN('Données projet'!$E$9:$E$18),R40+1,"STOP")</f>
        <v>12</v>
      </c>
      <c r="S41" s="200">
        <f t="shared" si="2"/>
        <v>324.31512567617398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1" customFormat="1" ht="47.25" customHeight="1" x14ac:dyDescent="0.45">
      <c r="A42" s="202"/>
      <c r="B42" s="202"/>
      <c r="C42" s="202"/>
      <c r="D42" s="202"/>
      <c r="E42" s="303" t="s">
        <v>293</v>
      </c>
      <c r="F42" s="304"/>
      <c r="G42" s="227"/>
      <c r="H42" s="228"/>
      <c r="I42" s="228"/>
      <c r="J42" s="228"/>
      <c r="K42" s="228"/>
      <c r="L42" s="228"/>
      <c r="M42" s="228"/>
      <c r="N42" s="237"/>
      <c r="O42" s="228"/>
      <c r="P42" s="228"/>
      <c r="Q42" s="228"/>
      <c r="R42" s="210">
        <f>IF(R41+1&lt;=MIN('Données projet'!$E$9:$E$18),R41+1,"STOP")</f>
        <v>13</v>
      </c>
      <c r="S42" s="203">
        <f t="shared" si="2"/>
        <v>310.34940256093199</v>
      </c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2"/>
      <c r="AT42" s="202"/>
      <c r="AU42" s="202"/>
      <c r="AV42" s="202"/>
      <c r="AW42" s="202"/>
      <c r="AX42" s="202"/>
      <c r="AY42" s="202"/>
      <c r="AZ42" s="202"/>
      <c r="BA42" s="202"/>
      <c r="BB42" s="202"/>
      <c r="BC42" s="202"/>
      <c r="BD42" s="202"/>
      <c r="BE42" s="202"/>
      <c r="BF42" s="202"/>
      <c r="BG42" s="202"/>
      <c r="BH42" s="202"/>
    </row>
    <row r="43" spans="1:60" x14ac:dyDescent="0.45">
      <c r="A43" s="5"/>
      <c r="B43" s="5"/>
      <c r="C43" s="5"/>
      <c r="D43" s="5"/>
      <c r="E43" s="5"/>
      <c r="F43" s="217"/>
      <c r="G43" s="229"/>
      <c r="H43" s="25"/>
      <c r="I43" s="25"/>
      <c r="J43" s="25"/>
      <c r="K43" s="25"/>
      <c r="L43" s="25"/>
      <c r="M43" s="25"/>
      <c r="N43" s="185"/>
      <c r="O43" s="5"/>
      <c r="P43" s="5"/>
      <c r="Q43" s="5"/>
      <c r="R43" s="210">
        <f>IF(R42+1&lt;=MIN('Données projet'!$E$9:$E$18),R42+1,"STOP")</f>
        <v>14</v>
      </c>
      <c r="S43" s="200">
        <f t="shared" si="2"/>
        <v>296.98507422098766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45">
      <c r="A44" s="48" t="s">
        <v>166</v>
      </c>
      <c r="B44" s="188" t="str">
        <f>IF('Données projet'!$B$10="","",'Données projet'!$B$10)</f>
        <v>Cèdre de l'Atlas</v>
      </c>
      <c r="C44" s="5"/>
      <c r="D44" s="5"/>
      <c r="E44" s="5"/>
      <c r="F44" s="217"/>
      <c r="G44" s="229"/>
      <c r="H44" s="25"/>
      <c r="I44" s="25"/>
      <c r="J44" s="25"/>
      <c r="K44" s="25"/>
      <c r="L44" s="25"/>
      <c r="M44" s="25"/>
      <c r="N44" s="185"/>
      <c r="O44" s="5"/>
      <c r="P44" s="5"/>
      <c r="Q44" s="5"/>
      <c r="R44" s="210">
        <f>IF(R43+1&lt;=MIN('Données projet'!$E$9:$E$18),R43+1,"STOP")</f>
        <v>15</v>
      </c>
      <c r="S44" s="200">
        <f t="shared" si="2"/>
        <v>284.19624327367234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45">
      <c r="A45" s="5"/>
      <c r="B45" s="5"/>
      <c r="C45" s="5"/>
      <c r="D45" s="5"/>
      <c r="E45" s="5"/>
      <c r="F45" s="217"/>
      <c r="G45" s="229"/>
      <c r="H45" s="25"/>
      <c r="I45" s="25"/>
      <c r="J45" s="25"/>
      <c r="K45" s="25"/>
      <c r="L45" s="25"/>
      <c r="M45" s="25"/>
      <c r="N45" s="185"/>
      <c r="O45" s="5"/>
      <c r="P45" s="5"/>
      <c r="Q45" s="5"/>
      <c r="R45" s="210">
        <f>IF(R44+1&lt;=MIN('Données projet'!$E$9:$E$18),R44+1,"STOP")</f>
        <v>16</v>
      </c>
      <c r="S45" s="200">
        <f t="shared" si="2"/>
        <v>271.95812753461479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45">
      <c r="A46" s="187" t="s">
        <v>180</v>
      </c>
      <c r="B46" s="50" t="s">
        <v>256</v>
      </c>
      <c r="C46" s="50" t="s">
        <v>255</v>
      </c>
      <c r="D46" s="187" t="s">
        <v>252</v>
      </c>
      <c r="E46" s="187" t="s">
        <v>288</v>
      </c>
      <c r="F46" s="219"/>
      <c r="G46" s="230"/>
      <c r="H46" s="25"/>
      <c r="I46" s="25"/>
      <c r="J46" s="25"/>
      <c r="K46" s="25"/>
      <c r="L46" s="25"/>
      <c r="M46" s="25"/>
      <c r="N46" s="185"/>
      <c r="O46" s="5"/>
      <c r="P46" s="5"/>
      <c r="Q46" s="5"/>
      <c r="R46" s="210">
        <f>IF(R45+1&lt;=MIN('Données projet'!$E$9:$E$18),R45+1,"STOP")</f>
        <v>17</v>
      </c>
      <c r="S46" s="200">
        <f t="shared" si="2"/>
        <v>260.24701199484673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45">
      <c r="A47" s="213">
        <v>0</v>
      </c>
      <c r="B47" s="216" t="s">
        <v>132</v>
      </c>
      <c r="C47" s="215" t="s">
        <v>132</v>
      </c>
      <c r="D47" s="214" t="s">
        <v>132</v>
      </c>
      <c r="E47" s="209"/>
      <c r="F47" s="219"/>
      <c r="G47" s="230"/>
      <c r="H47" s="25"/>
      <c r="I47" s="25"/>
      <c r="J47" s="25"/>
      <c r="K47" s="25"/>
      <c r="L47" s="25"/>
      <c r="M47" s="25"/>
      <c r="N47" s="185"/>
      <c r="O47" s="5"/>
      <c r="P47" s="5"/>
      <c r="Q47" s="5"/>
      <c r="R47" s="210">
        <f>IF(R46+1&lt;=MIN('Données projet'!$E$9:$E$18),R46+1,"STOP")</f>
        <v>18</v>
      </c>
      <c r="S47" s="200">
        <f t="shared" ref="S47:S60" si="3">$T$24/(1+$J$6)^R47</f>
        <v>249.04020286588207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45">
      <c r="A48" s="194">
        <f>'Données projet'!A62</f>
        <v>20</v>
      </c>
      <c r="B48" s="195">
        <f>'Données projet'!D62</f>
        <v>19</v>
      </c>
      <c r="C48" s="207">
        <v>8</v>
      </c>
      <c r="D48" s="193">
        <f>B48*C48</f>
        <v>152</v>
      </c>
      <c r="E48" s="209">
        <v>60</v>
      </c>
      <c r="F48" s="220"/>
      <c r="G48" s="231"/>
      <c r="H48" s="25"/>
      <c r="I48" s="25"/>
      <c r="J48" s="25"/>
      <c r="K48" s="25"/>
      <c r="L48" s="25"/>
      <c r="M48" s="25"/>
      <c r="N48" s="185"/>
      <c r="O48" s="5"/>
      <c r="P48" s="5"/>
      <c r="Q48" s="5"/>
      <c r="R48" s="210">
        <f>IF(R47+1&lt;=MIN('Données projet'!$E$9:$E$18),R47+1,"STOP")</f>
        <v>19</v>
      </c>
      <c r="S48" s="200">
        <f t="shared" si="3"/>
        <v>238.3159836037149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45">
      <c r="A49" s="194">
        <f>'Données projet'!A63</f>
        <v>30</v>
      </c>
      <c r="B49" s="195">
        <f>'Données projet'!D63</f>
        <v>27</v>
      </c>
      <c r="C49" s="207">
        <v>14.4</v>
      </c>
      <c r="D49" s="193">
        <f t="shared" ref="D49:D67" si="4">B49*C49</f>
        <v>388.8</v>
      </c>
      <c r="E49" s="209">
        <v>60</v>
      </c>
      <c r="F49" s="220"/>
      <c r="G49" s="231"/>
      <c r="H49" s="25"/>
      <c r="I49" s="25"/>
      <c r="J49" s="25"/>
      <c r="K49" s="25"/>
      <c r="L49" s="25"/>
      <c r="M49" s="25"/>
      <c r="N49" s="185"/>
      <c r="O49" s="5"/>
      <c r="P49" s="5"/>
      <c r="Q49" s="5"/>
      <c r="R49" s="210">
        <f>IF(R48+1&lt;=MIN('Données projet'!$E$9:$E$18),R48+1,"STOP")</f>
        <v>20</v>
      </c>
      <c r="S49" s="200">
        <f t="shared" si="3"/>
        <v>228.0535728265215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45">
      <c r="A50" s="194">
        <f>'Données projet'!A64</f>
        <v>40</v>
      </c>
      <c r="B50" s="195">
        <f>'Données projet'!D64</f>
        <v>37</v>
      </c>
      <c r="C50" s="207">
        <v>20</v>
      </c>
      <c r="D50" s="193">
        <f t="shared" si="4"/>
        <v>740</v>
      </c>
      <c r="E50" s="209">
        <v>60</v>
      </c>
      <c r="F50" s="220"/>
      <c r="G50" s="231"/>
      <c r="H50" s="25"/>
      <c r="I50" s="25"/>
      <c r="J50" s="25"/>
      <c r="K50" s="25"/>
      <c r="L50" s="25"/>
      <c r="M50" s="25"/>
      <c r="N50" s="185"/>
      <c r="O50" s="5"/>
      <c r="P50" s="5"/>
      <c r="Q50" s="5"/>
      <c r="R50" s="210">
        <f>IF(R49+1&lt;=MIN('Données projet'!$E$9:$E$18),R49+1,"STOP")</f>
        <v>21</v>
      </c>
      <c r="S50" s="200">
        <f t="shared" si="3"/>
        <v>218.23308404451817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45">
      <c r="A51" s="194">
        <f>'Données projet'!A65</f>
        <v>50</v>
      </c>
      <c r="B51" s="195">
        <f>'Données projet'!D65</f>
        <v>47</v>
      </c>
      <c r="C51" s="207">
        <v>28</v>
      </c>
      <c r="D51" s="193">
        <f t="shared" si="4"/>
        <v>1316</v>
      </c>
      <c r="E51" s="209">
        <v>60</v>
      </c>
      <c r="F51" s="220"/>
      <c r="G51" s="231"/>
      <c r="H51" s="25"/>
      <c r="I51" s="25"/>
      <c r="J51" s="25"/>
      <c r="K51" s="25"/>
      <c r="L51" s="25"/>
      <c r="M51" s="25"/>
      <c r="N51" s="185"/>
      <c r="O51" s="5"/>
      <c r="P51" s="5"/>
      <c r="Q51" s="5"/>
      <c r="R51" s="210">
        <f>IF(R50+1&lt;=MIN('Données projet'!$E$9:$E$18),R50+1,"STOP")</f>
        <v>22</v>
      </c>
      <c r="S51" s="200">
        <f t="shared" si="3"/>
        <v>208.83548712394091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45">
      <c r="A52" s="194">
        <f>'Données projet'!A66</f>
        <v>60</v>
      </c>
      <c r="B52" s="195">
        <f>'Données projet'!D66</f>
        <v>59</v>
      </c>
      <c r="C52" s="207">
        <v>32</v>
      </c>
      <c r="D52" s="193">
        <f t="shared" si="4"/>
        <v>1888</v>
      </c>
      <c r="E52" s="209">
        <v>60</v>
      </c>
      <c r="F52" s="220"/>
      <c r="G52" s="231"/>
      <c r="H52" s="25"/>
      <c r="I52" s="25"/>
      <c r="J52" s="232"/>
      <c r="K52" s="232"/>
      <c r="L52" s="232"/>
      <c r="M52" s="25"/>
      <c r="N52" s="185"/>
      <c r="O52" s="5"/>
      <c r="P52" s="5"/>
      <c r="Q52" s="5"/>
      <c r="R52" s="210">
        <f>IF(R51+1&lt;=MIN('Données projet'!$E$9:$E$18),R51+1,"STOP")</f>
        <v>23</v>
      </c>
      <c r="S52" s="200">
        <f t="shared" si="3"/>
        <v>199.84257141046973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45">
      <c r="A53" s="194">
        <f>'Données projet'!A67</f>
        <v>70</v>
      </c>
      <c r="B53" s="195">
        <f>'Données projet'!D67</f>
        <v>69</v>
      </c>
      <c r="C53" s="207">
        <v>36</v>
      </c>
      <c r="D53" s="193">
        <f t="shared" si="4"/>
        <v>2484</v>
      </c>
      <c r="E53" s="209">
        <v>60</v>
      </c>
      <c r="F53" s="220"/>
      <c r="G53" s="231"/>
      <c r="H53" s="25"/>
      <c r="I53" s="5"/>
      <c r="J53" s="204"/>
      <c r="K53" s="204"/>
      <c r="L53" s="204"/>
      <c r="M53" s="5"/>
      <c r="N53" s="185"/>
      <c r="O53" s="5"/>
      <c r="P53" s="5"/>
      <c r="Q53" s="5"/>
      <c r="R53" s="210">
        <f>IF(R52+1&lt;=MIN('Données projet'!$E$9:$E$18),R52+1,"STOP")</f>
        <v>24</v>
      </c>
      <c r="S53" s="200">
        <f t="shared" si="3"/>
        <v>191.23691044064094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45">
      <c r="A54" s="194">
        <f>'Données projet'!A68</f>
        <v>80</v>
      </c>
      <c r="B54" s="195">
        <f>'Données projet'!D68</f>
        <v>80</v>
      </c>
      <c r="C54" s="207">
        <v>36</v>
      </c>
      <c r="D54" s="193">
        <f t="shared" si="4"/>
        <v>2880</v>
      </c>
      <c r="E54" s="209">
        <v>60</v>
      </c>
      <c r="F54" s="220"/>
      <c r="G54" s="231"/>
      <c r="H54" s="25"/>
      <c r="I54" s="5"/>
      <c r="J54" s="204"/>
      <c r="K54" s="204"/>
      <c r="L54" s="204"/>
      <c r="M54" s="5"/>
      <c r="N54" s="185"/>
      <c r="O54" s="5"/>
      <c r="P54" s="5"/>
      <c r="Q54" s="5"/>
      <c r="R54" s="210">
        <f>IF(R53+1&lt;=MIN('Données projet'!$E$9:$E$18),R53+1,"STOP")</f>
        <v>25</v>
      </c>
      <c r="S54" s="200">
        <f t="shared" si="3"/>
        <v>183.00182817286216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45">
      <c r="A55" s="194">
        <f>'Données projet'!A69</f>
        <v>90</v>
      </c>
      <c r="B55" s="195">
        <f>'Données projet'!D69</f>
        <v>92</v>
      </c>
      <c r="C55" s="207">
        <v>44.800000000000004</v>
      </c>
      <c r="D55" s="193">
        <f t="shared" si="4"/>
        <v>4121.6000000000004</v>
      </c>
      <c r="E55" s="209">
        <v>60</v>
      </c>
      <c r="F55" s="220"/>
      <c r="G55" s="231"/>
      <c r="H55" s="25"/>
      <c r="I55" s="5"/>
      <c r="J55" s="204"/>
      <c r="K55" s="204"/>
      <c r="L55" s="204"/>
      <c r="M55" s="5"/>
      <c r="N55" s="185"/>
      <c r="O55" s="5"/>
      <c r="P55" s="5"/>
      <c r="Q55" s="5"/>
      <c r="R55" s="210">
        <f>IF(R54+1&lt;=MIN('Données projet'!$E$9:$E$18),R54+1,"STOP")</f>
        <v>26</v>
      </c>
      <c r="S55" s="200">
        <f t="shared" si="3"/>
        <v>175.12136667259543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45">
      <c r="A56" s="194">
        <f>'Données projet'!A70</f>
        <v>100</v>
      </c>
      <c r="B56" s="195">
        <f>'Données projet'!D70</f>
        <v>718</v>
      </c>
      <c r="C56" s="207">
        <v>44.800000000000004</v>
      </c>
      <c r="D56" s="193">
        <f t="shared" si="4"/>
        <v>32166.400000000001</v>
      </c>
      <c r="E56" s="209">
        <v>60</v>
      </c>
      <c r="F56" s="220"/>
      <c r="G56" s="231"/>
      <c r="H56" s="25"/>
      <c r="I56" s="5"/>
      <c r="J56" s="204"/>
      <c r="K56" s="204"/>
      <c r="L56" s="204"/>
      <c r="M56" s="5"/>
      <c r="N56" s="185"/>
      <c r="O56" s="5"/>
      <c r="P56" s="5"/>
      <c r="Q56" s="5"/>
      <c r="R56" s="210">
        <f>IF(R55+1&lt;=MIN('Données projet'!$E$9:$E$18),R55+1,"STOP")</f>
        <v>27</v>
      </c>
      <c r="S56" s="200">
        <f t="shared" si="3"/>
        <v>167.58025518908653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45">
      <c r="A57" s="194">
        <f>'Données projet'!A71</f>
        <v>0</v>
      </c>
      <c r="B57" s="195">
        <f>'Données projet'!D71</f>
        <v>0</v>
      </c>
      <c r="C57" s="207"/>
      <c r="D57" s="193">
        <f t="shared" si="4"/>
        <v>0</v>
      </c>
      <c r="E57" s="209"/>
      <c r="F57" s="220"/>
      <c r="G57" s="231"/>
      <c r="H57" s="25"/>
      <c r="I57" s="5"/>
      <c r="J57" s="204"/>
      <c r="K57" s="204"/>
      <c r="L57" s="204"/>
      <c r="M57" s="5"/>
      <c r="N57" s="185"/>
      <c r="O57" s="5"/>
      <c r="P57" s="5"/>
      <c r="Q57" s="5"/>
      <c r="R57" s="210">
        <f>IF(R56+1&lt;=MIN('Données projet'!$E$9:$E$18),R56+1,"STOP")</f>
        <v>28</v>
      </c>
      <c r="S57" s="200">
        <f t="shared" si="3"/>
        <v>160.36388056371919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45">
      <c r="A58" s="194">
        <f>'Données projet'!A72</f>
        <v>0</v>
      </c>
      <c r="B58" s="195">
        <f>'Données projet'!D72</f>
        <v>0</v>
      </c>
      <c r="C58" s="207"/>
      <c r="D58" s="193">
        <f t="shared" si="4"/>
        <v>0</v>
      </c>
      <c r="E58" s="209"/>
      <c r="F58" s="220"/>
      <c r="G58" s="231"/>
      <c r="H58" s="25"/>
      <c r="I58" s="5"/>
      <c r="J58" s="204"/>
      <c r="K58" s="204"/>
      <c r="L58" s="204"/>
      <c r="M58" s="5"/>
      <c r="N58" s="185"/>
      <c r="O58" s="5"/>
      <c r="P58" s="5"/>
      <c r="Q58" s="5"/>
      <c r="R58" s="210">
        <f>IF(R57+1&lt;=MIN('Données projet'!$E$9:$E$18),R57+1,"STOP")</f>
        <v>29</v>
      </c>
      <c r="S58" s="200">
        <f t="shared" si="3"/>
        <v>153.45825891264991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45">
      <c r="A59" s="194">
        <f>'Données projet'!A73</f>
        <v>0</v>
      </c>
      <c r="B59" s="195">
        <f>'Données projet'!D73</f>
        <v>0</v>
      </c>
      <c r="C59" s="207"/>
      <c r="D59" s="193">
        <f t="shared" si="4"/>
        <v>0</v>
      </c>
      <c r="E59" s="209"/>
      <c r="F59" s="220"/>
      <c r="G59" s="231"/>
      <c r="H59" s="25"/>
      <c r="I59" s="5"/>
      <c r="J59" s="204"/>
      <c r="K59" s="204"/>
      <c r="L59" s="204"/>
      <c r="M59" s="5"/>
      <c r="N59" s="185"/>
      <c r="O59" s="5"/>
      <c r="P59" s="5"/>
      <c r="Q59" s="5"/>
      <c r="R59" s="210">
        <f>IF(R58+1&lt;=MIN('Données projet'!$E$9:$E$18),R58+1,"STOP")</f>
        <v>30</v>
      </c>
      <c r="S59" s="200">
        <f t="shared" si="3"/>
        <v>146.85000852885165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45">
      <c r="A60" s="194">
        <f>'Données projet'!A74</f>
        <v>0</v>
      </c>
      <c r="B60" s="195">
        <f>'Données projet'!D74</f>
        <v>0</v>
      </c>
      <c r="C60" s="207"/>
      <c r="D60" s="193">
        <f t="shared" si="4"/>
        <v>0</v>
      </c>
      <c r="E60" s="209"/>
      <c r="F60" s="220"/>
      <c r="G60" s="231"/>
      <c r="H60" s="25"/>
      <c r="I60" s="5"/>
      <c r="J60" s="5"/>
      <c r="K60" s="5"/>
      <c r="L60" s="5"/>
      <c r="M60" s="5"/>
      <c r="N60" s="185"/>
      <c r="O60" s="5"/>
      <c r="P60" s="5"/>
      <c r="Q60" s="5"/>
      <c r="R60" s="210">
        <f>IF(R59+1&lt;=MIN('Données projet'!$E$9:$E$18),R59+1,"STOP")</f>
        <v>31</v>
      </c>
      <c r="S60" s="200">
        <f t="shared" si="3"/>
        <v>140.5263239510542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45">
      <c r="A61" s="194">
        <f>'Données projet'!A75</f>
        <v>0</v>
      </c>
      <c r="B61" s="195">
        <f>'Données projet'!D75</f>
        <v>0</v>
      </c>
      <c r="C61" s="207"/>
      <c r="D61" s="193">
        <f t="shared" si="4"/>
        <v>0</v>
      </c>
      <c r="E61" s="209"/>
      <c r="F61" s="220"/>
      <c r="G61" s="231"/>
      <c r="H61" s="25"/>
      <c r="I61" s="5"/>
      <c r="J61" s="5"/>
      <c r="K61" s="5"/>
      <c r="L61" s="5"/>
      <c r="M61" s="5"/>
      <c r="N61" s="185"/>
      <c r="O61" s="5"/>
      <c r="P61" s="5"/>
      <c r="Q61" s="5"/>
      <c r="R61" s="210">
        <f>IF(R60+1&lt;=MIN('Données projet'!$E$9:$E$18),R60+1,"STOP")</f>
        <v>32</v>
      </c>
      <c r="S61" s="200">
        <f t="shared" ref="S61:S72" si="5">$T$24/(1+$J$6)^R61</f>
        <v>134.47495114933423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45">
      <c r="A62" s="194">
        <f>'Données projet'!A76</f>
        <v>0</v>
      </c>
      <c r="B62" s="195">
        <f>'Données projet'!D76</f>
        <v>0</v>
      </c>
      <c r="C62" s="207"/>
      <c r="D62" s="193">
        <f t="shared" si="4"/>
        <v>0</v>
      </c>
      <c r="E62" s="209"/>
      <c r="F62" s="220"/>
      <c r="G62" s="231"/>
      <c r="H62" s="25"/>
      <c r="I62" s="5"/>
      <c r="J62" s="5"/>
      <c r="K62" s="5"/>
      <c r="L62" s="5"/>
      <c r="M62" s="5"/>
      <c r="N62" s="185"/>
      <c r="O62" s="5"/>
      <c r="P62" s="5"/>
      <c r="Q62" s="5"/>
      <c r="R62" s="210">
        <f>IF(R61+1&lt;=MIN('Données projet'!$E$9:$E$18),R61+1,"STOP")</f>
        <v>33</v>
      </c>
      <c r="S62" s="200">
        <f t="shared" si="5"/>
        <v>128.68416377926721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45">
      <c r="A63" s="194">
        <f>'Données projet'!A77</f>
        <v>0</v>
      </c>
      <c r="B63" s="195">
        <f>'Données projet'!D77</f>
        <v>0</v>
      </c>
      <c r="C63" s="207"/>
      <c r="D63" s="193">
        <f t="shared" si="4"/>
        <v>0</v>
      </c>
      <c r="E63" s="209"/>
      <c r="F63" s="220"/>
      <c r="G63" s="231"/>
      <c r="H63" s="25"/>
      <c r="I63" s="5"/>
      <c r="J63" s="5"/>
      <c r="K63" s="5"/>
      <c r="L63" s="5"/>
      <c r="M63" s="5"/>
      <c r="N63" s="185"/>
      <c r="O63" s="5"/>
      <c r="P63" s="5"/>
      <c r="Q63" s="5"/>
      <c r="R63" s="210">
        <f>IF(R62+1&lt;=MIN('Données projet'!$E$9:$E$18),R62+1,"STOP")</f>
        <v>34</v>
      </c>
      <c r="S63" s="200">
        <f t="shared" si="5"/>
        <v>123.14274045862892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45">
      <c r="A64" s="194">
        <f>'Données projet'!A78</f>
        <v>0</v>
      </c>
      <c r="B64" s="195">
        <f>'Données projet'!D78</f>
        <v>0</v>
      </c>
      <c r="C64" s="207"/>
      <c r="D64" s="193">
        <f t="shared" si="4"/>
        <v>0</v>
      </c>
      <c r="E64" s="209"/>
      <c r="F64" s="220"/>
      <c r="G64" s="231"/>
      <c r="H64" s="25"/>
      <c r="I64" s="5"/>
      <c r="J64" s="5"/>
      <c r="K64" s="5"/>
      <c r="L64" s="5"/>
      <c r="M64" s="5"/>
      <c r="N64" s="185"/>
      <c r="O64" s="5"/>
      <c r="P64" s="5"/>
      <c r="Q64" s="5"/>
      <c r="R64" s="210">
        <f>IF(R63+1&lt;=MIN('Données projet'!$E$9:$E$18),R63+1,"STOP")</f>
        <v>35</v>
      </c>
      <c r="S64" s="200">
        <f t="shared" si="5"/>
        <v>117.83994302261142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45">
      <c r="A65" s="194">
        <f>'Données projet'!A79</f>
        <v>0</v>
      </c>
      <c r="B65" s="195">
        <f>'Données projet'!D79</f>
        <v>0</v>
      </c>
      <c r="C65" s="207"/>
      <c r="D65" s="193">
        <f t="shared" si="4"/>
        <v>0</v>
      </c>
      <c r="E65" s="209"/>
      <c r="F65" s="220"/>
      <c r="G65" s="231"/>
      <c r="H65" s="25"/>
      <c r="I65" s="5"/>
      <c r="J65" s="5"/>
      <c r="K65" s="5"/>
      <c r="L65" s="5"/>
      <c r="M65" s="5"/>
      <c r="N65" s="185"/>
      <c r="O65" s="5"/>
      <c r="P65" s="5"/>
      <c r="Q65" s="5"/>
      <c r="R65" s="210">
        <f>IF(R64+1&lt;=MIN('Données projet'!$E$9:$E$18),R64+1,"STOP")</f>
        <v>36</v>
      </c>
      <c r="S65" s="200">
        <f t="shared" si="5"/>
        <v>112.76549571541764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45">
      <c r="A66" s="194">
        <f>'Données projet'!A80</f>
        <v>0</v>
      </c>
      <c r="B66" s="195">
        <f>'Données projet'!D80</f>
        <v>0</v>
      </c>
      <c r="C66" s="207"/>
      <c r="D66" s="193">
        <f t="shared" si="4"/>
        <v>0</v>
      </c>
      <c r="E66" s="209"/>
      <c r="F66" s="220"/>
      <c r="G66" s="231"/>
      <c r="H66" s="25"/>
      <c r="I66" s="5"/>
      <c r="J66" s="5"/>
      <c r="K66" s="5"/>
      <c r="L66" s="5"/>
      <c r="M66" s="5"/>
      <c r="N66" s="185"/>
      <c r="O66" s="5"/>
      <c r="P66" s="5"/>
      <c r="Q66" s="5"/>
      <c r="R66" s="210">
        <f>IF(R65+1&lt;=MIN('Données projet'!$E$9:$E$18),R65+1,"STOP")</f>
        <v>37</v>
      </c>
      <c r="S66" s="200">
        <f t="shared" si="5"/>
        <v>107.90956527791163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45">
      <c r="A67" s="194">
        <f>'Données projet'!A81</f>
        <v>0</v>
      </c>
      <c r="B67" s="195">
        <f>'Données projet'!D81</f>
        <v>0</v>
      </c>
      <c r="C67" s="207"/>
      <c r="D67" s="193">
        <f t="shared" si="4"/>
        <v>0</v>
      </c>
      <c r="E67" s="209"/>
      <c r="F67" s="220"/>
      <c r="G67" s="231"/>
      <c r="H67" s="25"/>
      <c r="I67" s="5"/>
      <c r="J67" s="5"/>
      <c r="K67" s="5"/>
      <c r="L67" s="5"/>
      <c r="M67" s="5"/>
      <c r="N67" s="185"/>
      <c r="O67" s="5"/>
      <c r="P67" s="5"/>
      <c r="Q67" s="5"/>
      <c r="R67" s="210">
        <f>IF(R66+1&lt;=MIN('Données projet'!$E$9:$E$18),R66+1,"STOP")</f>
        <v>38</v>
      </c>
      <c r="S67" s="200">
        <f t="shared" si="5"/>
        <v>103.26274189273842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45">
      <c r="A68" s="5"/>
      <c r="B68" s="5"/>
      <c r="C68" s="5"/>
      <c r="D68" s="5"/>
      <c r="E68" s="5"/>
      <c r="F68" s="217"/>
      <c r="G68" s="229"/>
      <c r="H68" s="25"/>
      <c r="I68" s="5"/>
      <c r="J68" s="5"/>
      <c r="K68" s="5"/>
      <c r="L68" s="5"/>
      <c r="M68" s="5"/>
      <c r="N68" s="185"/>
      <c r="O68" s="5"/>
      <c r="P68" s="5"/>
      <c r="Q68" s="5"/>
      <c r="R68" s="210">
        <f>IF(R67+1&lt;=MIN('Données projet'!$E$9:$E$18),R67+1,"STOP")</f>
        <v>39</v>
      </c>
      <c r="S68" s="200">
        <f t="shared" si="5"/>
        <v>98.816020949988911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45">
      <c r="A69" s="5"/>
      <c r="B69" s="5"/>
      <c r="C69" s="5"/>
      <c r="D69" s="5"/>
      <c r="E69" s="5"/>
      <c r="F69" s="217"/>
      <c r="G69" s="229"/>
      <c r="H69" s="25"/>
      <c r="I69" s="5"/>
      <c r="J69" s="5"/>
      <c r="K69" s="5"/>
      <c r="L69" s="5"/>
      <c r="M69" s="5"/>
      <c r="N69" s="185"/>
      <c r="O69" s="5"/>
      <c r="P69" s="5"/>
      <c r="Q69" s="5"/>
      <c r="R69" s="210">
        <f>IF(R68+1&lt;=MIN('Données projet'!$E$9:$E$18),R68+1,"STOP")</f>
        <v>40</v>
      </c>
      <c r="S69" s="200">
        <f t="shared" si="5"/>
        <v>94.56078559807554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45">
      <c r="A70" s="48" t="s">
        <v>167</v>
      </c>
      <c r="B70" s="188" t="str">
        <f>IF('Données projet'!B11="","",'Données projet'!B11)</f>
        <v>Chêne pubescent</v>
      </c>
      <c r="C70" s="5"/>
      <c r="D70" s="5"/>
      <c r="E70" s="5"/>
      <c r="F70" s="217"/>
      <c r="G70" s="229"/>
      <c r="H70" s="25"/>
      <c r="I70" s="5"/>
      <c r="J70" s="5"/>
      <c r="K70" s="5"/>
      <c r="L70" s="5"/>
      <c r="M70" s="5"/>
      <c r="N70" s="185"/>
      <c r="O70" s="5"/>
      <c r="P70" s="5"/>
      <c r="Q70" s="5"/>
      <c r="R70" s="210">
        <f>IF(R69+1&lt;=MIN('Données projet'!$E$9:$E$18),R69+1,"STOP")</f>
        <v>41</v>
      </c>
      <c r="S70" s="200">
        <f t="shared" si="5"/>
        <v>90.488790046005306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45">
      <c r="A71" s="5"/>
      <c r="B71" s="5"/>
      <c r="C71" s="5"/>
      <c r="D71" s="5"/>
      <c r="E71" s="5"/>
      <c r="F71" s="217"/>
      <c r="G71" s="229"/>
      <c r="H71" s="25"/>
      <c r="I71" s="5"/>
      <c r="J71" s="5"/>
      <c r="K71" s="5"/>
      <c r="L71" s="5"/>
      <c r="M71" s="5"/>
      <c r="N71" s="185"/>
      <c r="O71" s="5"/>
      <c r="P71" s="5"/>
      <c r="Q71" s="5"/>
      <c r="R71" s="210">
        <f>IF(R70+1&lt;=MIN('Données projet'!$E$9:$E$18),R70+1,"STOP")</f>
        <v>42</v>
      </c>
      <c r="S71" s="200">
        <f t="shared" si="5"/>
        <v>86.592143584694099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45">
      <c r="A72" s="187" t="s">
        <v>180</v>
      </c>
      <c r="B72" s="50" t="s">
        <v>256</v>
      </c>
      <c r="C72" s="50" t="s">
        <v>255</v>
      </c>
      <c r="D72" s="187" t="s">
        <v>252</v>
      </c>
      <c r="E72" s="187" t="s">
        <v>288</v>
      </c>
      <c r="F72" s="219"/>
      <c r="G72" s="230"/>
      <c r="H72" s="25"/>
      <c r="I72" s="5"/>
      <c r="J72" s="5"/>
      <c r="K72" s="5"/>
      <c r="L72" s="5"/>
      <c r="M72" s="5"/>
      <c r="N72" s="185"/>
      <c r="O72" s="5"/>
      <c r="P72" s="5"/>
      <c r="Q72" s="5"/>
      <c r="R72" s="210">
        <f>IF(R71+1&lt;=MIN('Données projet'!$E$9:$E$18),R71+1,"STOP")</f>
        <v>43</v>
      </c>
      <c r="S72" s="200">
        <f t="shared" si="5"/>
        <v>82.86329529635799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45">
      <c r="A73" s="213">
        <v>0</v>
      </c>
      <c r="B73" s="216" t="s">
        <v>132</v>
      </c>
      <c r="C73" s="215" t="s">
        <v>132</v>
      </c>
      <c r="D73" s="214" t="s">
        <v>132</v>
      </c>
      <c r="E73" s="209"/>
      <c r="F73" s="219"/>
      <c r="G73" s="230"/>
      <c r="H73" s="25"/>
      <c r="I73" s="5"/>
      <c r="J73" s="5"/>
      <c r="K73" s="5"/>
      <c r="L73" s="5"/>
      <c r="M73" s="5"/>
      <c r="N73" s="185"/>
      <c r="O73" s="5"/>
      <c r="P73" s="5"/>
      <c r="Q73" s="5"/>
      <c r="R73" s="210">
        <f>IF(R72+1&lt;=MIN('Données projet'!$E$9:$E$18),R72+1,"STOP")</f>
        <v>44</v>
      </c>
      <c r="S73" s="200">
        <f t="shared" ref="S73:S92" si="6">$T$24/(1+$J$6)^R73</f>
        <v>79.295019422352155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45">
      <c r="A74" s="194">
        <f>'Données projet'!A88</f>
        <v>63</v>
      </c>
      <c r="B74" s="195">
        <f>'Données projet'!D88</f>
        <v>24</v>
      </c>
      <c r="C74" s="207">
        <v>8</v>
      </c>
      <c r="D74" s="193">
        <f>B74*C74</f>
        <v>192</v>
      </c>
      <c r="E74" s="209">
        <v>60</v>
      </c>
      <c r="F74" s="220"/>
      <c r="G74" s="231"/>
      <c r="H74" s="25"/>
      <c r="I74" s="5"/>
      <c r="J74" s="5"/>
      <c r="K74" s="5"/>
      <c r="L74" s="5"/>
      <c r="M74" s="5"/>
      <c r="N74" s="185"/>
      <c r="O74" s="5"/>
      <c r="P74" s="5"/>
      <c r="Q74" s="5"/>
      <c r="R74" s="210">
        <f>IF(R73+1&lt;=MIN('Données projet'!$E$9:$E$18),R73+1,"STOP")</f>
        <v>45</v>
      </c>
      <c r="S74" s="200">
        <f t="shared" si="6"/>
        <v>75.880401361102528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45">
      <c r="A75" s="194">
        <f>'Données projet'!A89</f>
        <v>73</v>
      </c>
      <c r="B75" s="195">
        <f>'Données projet'!D89</f>
        <v>25</v>
      </c>
      <c r="C75" s="207">
        <v>8</v>
      </c>
      <c r="D75" s="193">
        <f t="shared" ref="D75:D93" si="7">B75*C75</f>
        <v>200</v>
      </c>
      <c r="E75" s="209">
        <v>60</v>
      </c>
      <c r="F75" s="220"/>
      <c r="G75" s="231"/>
      <c r="H75" s="25"/>
      <c r="I75" s="5"/>
      <c r="J75" s="5"/>
      <c r="K75" s="5"/>
      <c r="L75" s="5"/>
      <c r="M75" s="5"/>
      <c r="N75" s="185"/>
      <c r="O75" s="5"/>
      <c r="P75" s="5"/>
      <c r="Q75" s="5"/>
      <c r="R75" s="210">
        <f>IF(R74+1&lt;=MIN('Données projet'!$E$9:$E$18),R74+1,"STOP")</f>
        <v>46</v>
      </c>
      <c r="S75" s="200">
        <f t="shared" si="6"/>
        <v>72.612824268997656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45">
      <c r="A76" s="194">
        <f>'Données projet'!A90</f>
        <v>83</v>
      </c>
      <c r="B76" s="195">
        <f>'Données projet'!D90</f>
        <v>27</v>
      </c>
      <c r="C76" s="207">
        <v>8</v>
      </c>
      <c r="D76" s="193">
        <f t="shared" si="7"/>
        <v>216</v>
      </c>
      <c r="E76" s="209">
        <v>60</v>
      </c>
      <c r="F76" s="220"/>
      <c r="G76" s="231"/>
      <c r="H76" s="25"/>
      <c r="I76" s="5"/>
      <c r="J76" s="5"/>
      <c r="K76" s="5"/>
      <c r="L76" s="5"/>
      <c r="M76" s="5"/>
      <c r="N76" s="185"/>
      <c r="O76" s="5"/>
      <c r="P76" s="5"/>
      <c r="Q76" s="5"/>
      <c r="R76" s="210">
        <f>IF(R75+1&lt;=MIN('Données projet'!$E$9:$E$18),R75+1,"STOP")</f>
        <v>47</v>
      </c>
      <c r="S76" s="200">
        <f t="shared" si="6"/>
        <v>69.485956238275264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45">
      <c r="A77" s="194">
        <f>'Données projet'!A91</f>
        <v>93</v>
      </c>
      <c r="B77" s="195">
        <f>'Données projet'!D91</f>
        <v>28</v>
      </c>
      <c r="C77" s="207">
        <v>8</v>
      </c>
      <c r="D77" s="193">
        <f t="shared" si="7"/>
        <v>224</v>
      </c>
      <c r="E77" s="209">
        <v>60</v>
      </c>
      <c r="F77" s="220"/>
      <c r="G77" s="231"/>
      <c r="H77" s="25"/>
      <c r="I77" s="5"/>
      <c r="J77" s="5"/>
      <c r="K77" s="5"/>
      <c r="L77" s="5"/>
      <c r="M77" s="5"/>
      <c r="N77" s="185"/>
      <c r="O77" s="5"/>
      <c r="P77" s="5"/>
      <c r="Q77" s="5"/>
      <c r="R77" s="210">
        <f>IF(R76+1&lt;=MIN('Données projet'!$E$9:$E$18),R76+1,"STOP")</f>
        <v>48</v>
      </c>
      <c r="S77" s="200">
        <f t="shared" si="6"/>
        <v>66.493738027057702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45">
      <c r="A78" s="194">
        <f>'Données projet'!A92</f>
        <v>103</v>
      </c>
      <c r="B78" s="195">
        <f>'Données projet'!D92</f>
        <v>32</v>
      </c>
      <c r="C78" s="207">
        <v>8</v>
      </c>
      <c r="D78" s="193">
        <f t="shared" si="7"/>
        <v>256</v>
      </c>
      <c r="E78" s="209">
        <v>60</v>
      </c>
      <c r="F78" s="220"/>
      <c r="G78" s="231"/>
      <c r="H78" s="25"/>
      <c r="I78" s="5"/>
      <c r="J78" s="5"/>
      <c r="K78" s="5"/>
      <c r="L78" s="5"/>
      <c r="M78" s="5"/>
      <c r="N78" s="185"/>
      <c r="O78" s="5"/>
      <c r="P78" s="5"/>
      <c r="Q78" s="5"/>
      <c r="R78" s="210">
        <f>IF(R77+1&lt;=MIN('Données projet'!$E$9:$E$18),R77+1,"STOP")</f>
        <v>49</v>
      </c>
      <c r="S78" s="200">
        <f t="shared" si="6"/>
        <v>63.630371317758559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45">
      <c r="A79" s="194">
        <f>'Données projet'!A93</f>
        <v>113</v>
      </c>
      <c r="B79" s="195">
        <f>'Données projet'!D93</f>
        <v>32</v>
      </c>
      <c r="C79" s="207">
        <v>16</v>
      </c>
      <c r="D79" s="193">
        <f t="shared" si="7"/>
        <v>512</v>
      </c>
      <c r="E79" s="209">
        <v>60</v>
      </c>
      <c r="F79" s="220"/>
      <c r="G79" s="231"/>
      <c r="H79" s="25"/>
      <c r="I79" s="5"/>
      <c r="J79" s="5"/>
      <c r="K79" s="5"/>
      <c r="L79" s="5"/>
      <c r="M79" s="5"/>
      <c r="N79" s="185"/>
      <c r="O79" s="5"/>
      <c r="P79" s="5"/>
      <c r="Q79" s="5"/>
      <c r="R79" s="210">
        <f>IF(R78+1&lt;=MIN('Données projet'!$E$9:$E$18),R78+1,"STOP")</f>
        <v>50</v>
      </c>
      <c r="S79" s="200">
        <f t="shared" si="6"/>
        <v>60.890307481108685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45">
      <c r="A80" s="194">
        <f>'Données projet'!A94</f>
        <v>125</v>
      </c>
      <c r="B80" s="195">
        <f>'Données projet'!D94</f>
        <v>38</v>
      </c>
      <c r="C80" s="207">
        <v>16</v>
      </c>
      <c r="D80" s="193">
        <f t="shared" si="7"/>
        <v>608</v>
      </c>
      <c r="E80" s="209">
        <v>60</v>
      </c>
      <c r="F80" s="220"/>
      <c r="G80" s="231"/>
      <c r="H80" s="25"/>
      <c r="I80" s="5"/>
      <c r="J80" s="5"/>
      <c r="K80" s="5"/>
      <c r="L80" s="5"/>
      <c r="M80" s="5"/>
      <c r="N80" s="185"/>
      <c r="O80" s="5"/>
      <c r="P80" s="5"/>
      <c r="Q80" s="5"/>
      <c r="R80" s="210">
        <f>IF(R79+1&lt;=MIN('Données projet'!$E$9:$E$18),R79+1,"STOP")</f>
        <v>51</v>
      </c>
      <c r="S80" s="200">
        <f t="shared" si="6"/>
        <v>58.268236824027447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45">
      <c r="A81" s="194">
        <f>'Données projet'!A95</f>
        <v>137</v>
      </c>
      <c r="B81" s="195">
        <f>'Données projet'!D95</f>
        <v>40</v>
      </c>
      <c r="C81" s="207">
        <v>16</v>
      </c>
      <c r="D81" s="193">
        <f t="shared" si="7"/>
        <v>640</v>
      </c>
      <c r="E81" s="209">
        <v>60</v>
      </c>
      <c r="F81" s="220"/>
      <c r="G81" s="231"/>
      <c r="H81" s="25"/>
      <c r="I81" s="5"/>
      <c r="J81" s="5"/>
      <c r="K81" s="5"/>
      <c r="L81" s="5"/>
      <c r="M81" s="5"/>
      <c r="N81" s="185"/>
      <c r="O81" s="5"/>
      <c r="P81" s="5"/>
      <c r="Q81" s="5"/>
      <c r="R81" s="210">
        <f>IF(R80+1&lt;=MIN('Données projet'!$E$9:$E$18),R80+1,"STOP")</f>
        <v>52</v>
      </c>
      <c r="S81" s="200">
        <f t="shared" si="6"/>
        <v>55.759078300504747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45">
      <c r="A82" s="194">
        <f>'Données projet'!A96</f>
        <v>149</v>
      </c>
      <c r="B82" s="195">
        <f>'Données projet'!D96</f>
        <v>40</v>
      </c>
      <c r="C82" s="207">
        <v>16</v>
      </c>
      <c r="D82" s="193">
        <f t="shared" si="7"/>
        <v>640</v>
      </c>
      <c r="E82" s="209">
        <v>60</v>
      </c>
      <c r="F82" s="220"/>
      <c r="G82" s="231"/>
      <c r="H82" s="25"/>
      <c r="I82" s="5"/>
      <c r="J82" s="5"/>
      <c r="K82" s="5"/>
      <c r="L82" s="5"/>
      <c r="M82" s="5"/>
      <c r="N82" s="185"/>
      <c r="O82" s="5"/>
      <c r="P82" s="5"/>
      <c r="Q82" s="5"/>
      <c r="R82" s="210">
        <f>IF(R81+1&lt;=MIN('Données projet'!$E$9:$E$18),R81+1,"STOP")</f>
        <v>53</v>
      </c>
      <c r="S82" s="200">
        <f t="shared" si="6"/>
        <v>53.357969665554776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45">
      <c r="A83" s="194">
        <f>'Données projet'!A97</f>
        <v>164</v>
      </c>
      <c r="B83" s="195">
        <f>'Données projet'!D97</f>
        <v>52</v>
      </c>
      <c r="C83" s="207">
        <v>20</v>
      </c>
      <c r="D83" s="193">
        <f t="shared" si="7"/>
        <v>1040</v>
      </c>
      <c r="E83" s="209">
        <v>60</v>
      </c>
      <c r="F83" s="220"/>
      <c r="G83" s="231"/>
      <c r="H83" s="25"/>
      <c r="I83" s="5"/>
      <c r="J83" s="5"/>
      <c r="K83" s="5"/>
      <c r="L83" s="5"/>
      <c r="M83" s="5"/>
      <c r="N83" s="185"/>
      <c r="O83" s="5"/>
      <c r="P83" s="5"/>
      <c r="Q83" s="5"/>
      <c r="R83" s="210">
        <f>IF(R82+1&lt;=MIN('Données projet'!$E$9:$E$18),R82+1,"STOP")</f>
        <v>54</v>
      </c>
      <c r="S83" s="200">
        <f t="shared" si="6"/>
        <v>51.060258053162492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45">
      <c r="A84" s="194">
        <f>'Données projet'!A98</f>
        <v>179</v>
      </c>
      <c r="B84" s="195">
        <f>'Données projet'!D98</f>
        <v>56</v>
      </c>
      <c r="C84" s="207">
        <v>40</v>
      </c>
      <c r="D84" s="193">
        <f t="shared" si="7"/>
        <v>2240</v>
      </c>
      <c r="E84" s="209">
        <v>60</v>
      </c>
      <c r="F84" s="220"/>
      <c r="G84" s="231"/>
      <c r="H84" s="25"/>
      <c r="I84" s="5"/>
      <c r="J84" s="5"/>
      <c r="K84" s="5"/>
      <c r="L84" s="5"/>
      <c r="M84" s="5"/>
      <c r="N84" s="185"/>
      <c r="O84" s="5"/>
      <c r="P84" s="5"/>
      <c r="Q84" s="5"/>
      <c r="R84" s="210">
        <f>IF(R83+1&lt;=MIN('Données projet'!$E$9:$E$18),R83+1,"STOP")</f>
        <v>55</v>
      </c>
      <c r="S84" s="200">
        <f t="shared" si="6"/>
        <v>48.861490959964094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45">
      <c r="A85" s="194">
        <f>'Données projet'!A99</f>
        <v>190</v>
      </c>
      <c r="B85" s="195">
        <f>'Données projet'!D99</f>
        <v>323</v>
      </c>
      <c r="C85" s="207">
        <v>40</v>
      </c>
      <c r="D85" s="193">
        <f t="shared" si="7"/>
        <v>12920</v>
      </c>
      <c r="E85" s="209">
        <v>60</v>
      </c>
      <c r="F85" s="220"/>
      <c r="G85" s="231"/>
      <c r="H85" s="25"/>
      <c r="I85" s="5"/>
      <c r="J85" s="5"/>
      <c r="K85" s="5"/>
      <c r="L85" s="5"/>
      <c r="M85" s="5"/>
      <c r="N85" s="185"/>
      <c r="O85" s="5"/>
      <c r="P85" s="5"/>
      <c r="Q85" s="5"/>
      <c r="R85" s="210">
        <f>IF(R84+1&lt;=MIN('Données projet'!$E$9:$E$18),R84+1,"STOP")</f>
        <v>56</v>
      </c>
      <c r="S85" s="200">
        <f t="shared" si="6"/>
        <v>46.757407617190538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45">
      <c r="A86" s="194">
        <f>'Données projet'!A100</f>
        <v>0</v>
      </c>
      <c r="B86" s="195">
        <f>'Données projet'!D100</f>
        <v>0</v>
      </c>
      <c r="C86" s="207"/>
      <c r="D86" s="193">
        <f t="shared" si="7"/>
        <v>0</v>
      </c>
      <c r="E86" s="209"/>
      <c r="F86" s="220"/>
      <c r="G86" s="231"/>
      <c r="H86" s="25"/>
      <c r="I86" s="5"/>
      <c r="J86" s="5"/>
      <c r="K86" s="5"/>
      <c r="L86" s="5"/>
      <c r="M86" s="5"/>
      <c r="N86" s="185"/>
      <c r="O86" s="5"/>
      <c r="P86" s="5"/>
      <c r="Q86" s="5"/>
      <c r="R86" s="210">
        <f>IF(R85+1&lt;=MIN('Données projet'!$E$9:$E$18),R85+1,"STOP")</f>
        <v>57</v>
      </c>
      <c r="S86" s="200">
        <f t="shared" si="6"/>
        <v>44.743930734153629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45">
      <c r="A87" s="194">
        <f>'Données projet'!A101</f>
        <v>0</v>
      </c>
      <c r="B87" s="195">
        <f>'Données projet'!D101</f>
        <v>0</v>
      </c>
      <c r="C87" s="207"/>
      <c r="D87" s="193">
        <f t="shared" si="7"/>
        <v>0</v>
      </c>
      <c r="E87" s="209"/>
      <c r="F87" s="220"/>
      <c r="G87" s="231"/>
      <c r="H87" s="25"/>
      <c r="I87" s="5"/>
      <c r="J87" s="5"/>
      <c r="K87" s="5"/>
      <c r="L87" s="5"/>
      <c r="M87" s="5"/>
      <c r="N87" s="185"/>
      <c r="O87" s="5"/>
      <c r="P87" s="5"/>
      <c r="Q87" s="5"/>
      <c r="R87" s="210">
        <f>IF(R86+1&lt;=MIN('Données projet'!$E$9:$E$18),R86+1,"STOP")</f>
        <v>58</v>
      </c>
      <c r="S87" s="200">
        <f t="shared" si="6"/>
        <v>42.817158597276205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45">
      <c r="A88" s="194">
        <f>'Données projet'!A102</f>
        <v>0</v>
      </c>
      <c r="B88" s="195">
        <f>'Données projet'!D102</f>
        <v>0</v>
      </c>
      <c r="C88" s="207"/>
      <c r="D88" s="193">
        <f t="shared" si="7"/>
        <v>0</v>
      </c>
      <c r="E88" s="209"/>
      <c r="F88" s="220"/>
      <c r="G88" s="231"/>
      <c r="H88" s="25"/>
      <c r="I88" s="5"/>
      <c r="J88" s="5"/>
      <c r="K88" s="5"/>
      <c r="L88" s="5"/>
      <c r="M88" s="5"/>
      <c r="N88" s="185"/>
      <c r="O88" s="5"/>
      <c r="P88" s="5"/>
      <c r="Q88" s="5"/>
      <c r="R88" s="210">
        <f>IF(R87+1&lt;=MIN('Données projet'!$E$9:$E$18),R87+1,"STOP")</f>
        <v>59</v>
      </c>
      <c r="S88" s="200">
        <f t="shared" si="6"/>
        <v>40.973357509355225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45">
      <c r="A89" s="194">
        <f>'Données projet'!A103</f>
        <v>0</v>
      </c>
      <c r="B89" s="195">
        <f>'Données projet'!D103</f>
        <v>0</v>
      </c>
      <c r="C89" s="207"/>
      <c r="D89" s="193">
        <f t="shared" si="7"/>
        <v>0</v>
      </c>
      <c r="E89" s="209"/>
      <c r="F89" s="220"/>
      <c r="G89" s="231"/>
      <c r="H89" s="25"/>
      <c r="I89" s="5"/>
      <c r="J89" s="5"/>
      <c r="K89" s="5"/>
      <c r="L89" s="5"/>
      <c r="M89" s="5"/>
      <c r="N89" s="185"/>
      <c r="O89" s="5"/>
      <c r="P89" s="5"/>
      <c r="Q89" s="5"/>
      <c r="R89" s="210">
        <f>IF(R88+1&lt;=MIN('Données projet'!$E$9:$E$18),R88+1,"STOP")</f>
        <v>60</v>
      </c>
      <c r="S89" s="200">
        <f t="shared" si="6"/>
        <v>39.208954554406915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45">
      <c r="A90" s="194">
        <f>'Données projet'!A104</f>
        <v>0</v>
      </c>
      <c r="B90" s="195">
        <f>'Données projet'!D104</f>
        <v>0</v>
      </c>
      <c r="C90" s="207"/>
      <c r="D90" s="193">
        <f t="shared" si="7"/>
        <v>0</v>
      </c>
      <c r="E90" s="209"/>
      <c r="F90" s="220"/>
      <c r="G90" s="231"/>
      <c r="H90" s="25"/>
      <c r="I90" s="5"/>
      <c r="J90" s="5"/>
      <c r="K90" s="5"/>
      <c r="L90" s="5"/>
      <c r="M90" s="5"/>
      <c r="N90" s="185"/>
      <c r="O90" s="5"/>
      <c r="P90" s="5"/>
      <c r="Q90" s="5"/>
      <c r="R90" s="210">
        <f>IF(R89+1&lt;=MIN('Données projet'!$E$9:$E$18),R89+1,"STOP")</f>
        <v>61</v>
      </c>
      <c r="S90" s="200">
        <f t="shared" si="6"/>
        <v>37.520530674073598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45">
      <c r="A91" s="194">
        <f>'Données projet'!A105</f>
        <v>0</v>
      </c>
      <c r="B91" s="195">
        <f>'Données projet'!D105</f>
        <v>0</v>
      </c>
      <c r="C91" s="207"/>
      <c r="D91" s="193">
        <f t="shared" si="7"/>
        <v>0</v>
      </c>
      <c r="E91" s="209"/>
      <c r="F91" s="220"/>
      <c r="G91" s="231"/>
      <c r="H91" s="25"/>
      <c r="I91" s="5"/>
      <c r="J91" s="5"/>
      <c r="K91" s="5"/>
      <c r="L91" s="5"/>
      <c r="M91" s="5"/>
      <c r="N91" s="185"/>
      <c r="O91" s="5"/>
      <c r="P91" s="5"/>
      <c r="Q91" s="5"/>
      <c r="R91" s="210">
        <f>IF(R90+1&lt;=MIN('Données projet'!$E$9:$E$18),R90+1,"STOP")</f>
        <v>62</v>
      </c>
      <c r="S91" s="200">
        <f t="shared" si="6"/>
        <v>35.904814042175708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45">
      <c r="A92" s="194">
        <f>'Données projet'!A106</f>
        <v>0</v>
      </c>
      <c r="B92" s="195">
        <f>'Données projet'!D106</f>
        <v>0</v>
      </c>
      <c r="C92" s="207"/>
      <c r="D92" s="193">
        <f t="shared" si="7"/>
        <v>0</v>
      </c>
      <c r="E92" s="209"/>
      <c r="F92" s="220"/>
      <c r="G92" s="231"/>
      <c r="H92" s="25"/>
      <c r="I92" s="5"/>
      <c r="J92" s="5"/>
      <c r="K92" s="5"/>
      <c r="L92" s="5"/>
      <c r="M92" s="5"/>
      <c r="N92" s="185"/>
      <c r="O92" s="5"/>
      <c r="P92" s="5"/>
      <c r="Q92" s="5"/>
      <c r="R92" s="210">
        <f>IF(R91+1&lt;=MIN('Données projet'!$E$9:$E$18),R91+1,"STOP")</f>
        <v>63</v>
      </c>
      <c r="S92" s="200">
        <f t="shared" si="6"/>
        <v>34.358673724570053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45">
      <c r="A93" s="194">
        <f>'Données projet'!A107</f>
        <v>0</v>
      </c>
      <c r="B93" s="195">
        <f>'Données projet'!D107</f>
        <v>0</v>
      </c>
      <c r="C93" s="207"/>
      <c r="D93" s="193">
        <f t="shared" si="7"/>
        <v>0</v>
      </c>
      <c r="E93" s="209"/>
      <c r="F93" s="220"/>
      <c r="G93" s="231"/>
      <c r="H93" s="25"/>
      <c r="I93" s="5"/>
      <c r="J93" s="5"/>
      <c r="K93" s="5"/>
      <c r="L93" s="5"/>
      <c r="M93" s="5"/>
      <c r="N93" s="185"/>
      <c r="O93" s="5"/>
      <c r="P93" s="5"/>
      <c r="Q93" s="5"/>
      <c r="R93" s="210">
        <f>IF(R92+1&lt;=MIN('Données projet'!$E$9:$E$18),R92+1,"STOP")</f>
        <v>64</v>
      </c>
      <c r="S93" s="200">
        <f t="shared" ref="S93:S98" si="8">$T$24/(1+$J$6)^R93</f>
        <v>32.879113612028775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45">
      <c r="A94" s="5"/>
      <c r="B94" s="5"/>
      <c r="C94" s="5"/>
      <c r="D94" s="5"/>
      <c r="E94" s="5"/>
      <c r="F94" s="217"/>
      <c r="G94" s="229"/>
      <c r="H94" s="25"/>
      <c r="I94" s="5"/>
      <c r="J94" s="5"/>
      <c r="K94" s="5"/>
      <c r="L94" s="5"/>
      <c r="M94" s="5"/>
      <c r="N94" s="185"/>
      <c r="O94" s="5"/>
      <c r="P94" s="5"/>
      <c r="Q94" s="5"/>
      <c r="R94" s="210">
        <f>IF(R93+1&lt;=MIN('Données projet'!$E$9:$E$18),R93+1,"STOP")</f>
        <v>65</v>
      </c>
      <c r="S94" s="200">
        <f t="shared" si="8"/>
        <v>31.463266614381602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45">
      <c r="A95" s="5"/>
      <c r="B95" s="5"/>
      <c r="C95" s="5"/>
      <c r="D95" s="5"/>
      <c r="E95" s="5"/>
      <c r="F95" s="217"/>
      <c r="G95" s="229"/>
      <c r="H95" s="25"/>
      <c r="I95" s="5"/>
      <c r="J95" s="5"/>
      <c r="K95" s="5"/>
      <c r="L95" s="5"/>
      <c r="M95" s="5"/>
      <c r="N95" s="185"/>
      <c r="O95" s="5"/>
      <c r="P95" s="5"/>
      <c r="Q95" s="5"/>
      <c r="R95" s="210">
        <f>IF(R94+1&lt;=MIN('Données projet'!$E$9:$E$18),R94+1,"STOP")</f>
        <v>66</v>
      </c>
      <c r="S95" s="200">
        <f t="shared" si="8"/>
        <v>30.108389104671399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45">
      <c r="A96" s="48" t="s">
        <v>168</v>
      </c>
      <c r="B96" s="188" t="str">
        <f>IF('Données projet'!B12="","",'Données projet'!B12)</f>
        <v/>
      </c>
      <c r="C96" s="5"/>
      <c r="D96" s="5"/>
      <c r="E96" s="5"/>
      <c r="F96" s="217"/>
      <c r="G96" s="229"/>
      <c r="H96" s="25"/>
      <c r="I96" s="5"/>
      <c r="J96" s="5"/>
      <c r="K96" s="5"/>
      <c r="L96" s="5"/>
      <c r="M96" s="5"/>
      <c r="N96" s="185"/>
      <c r="O96" s="5"/>
      <c r="P96" s="5"/>
      <c r="Q96" s="5"/>
      <c r="R96" s="210">
        <f>IF(R95+1&lt;=MIN('Données projet'!$E$9:$E$18),R95+1,"STOP")</f>
        <v>67</v>
      </c>
      <c r="S96" s="200">
        <f t="shared" si="8"/>
        <v>28.81185560255636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45">
      <c r="A97" s="5"/>
      <c r="B97" s="5"/>
      <c r="C97" s="5"/>
      <c r="D97" s="5"/>
      <c r="E97" s="5"/>
      <c r="F97" s="217"/>
      <c r="G97" s="229"/>
      <c r="H97" s="25"/>
      <c r="I97" s="5"/>
      <c r="J97" s="5"/>
      <c r="K97" s="5"/>
      <c r="L97" s="5"/>
      <c r="M97" s="5"/>
      <c r="N97" s="185"/>
      <c r="O97" s="5"/>
      <c r="P97" s="5"/>
      <c r="Q97" s="5"/>
      <c r="R97" s="210">
        <f>IF(R96+1&lt;=MIN('Données projet'!$E$9:$E$18),R96+1,"STOP")</f>
        <v>68</v>
      </c>
      <c r="S97" s="200">
        <f t="shared" si="8"/>
        <v>27.571153686656807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45">
      <c r="A98" s="187" t="s">
        <v>180</v>
      </c>
      <c r="B98" s="50" t="s">
        <v>256</v>
      </c>
      <c r="C98" s="50" t="s">
        <v>255</v>
      </c>
      <c r="D98" s="187" t="s">
        <v>252</v>
      </c>
      <c r="E98" s="187" t="s">
        <v>288</v>
      </c>
      <c r="F98" s="219"/>
      <c r="G98" s="230"/>
      <c r="H98" s="25"/>
      <c r="I98" s="5"/>
      <c r="J98" s="5"/>
      <c r="K98" s="5"/>
      <c r="L98" s="5"/>
      <c r="M98" s="5"/>
      <c r="N98" s="185"/>
      <c r="O98" s="5"/>
      <c r="P98" s="5"/>
      <c r="Q98" s="5"/>
      <c r="R98" s="210">
        <f>IF(R97+1&lt;=MIN('Données projet'!$E$9:$E$18),R97+1,"STOP")</f>
        <v>69</v>
      </c>
      <c r="S98" s="200">
        <f t="shared" si="8"/>
        <v>26.383879125987377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45">
      <c r="A99" s="213">
        <v>0</v>
      </c>
      <c r="B99" s="216" t="s">
        <v>132</v>
      </c>
      <c r="C99" s="215" t="s">
        <v>132</v>
      </c>
      <c r="D99" s="214" t="s">
        <v>132</v>
      </c>
      <c r="E99" s="209"/>
      <c r="F99" s="219"/>
      <c r="G99" s="230"/>
      <c r="H99" s="25"/>
      <c r="I99" s="5"/>
      <c r="J99" s="5"/>
      <c r="K99" s="5"/>
      <c r="L99" s="5"/>
      <c r="M99" s="5"/>
      <c r="N99" s="185"/>
      <c r="O99" s="5"/>
      <c r="P99" s="5"/>
      <c r="Q99" s="5"/>
      <c r="R99" s="210">
        <f>IF(R98+1&lt;=MIN('Données projet'!$E$9:$E$18),R98+1,"STOP")</f>
        <v>70</v>
      </c>
      <c r="S99" s="200">
        <f t="shared" ref="S99:S128" si="9">$T$24/(1+$J$6)^R99</f>
        <v>25.24773122104056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45">
      <c r="A100" s="194">
        <f>'Données projet'!A114</f>
        <v>0</v>
      </c>
      <c r="B100" s="195">
        <f>'Données projet'!D114</f>
        <v>0</v>
      </c>
      <c r="C100" s="207"/>
      <c r="D100" s="193">
        <f>B100*C100</f>
        <v>0</v>
      </c>
      <c r="E100" s="209"/>
      <c r="F100" s="220"/>
      <c r="G100" s="231"/>
      <c r="H100" s="25"/>
      <c r="I100" s="5"/>
      <c r="J100" s="5"/>
      <c r="K100" s="5"/>
      <c r="L100" s="5"/>
      <c r="M100" s="5"/>
      <c r="N100" s="185"/>
      <c r="O100" s="5"/>
      <c r="P100" s="5"/>
      <c r="Q100" s="5"/>
      <c r="R100" s="210">
        <f>IF(R99+1&lt;=MIN('Données projet'!$E$9:$E$18),R99+1,"STOP")</f>
        <v>71</v>
      </c>
      <c r="S100" s="200">
        <f t="shared" si="9"/>
        <v>24.160508345493358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45">
      <c r="A101" s="194">
        <f>'Données projet'!A115</f>
        <v>0</v>
      </c>
      <c r="B101" s="195">
        <f>'Données projet'!D115</f>
        <v>0</v>
      </c>
      <c r="C101" s="207"/>
      <c r="D101" s="193">
        <f t="shared" ref="D101:D119" si="10">B101*C101</f>
        <v>0</v>
      </c>
      <c r="E101" s="209"/>
      <c r="F101" s="220"/>
      <c r="G101" s="231"/>
      <c r="H101" s="25"/>
      <c r="I101" s="5"/>
      <c r="J101" s="5"/>
      <c r="K101" s="5"/>
      <c r="L101" s="5"/>
      <c r="M101" s="5"/>
      <c r="N101" s="185"/>
      <c r="O101" s="5"/>
      <c r="P101" s="5"/>
      <c r="Q101" s="5"/>
      <c r="R101" s="210">
        <f>IF(R100+1&lt;=MIN('Données projet'!$E$9:$E$18),R100+1,"STOP")</f>
        <v>72</v>
      </c>
      <c r="S101" s="200">
        <f t="shared" si="9"/>
        <v>23.120103679897955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45">
      <c r="A102" s="194">
        <f>'Données projet'!A116</f>
        <v>0</v>
      </c>
      <c r="B102" s="195">
        <f>'Données projet'!D116</f>
        <v>0</v>
      </c>
      <c r="C102" s="207"/>
      <c r="D102" s="193">
        <f t="shared" si="10"/>
        <v>0</v>
      </c>
      <c r="E102" s="209"/>
      <c r="F102" s="220"/>
      <c r="G102" s="231"/>
      <c r="H102" s="25"/>
      <c r="I102" s="5"/>
      <c r="J102" s="5"/>
      <c r="K102" s="5"/>
      <c r="L102" s="5"/>
      <c r="M102" s="5"/>
      <c r="N102" s="185"/>
      <c r="O102" s="5"/>
      <c r="P102" s="5"/>
      <c r="Q102" s="5"/>
      <c r="R102" s="210">
        <f>IF(R101+1&lt;=MIN('Données projet'!$E$9:$E$18),R101+1,"STOP")</f>
        <v>73</v>
      </c>
      <c r="S102" s="200">
        <f t="shared" si="9"/>
        <v>22.124501129088955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45">
      <c r="A103" s="194">
        <f>'Données projet'!A117</f>
        <v>0</v>
      </c>
      <c r="B103" s="195">
        <f>'Données projet'!D117</f>
        <v>0</v>
      </c>
      <c r="C103" s="207"/>
      <c r="D103" s="193">
        <f t="shared" si="10"/>
        <v>0</v>
      </c>
      <c r="E103" s="209"/>
      <c r="F103" s="220"/>
      <c r="G103" s="231"/>
      <c r="H103" s="25"/>
      <c r="I103" s="5"/>
      <c r="J103" s="5"/>
      <c r="K103" s="5"/>
      <c r="L103" s="5"/>
      <c r="M103" s="5"/>
      <c r="N103" s="185"/>
      <c r="O103" s="5"/>
      <c r="P103" s="5"/>
      <c r="Q103" s="5"/>
      <c r="R103" s="210">
        <f>IF(R102+1&lt;=MIN('Données projet'!$E$9:$E$18),R102+1,"STOP")</f>
        <v>74</v>
      </c>
      <c r="S103" s="200">
        <f t="shared" si="9"/>
        <v>21.171771415396133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45">
      <c r="A104" s="194">
        <f>'Données projet'!A118</f>
        <v>0</v>
      </c>
      <c r="B104" s="195">
        <f>'Données projet'!D118</f>
        <v>0</v>
      </c>
      <c r="C104" s="207"/>
      <c r="D104" s="193">
        <f t="shared" si="10"/>
        <v>0</v>
      </c>
      <c r="E104" s="209"/>
      <c r="F104" s="220"/>
      <c r="G104" s="231"/>
      <c r="H104" s="25"/>
      <c r="I104" s="5"/>
      <c r="J104" s="5"/>
      <c r="K104" s="5"/>
      <c r="L104" s="5"/>
      <c r="M104" s="5"/>
      <c r="N104" s="185"/>
      <c r="O104" s="5"/>
      <c r="P104" s="5"/>
      <c r="Q104" s="5"/>
      <c r="R104" s="210">
        <f>IF(R103+1&lt;=MIN('Données projet'!$E$9:$E$18),R103+1,"STOP")</f>
        <v>75</v>
      </c>
      <c r="S104" s="200">
        <f t="shared" si="9"/>
        <v>20.260068340091991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45">
      <c r="A105" s="194">
        <f>'Données projet'!A119</f>
        <v>0</v>
      </c>
      <c r="B105" s="195">
        <f>'Données projet'!D119</f>
        <v>0</v>
      </c>
      <c r="C105" s="207"/>
      <c r="D105" s="193">
        <f t="shared" si="10"/>
        <v>0</v>
      </c>
      <c r="E105" s="209"/>
      <c r="F105" s="220"/>
      <c r="G105" s="231"/>
      <c r="H105" s="25"/>
      <c r="I105" s="5"/>
      <c r="J105" s="5"/>
      <c r="K105" s="5"/>
      <c r="L105" s="5"/>
      <c r="M105" s="5"/>
      <c r="N105" s="185"/>
      <c r="O105" s="5"/>
      <c r="P105" s="5"/>
      <c r="Q105" s="5"/>
      <c r="R105" s="210">
        <f>IF(R104+1&lt;=MIN('Données projet'!$E$9:$E$18),R104+1,"STOP")</f>
        <v>76</v>
      </c>
      <c r="S105" s="200">
        <f t="shared" si="9"/>
        <v>19.387625205829661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45">
      <c r="A106" s="194">
        <f>'Données projet'!A120</f>
        <v>0</v>
      </c>
      <c r="B106" s="195">
        <f>'Données projet'!D120</f>
        <v>0</v>
      </c>
      <c r="C106" s="207"/>
      <c r="D106" s="193">
        <f t="shared" si="10"/>
        <v>0</v>
      </c>
      <c r="E106" s="209"/>
      <c r="F106" s="220"/>
      <c r="G106" s="231"/>
      <c r="H106" s="25"/>
      <c r="I106" s="5"/>
      <c r="J106" s="5"/>
      <c r="K106" s="5"/>
      <c r="L106" s="5"/>
      <c r="M106" s="5"/>
      <c r="N106" s="185"/>
      <c r="O106" s="5"/>
      <c r="P106" s="5"/>
      <c r="Q106" s="5"/>
      <c r="R106" s="210">
        <f>IF(R105+1&lt;=MIN('Données projet'!$E$9:$E$18),R105+1,"STOP")</f>
        <v>77</v>
      </c>
      <c r="S106" s="200">
        <f t="shared" si="9"/>
        <v>18.552751393138433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45">
      <c r="A107" s="194">
        <f>'Données projet'!A121</f>
        <v>0</v>
      </c>
      <c r="B107" s="195">
        <f>'Données projet'!D121</f>
        <v>0</v>
      </c>
      <c r="C107" s="207"/>
      <c r="D107" s="193">
        <f t="shared" si="10"/>
        <v>0</v>
      </c>
      <c r="E107" s="209"/>
      <c r="F107" s="220"/>
      <c r="G107" s="231"/>
      <c r="H107" s="25"/>
      <c r="I107" s="5"/>
      <c r="J107" s="5"/>
      <c r="K107" s="5"/>
      <c r="L107" s="5"/>
      <c r="M107" s="5"/>
      <c r="N107" s="185"/>
      <c r="O107" s="5"/>
      <c r="P107" s="5"/>
      <c r="Q107" s="5"/>
      <c r="R107" s="210">
        <f>IF(R106+1&lt;=MIN('Données projet'!$E$9:$E$18),R106+1,"STOP")</f>
        <v>78</v>
      </c>
      <c r="S107" s="200">
        <f t="shared" si="9"/>
        <v>17.753829084343003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45">
      <c r="A108" s="194">
        <f>'Données projet'!A122</f>
        <v>0</v>
      </c>
      <c r="B108" s="195">
        <f>'Données projet'!D122</f>
        <v>0</v>
      </c>
      <c r="C108" s="207"/>
      <c r="D108" s="193">
        <f t="shared" si="10"/>
        <v>0</v>
      </c>
      <c r="E108" s="209"/>
      <c r="F108" s="220"/>
      <c r="G108" s="231"/>
      <c r="H108" s="25"/>
      <c r="I108" s="5"/>
      <c r="J108" s="5"/>
      <c r="K108" s="5"/>
      <c r="L108" s="5"/>
      <c r="M108" s="5"/>
      <c r="N108" s="185"/>
      <c r="O108" s="5"/>
      <c r="P108" s="5"/>
      <c r="Q108" s="5"/>
      <c r="R108" s="210">
        <f>IF(R107+1&lt;=MIN('Données projet'!$E$9:$E$18),R107+1,"STOP")</f>
        <v>79</v>
      </c>
      <c r="S108" s="200">
        <f t="shared" si="9"/>
        <v>16.989310128557896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45">
      <c r="A109" s="194">
        <f>'Données projet'!A123</f>
        <v>0</v>
      </c>
      <c r="B109" s="195">
        <f>'Données projet'!D123</f>
        <v>0</v>
      </c>
      <c r="C109" s="207"/>
      <c r="D109" s="193">
        <f t="shared" si="10"/>
        <v>0</v>
      </c>
      <c r="E109" s="209"/>
      <c r="F109" s="220"/>
      <c r="G109" s="231"/>
      <c r="H109" s="25"/>
      <c r="I109" s="5"/>
      <c r="J109" s="5"/>
      <c r="K109" s="5"/>
      <c r="L109" s="5"/>
      <c r="M109" s="5"/>
      <c r="N109" s="185"/>
      <c r="O109" s="5"/>
      <c r="P109" s="5"/>
      <c r="Q109" s="5"/>
      <c r="R109" s="210">
        <f>IF(R108+1&lt;=MIN('Données projet'!$E$9:$E$18),R108+1,"STOP")</f>
        <v>80</v>
      </c>
      <c r="S109" s="200">
        <f t="shared" si="9"/>
        <v>16.257713041682202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45">
      <c r="A110" s="194">
        <f>'Données projet'!A124</f>
        <v>0</v>
      </c>
      <c r="B110" s="195">
        <f>'Données projet'!D124</f>
        <v>0</v>
      </c>
      <c r="C110" s="207"/>
      <c r="D110" s="193">
        <f t="shared" si="10"/>
        <v>0</v>
      </c>
      <c r="E110" s="209"/>
      <c r="F110" s="220"/>
      <c r="G110" s="231"/>
      <c r="H110" s="25"/>
      <c r="I110" s="5"/>
      <c r="J110" s="5"/>
      <c r="K110" s="5"/>
      <c r="L110" s="5"/>
      <c r="M110" s="5"/>
      <c r="N110" s="185"/>
      <c r="O110" s="5"/>
      <c r="P110" s="5"/>
      <c r="Q110" s="5"/>
      <c r="R110" s="210">
        <f>IF(R109+1&lt;=MIN('Données projet'!$E$9:$E$18),R109+1,"STOP")</f>
        <v>81</v>
      </c>
      <c r="S110" s="200">
        <f t="shared" si="9"/>
        <v>15.557620135581056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45">
      <c r="A111" s="194">
        <f>'Données projet'!A125</f>
        <v>0</v>
      </c>
      <c r="B111" s="195">
        <f>'Données projet'!D125</f>
        <v>0</v>
      </c>
      <c r="C111" s="207"/>
      <c r="D111" s="193">
        <f t="shared" si="10"/>
        <v>0</v>
      </c>
      <c r="E111" s="209"/>
      <c r="F111" s="220"/>
      <c r="G111" s="231"/>
      <c r="H111" s="25"/>
      <c r="I111" s="5"/>
      <c r="J111" s="5"/>
      <c r="K111" s="5"/>
      <c r="L111" s="5"/>
      <c r="M111" s="5"/>
      <c r="N111" s="185"/>
      <c r="O111" s="5"/>
      <c r="P111" s="5"/>
      <c r="Q111" s="5"/>
      <c r="R111" s="210">
        <f>IF(R110+1&lt;=MIN('Données projet'!$E$9:$E$18),R110+1,"STOP")</f>
        <v>82</v>
      </c>
      <c r="S111" s="200">
        <f t="shared" si="9"/>
        <v>14.887674770890964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45">
      <c r="A112" s="194">
        <f>'Données projet'!A126</f>
        <v>0</v>
      </c>
      <c r="B112" s="195">
        <f>'Données projet'!D126</f>
        <v>0</v>
      </c>
      <c r="C112" s="207"/>
      <c r="D112" s="193">
        <f t="shared" si="10"/>
        <v>0</v>
      </c>
      <c r="E112" s="209"/>
      <c r="F112" s="220"/>
      <c r="G112" s="231"/>
      <c r="H112" s="25"/>
      <c r="I112" s="5"/>
      <c r="J112" s="5"/>
      <c r="K112" s="5"/>
      <c r="L112" s="5"/>
      <c r="M112" s="5"/>
      <c r="N112" s="185"/>
      <c r="O112" s="5"/>
      <c r="P112" s="5"/>
      <c r="Q112" s="5"/>
      <c r="R112" s="210">
        <f>IF(R111+1&lt;=MIN('Données projet'!$E$9:$E$18),R111+1,"STOP")</f>
        <v>83</v>
      </c>
      <c r="S112" s="200">
        <f t="shared" si="9"/>
        <v>14.246578728125327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45">
      <c r="A113" s="194">
        <f>'Données projet'!A127</f>
        <v>0</v>
      </c>
      <c r="B113" s="195">
        <f>'Données projet'!D127</f>
        <v>0</v>
      </c>
      <c r="C113" s="207"/>
      <c r="D113" s="193">
        <f t="shared" si="10"/>
        <v>0</v>
      </c>
      <c r="E113" s="209"/>
      <c r="F113" s="220"/>
      <c r="G113" s="231"/>
      <c r="H113" s="25"/>
      <c r="I113" s="5"/>
      <c r="J113" s="5"/>
      <c r="K113" s="5"/>
      <c r="L113" s="5"/>
      <c r="M113" s="5"/>
      <c r="N113" s="185"/>
      <c r="O113" s="5"/>
      <c r="P113" s="5"/>
      <c r="Q113" s="5"/>
      <c r="R113" s="210">
        <f>IF(R112+1&lt;=MIN('Données projet'!$E$9:$E$18),R112+1,"STOP")</f>
        <v>84</v>
      </c>
      <c r="S113" s="200">
        <f t="shared" si="9"/>
        <v>13.633089691985962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45">
      <c r="A114" s="194">
        <f>'Données projet'!A128</f>
        <v>0</v>
      </c>
      <c r="B114" s="195">
        <f>'Données projet'!D128</f>
        <v>0</v>
      </c>
      <c r="C114" s="207"/>
      <c r="D114" s="193">
        <f t="shared" si="10"/>
        <v>0</v>
      </c>
      <c r="E114" s="209"/>
      <c r="F114" s="220"/>
      <c r="G114" s="231"/>
      <c r="H114" s="25"/>
      <c r="I114" s="5"/>
      <c r="J114" s="5"/>
      <c r="K114" s="5"/>
      <c r="L114" s="5"/>
      <c r="M114" s="5"/>
      <c r="N114" s="185"/>
      <c r="O114" s="5"/>
      <c r="P114" s="5"/>
      <c r="Q114" s="5"/>
      <c r="R114" s="210">
        <f>IF(R113+1&lt;=MIN('Données projet'!$E$9:$E$18),R113+1,"STOP")</f>
        <v>85</v>
      </c>
      <c r="S114" s="200">
        <f t="shared" si="9"/>
        <v>13.046018844005705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45">
      <c r="A115" s="194">
        <f>'Données projet'!A129</f>
        <v>0</v>
      </c>
      <c r="B115" s="195">
        <f>'Données projet'!D129</f>
        <v>0</v>
      </c>
      <c r="C115" s="207"/>
      <c r="D115" s="193">
        <f t="shared" si="10"/>
        <v>0</v>
      </c>
      <c r="E115" s="209"/>
      <c r="F115" s="220"/>
      <c r="G115" s="231"/>
      <c r="H115" s="25"/>
      <c r="I115" s="5"/>
      <c r="J115" s="5"/>
      <c r="K115" s="5"/>
      <c r="L115" s="5"/>
      <c r="M115" s="5"/>
      <c r="N115" s="185"/>
      <c r="O115" s="5"/>
      <c r="P115" s="5"/>
      <c r="Q115" s="5"/>
      <c r="R115" s="210">
        <f>IF(R114+1&lt;=MIN('Données projet'!$E$9:$E$18),R114+1,"STOP")</f>
        <v>86</v>
      </c>
      <c r="S115" s="200">
        <f t="shared" si="9"/>
        <v>12.484228558857135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45">
      <c r="A116" s="194">
        <f>'Données projet'!A130</f>
        <v>0</v>
      </c>
      <c r="B116" s="195">
        <f>'Données projet'!D130</f>
        <v>0</v>
      </c>
      <c r="C116" s="207"/>
      <c r="D116" s="193">
        <f t="shared" si="10"/>
        <v>0</v>
      </c>
      <c r="E116" s="209"/>
      <c r="F116" s="220"/>
      <c r="G116" s="231"/>
      <c r="H116" s="25"/>
      <c r="I116" s="5"/>
      <c r="J116" s="5"/>
      <c r="K116" s="5"/>
      <c r="L116" s="5"/>
      <c r="M116" s="5"/>
      <c r="N116" s="185"/>
      <c r="O116" s="5"/>
      <c r="P116" s="5"/>
      <c r="Q116" s="5"/>
      <c r="R116" s="210">
        <f>IF(R115+1&lt;=MIN('Données projet'!$E$9:$E$18),R115+1,"STOP")</f>
        <v>87</v>
      </c>
      <c r="S116" s="200">
        <f t="shared" si="9"/>
        <v>11.946630199863288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45">
      <c r="A117" s="194">
        <f>'Données projet'!A131</f>
        <v>0</v>
      </c>
      <c r="B117" s="195">
        <f>'Données projet'!D131</f>
        <v>0</v>
      </c>
      <c r="C117" s="207"/>
      <c r="D117" s="193">
        <f t="shared" si="10"/>
        <v>0</v>
      </c>
      <c r="E117" s="209"/>
      <c r="F117" s="220"/>
      <c r="G117" s="231"/>
      <c r="H117" s="25"/>
      <c r="I117" s="5"/>
      <c r="J117" s="5"/>
      <c r="K117" s="5"/>
      <c r="L117" s="5"/>
      <c r="M117" s="5"/>
      <c r="N117" s="185"/>
      <c r="O117" s="5"/>
      <c r="P117" s="5"/>
      <c r="Q117" s="5"/>
      <c r="R117" s="210">
        <f>IF(R116+1&lt;=MIN('Données projet'!$E$9:$E$18),R116+1,"STOP")</f>
        <v>88</v>
      </c>
      <c r="S117" s="200">
        <f t="shared" si="9"/>
        <v>11.432182009438554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45">
      <c r="A118" s="194">
        <f>'Données projet'!A132</f>
        <v>0</v>
      </c>
      <c r="B118" s="195">
        <f>'Données projet'!D132</f>
        <v>0</v>
      </c>
      <c r="C118" s="207"/>
      <c r="D118" s="193">
        <f t="shared" si="10"/>
        <v>0</v>
      </c>
      <c r="E118" s="209"/>
      <c r="F118" s="220"/>
      <c r="G118" s="231"/>
      <c r="H118" s="25"/>
      <c r="I118" s="5"/>
      <c r="J118" s="5"/>
      <c r="K118" s="5"/>
      <c r="L118" s="5"/>
      <c r="M118" s="5"/>
      <c r="N118" s="185"/>
      <c r="O118" s="5"/>
      <c r="P118" s="5"/>
      <c r="Q118" s="5"/>
      <c r="R118" s="210">
        <f>IF(R117+1&lt;=MIN('Données projet'!$E$9:$E$18),R117+1,"STOP")</f>
        <v>89</v>
      </c>
      <c r="S118" s="200">
        <f t="shared" si="9"/>
        <v>10.939887090371824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45">
      <c r="A119" s="194">
        <f>'Données projet'!A133</f>
        <v>0</v>
      </c>
      <c r="B119" s="195">
        <f>'Données projet'!D133</f>
        <v>0</v>
      </c>
      <c r="C119" s="207"/>
      <c r="D119" s="193">
        <f t="shared" si="10"/>
        <v>0</v>
      </c>
      <c r="E119" s="209"/>
      <c r="F119" s="220"/>
      <c r="G119" s="231"/>
      <c r="H119" s="25"/>
      <c r="I119" s="5"/>
      <c r="J119" s="5"/>
      <c r="K119" s="5"/>
      <c r="L119" s="5"/>
      <c r="M119" s="5"/>
      <c r="N119" s="185"/>
      <c r="O119" s="5"/>
      <c r="P119" s="5"/>
      <c r="Q119" s="5"/>
      <c r="R119" s="210">
        <f>IF(R118+1&lt;=MIN('Données projet'!$E$9:$E$18),R118+1,"STOP")</f>
        <v>90</v>
      </c>
      <c r="S119" s="200">
        <f t="shared" si="9"/>
        <v>10.468791474040026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45">
      <c r="A120" s="5"/>
      <c r="B120" s="5"/>
      <c r="C120" s="5"/>
      <c r="D120" s="5"/>
      <c r="E120" s="5"/>
      <c r="F120" s="217"/>
      <c r="G120" s="229"/>
      <c r="H120" s="25"/>
      <c r="I120" s="5"/>
      <c r="J120" s="5"/>
      <c r="K120" s="5"/>
      <c r="L120" s="5"/>
      <c r="M120" s="5"/>
      <c r="N120" s="185"/>
      <c r="O120" s="5"/>
      <c r="P120" s="5"/>
      <c r="Q120" s="5"/>
      <c r="R120" s="210" t="str">
        <f>IF(R119+1&lt;=MIN('Données projet'!$E$9:$E$18),R119+1,"STOP")</f>
        <v>STOP</v>
      </c>
      <c r="S120" s="200" t="e">
        <f t="shared" si="9"/>
        <v>#VALUE!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45">
      <c r="A121" s="5"/>
      <c r="B121" s="5"/>
      <c r="C121" s="5"/>
      <c r="D121" s="5"/>
      <c r="E121" s="5"/>
      <c r="F121" s="217"/>
      <c r="G121" s="229"/>
      <c r="H121" s="25"/>
      <c r="I121" s="5"/>
      <c r="J121" s="5"/>
      <c r="K121" s="5"/>
      <c r="L121" s="5"/>
      <c r="M121" s="5"/>
      <c r="N121" s="185"/>
      <c r="O121" s="5"/>
      <c r="P121" s="5"/>
      <c r="Q121" s="5"/>
      <c r="R121" s="210"/>
      <c r="S121" s="200">
        <f t="shared" si="9"/>
        <v>550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45">
      <c r="A122" s="48" t="s">
        <v>169</v>
      </c>
      <c r="B122" s="188" t="str">
        <f>IF('Données projet'!B13="","",'Données projet'!B13)</f>
        <v/>
      </c>
      <c r="C122" s="5"/>
      <c r="D122" s="5"/>
      <c r="E122" s="5"/>
      <c r="F122" s="217"/>
      <c r="G122" s="229"/>
      <c r="H122" s="25"/>
      <c r="I122" s="5"/>
      <c r="J122" s="5"/>
      <c r="K122" s="5"/>
      <c r="L122" s="5"/>
      <c r="M122" s="5"/>
      <c r="N122" s="185"/>
      <c r="O122" s="5"/>
      <c r="P122" s="5"/>
      <c r="Q122" s="5"/>
      <c r="R122" s="210"/>
      <c r="S122" s="200">
        <f t="shared" si="9"/>
        <v>550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45">
      <c r="A123" s="5"/>
      <c r="B123" s="5"/>
      <c r="C123" s="5"/>
      <c r="D123" s="5"/>
      <c r="E123" s="5"/>
      <c r="F123" s="217"/>
      <c r="G123" s="229"/>
      <c r="H123" s="25"/>
      <c r="I123" s="5"/>
      <c r="J123" s="5"/>
      <c r="K123" s="5"/>
      <c r="L123" s="5"/>
      <c r="M123" s="5"/>
      <c r="N123" s="185"/>
      <c r="O123" s="5"/>
      <c r="P123" s="5"/>
      <c r="Q123" s="5"/>
      <c r="R123" s="210"/>
      <c r="S123" s="200">
        <f t="shared" si="9"/>
        <v>550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45">
      <c r="A124" s="187" t="s">
        <v>180</v>
      </c>
      <c r="B124" s="50" t="s">
        <v>256</v>
      </c>
      <c r="C124" s="50" t="s">
        <v>255</v>
      </c>
      <c r="D124" s="187" t="s">
        <v>252</v>
      </c>
      <c r="E124" s="187" t="s">
        <v>288</v>
      </c>
      <c r="F124" s="219"/>
      <c r="G124" s="230"/>
      <c r="H124" s="25"/>
      <c r="I124" s="5"/>
      <c r="J124" s="5"/>
      <c r="K124" s="5"/>
      <c r="L124" s="5"/>
      <c r="M124" s="5"/>
      <c r="N124" s="185"/>
      <c r="O124" s="5"/>
      <c r="P124" s="5"/>
      <c r="Q124" s="5"/>
      <c r="R124" s="210"/>
      <c r="S124" s="200">
        <f t="shared" si="9"/>
        <v>550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45">
      <c r="A125" s="213">
        <v>0</v>
      </c>
      <c r="B125" s="216" t="s">
        <v>132</v>
      </c>
      <c r="C125" s="215" t="s">
        <v>132</v>
      </c>
      <c r="D125" s="214" t="s">
        <v>132</v>
      </c>
      <c r="E125" s="209"/>
      <c r="F125" s="219"/>
      <c r="G125" s="230"/>
      <c r="H125" s="25"/>
      <c r="I125" s="5"/>
      <c r="J125" s="5"/>
      <c r="K125" s="5"/>
      <c r="L125" s="5"/>
      <c r="M125" s="5"/>
      <c r="N125" s="185"/>
      <c r="O125" s="5"/>
      <c r="P125" s="5"/>
      <c r="Q125" s="5"/>
      <c r="R125" s="210"/>
      <c r="S125" s="200">
        <f t="shared" si="9"/>
        <v>550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45">
      <c r="A126" s="44">
        <f>'Données projet'!A140</f>
        <v>0</v>
      </c>
      <c r="B126" s="189">
        <f>'Données projet'!D140</f>
        <v>0</v>
      </c>
      <c r="C126" s="207"/>
      <c r="D126" s="196">
        <f>B126*C126</f>
        <v>0</v>
      </c>
      <c r="E126" s="209"/>
      <c r="F126" s="218"/>
      <c r="G126" s="226"/>
      <c r="H126" s="25"/>
      <c r="I126" s="5"/>
      <c r="J126" s="5"/>
      <c r="K126" s="5"/>
      <c r="L126" s="5"/>
      <c r="M126" s="5"/>
      <c r="N126" s="185"/>
      <c r="O126" s="5"/>
      <c r="P126" s="5"/>
      <c r="Q126" s="5"/>
      <c r="R126" s="210"/>
      <c r="S126" s="200">
        <f t="shared" si="9"/>
        <v>550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45">
      <c r="A127" s="44">
        <f>'Données projet'!A141</f>
        <v>0</v>
      </c>
      <c r="B127" s="189">
        <f>'Données projet'!D141</f>
        <v>0</v>
      </c>
      <c r="C127" s="207"/>
      <c r="D127" s="196">
        <f t="shared" ref="D127:D145" si="11">B127*C127</f>
        <v>0</v>
      </c>
      <c r="E127" s="209"/>
      <c r="F127" s="218"/>
      <c r="G127" s="226"/>
      <c r="H127" s="25"/>
      <c r="I127" s="5"/>
      <c r="J127" s="5"/>
      <c r="K127" s="5"/>
      <c r="L127" s="5"/>
      <c r="M127" s="5"/>
      <c r="N127" s="185"/>
      <c r="O127" s="5"/>
      <c r="P127" s="5"/>
      <c r="Q127" s="5"/>
      <c r="R127" s="210"/>
      <c r="S127" s="200">
        <f t="shared" si="9"/>
        <v>550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45">
      <c r="A128" s="44">
        <f>'Données projet'!A142</f>
        <v>0</v>
      </c>
      <c r="B128" s="189">
        <f>'Données projet'!D142</f>
        <v>0</v>
      </c>
      <c r="C128" s="207"/>
      <c r="D128" s="196">
        <f t="shared" si="11"/>
        <v>0</v>
      </c>
      <c r="E128" s="209"/>
      <c r="F128" s="218"/>
      <c r="G128" s="226"/>
      <c r="H128" s="25"/>
      <c r="I128" s="5"/>
      <c r="J128" s="5"/>
      <c r="K128" s="5"/>
      <c r="L128" s="5"/>
      <c r="M128" s="5"/>
      <c r="N128" s="185"/>
      <c r="O128" s="5"/>
      <c r="P128" s="5"/>
      <c r="Q128" s="5"/>
      <c r="R128" s="210"/>
      <c r="S128" s="200">
        <f t="shared" si="9"/>
        <v>550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45">
      <c r="A129" s="44">
        <f>'Données projet'!A143</f>
        <v>0</v>
      </c>
      <c r="B129" s="189">
        <f>'Données projet'!D143</f>
        <v>0</v>
      </c>
      <c r="C129" s="207"/>
      <c r="D129" s="196">
        <f t="shared" si="11"/>
        <v>0</v>
      </c>
      <c r="E129" s="209"/>
      <c r="F129" s="218"/>
      <c r="G129" s="226"/>
      <c r="H129" s="25"/>
      <c r="I129" s="5"/>
      <c r="J129" s="5"/>
      <c r="K129" s="5"/>
      <c r="L129" s="5"/>
      <c r="M129" s="5"/>
      <c r="N129" s="185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45">
      <c r="A130" s="44">
        <f>'Données projet'!A144</f>
        <v>0</v>
      </c>
      <c r="B130" s="189">
        <f>'Données projet'!D144</f>
        <v>0</v>
      </c>
      <c r="C130" s="207"/>
      <c r="D130" s="196">
        <f t="shared" si="11"/>
        <v>0</v>
      </c>
      <c r="E130" s="209"/>
      <c r="F130" s="218"/>
      <c r="G130" s="226"/>
      <c r="H130" s="25"/>
      <c r="I130" s="5"/>
      <c r="J130" s="5"/>
      <c r="K130" s="5"/>
      <c r="L130" s="5"/>
      <c r="M130" s="5"/>
      <c r="N130" s="185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45">
      <c r="A131" s="44">
        <f>'Données projet'!A145</f>
        <v>0</v>
      </c>
      <c r="B131" s="189">
        <f>'Données projet'!D145</f>
        <v>0</v>
      </c>
      <c r="C131" s="207"/>
      <c r="D131" s="196">
        <f t="shared" si="11"/>
        <v>0</v>
      </c>
      <c r="E131" s="209"/>
      <c r="F131" s="218"/>
      <c r="G131" s="226"/>
      <c r="H131" s="25"/>
      <c r="I131" s="5"/>
      <c r="J131" s="5"/>
      <c r="K131" s="5"/>
      <c r="L131" s="5"/>
      <c r="M131" s="5"/>
      <c r="N131" s="185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45">
      <c r="A132" s="44">
        <f>'Données projet'!A146</f>
        <v>0</v>
      </c>
      <c r="B132" s="189">
        <f>'Données projet'!D146</f>
        <v>0</v>
      </c>
      <c r="C132" s="207"/>
      <c r="D132" s="196">
        <f t="shared" si="11"/>
        <v>0</v>
      </c>
      <c r="E132" s="209"/>
      <c r="F132" s="218"/>
      <c r="G132" s="226"/>
      <c r="H132" s="25"/>
      <c r="I132" s="5"/>
      <c r="J132" s="5"/>
      <c r="K132" s="5"/>
      <c r="L132" s="5"/>
      <c r="M132" s="5"/>
      <c r="N132" s="185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45">
      <c r="A133" s="44">
        <f>'Données projet'!A147</f>
        <v>0</v>
      </c>
      <c r="B133" s="189">
        <f>'Données projet'!D147</f>
        <v>0</v>
      </c>
      <c r="C133" s="207"/>
      <c r="D133" s="196">
        <f t="shared" si="11"/>
        <v>0</v>
      </c>
      <c r="E133" s="209"/>
      <c r="F133" s="218"/>
      <c r="G133" s="226"/>
      <c r="H133" s="25"/>
      <c r="I133" s="5"/>
      <c r="J133" s="5"/>
      <c r="K133" s="5"/>
      <c r="L133" s="5"/>
      <c r="M133" s="5"/>
      <c r="N133" s="18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45">
      <c r="A134" s="44">
        <f>'Données projet'!A148</f>
        <v>0</v>
      </c>
      <c r="B134" s="189">
        <f>'Données projet'!D148</f>
        <v>0</v>
      </c>
      <c r="C134" s="207"/>
      <c r="D134" s="196">
        <f t="shared" si="11"/>
        <v>0</v>
      </c>
      <c r="E134" s="209"/>
      <c r="F134" s="218"/>
      <c r="G134" s="226"/>
      <c r="H134" s="25"/>
      <c r="I134" s="5"/>
      <c r="J134" s="5"/>
      <c r="K134" s="5"/>
      <c r="L134" s="5"/>
      <c r="M134" s="5"/>
      <c r="N134" s="18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45">
      <c r="A135" s="44">
        <f>'Données projet'!A149</f>
        <v>0</v>
      </c>
      <c r="B135" s="189">
        <f>'Données projet'!D149</f>
        <v>0</v>
      </c>
      <c r="C135" s="207"/>
      <c r="D135" s="196">
        <f t="shared" si="11"/>
        <v>0</v>
      </c>
      <c r="E135" s="209"/>
      <c r="F135" s="218"/>
      <c r="G135" s="226"/>
      <c r="H135" s="25"/>
      <c r="I135" s="5"/>
      <c r="J135" s="5"/>
      <c r="K135" s="5"/>
      <c r="L135" s="5"/>
      <c r="M135" s="5"/>
      <c r="N135" s="18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45">
      <c r="A136" s="44">
        <f>'Données projet'!A150</f>
        <v>0</v>
      </c>
      <c r="B136" s="189">
        <f>'Données projet'!D150</f>
        <v>0</v>
      </c>
      <c r="C136" s="207"/>
      <c r="D136" s="196">
        <f t="shared" si="11"/>
        <v>0</v>
      </c>
      <c r="E136" s="209"/>
      <c r="F136" s="218"/>
      <c r="G136" s="226"/>
      <c r="H136" s="25"/>
      <c r="I136" s="5"/>
      <c r="J136" s="5"/>
      <c r="K136" s="5"/>
      <c r="L136" s="5"/>
      <c r="M136" s="5"/>
      <c r="N136" s="18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45">
      <c r="A137" s="44">
        <f>'Données projet'!A151</f>
        <v>0</v>
      </c>
      <c r="B137" s="189">
        <f>'Données projet'!D151</f>
        <v>0</v>
      </c>
      <c r="C137" s="207"/>
      <c r="D137" s="196">
        <f t="shared" si="11"/>
        <v>0</v>
      </c>
      <c r="E137" s="209"/>
      <c r="F137" s="218"/>
      <c r="G137" s="226"/>
      <c r="H137" s="25"/>
      <c r="I137" s="5"/>
      <c r="J137" s="5"/>
      <c r="K137" s="5"/>
      <c r="L137" s="5"/>
      <c r="M137" s="5"/>
      <c r="N137" s="18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45">
      <c r="A138" s="44">
        <f>'Données projet'!A152</f>
        <v>0</v>
      </c>
      <c r="B138" s="189">
        <f>'Données projet'!D152</f>
        <v>0</v>
      </c>
      <c r="C138" s="207"/>
      <c r="D138" s="196">
        <f t="shared" si="11"/>
        <v>0</v>
      </c>
      <c r="E138" s="209"/>
      <c r="F138" s="218"/>
      <c r="G138" s="226"/>
      <c r="H138" s="25"/>
      <c r="I138" s="5"/>
      <c r="J138" s="5"/>
      <c r="K138" s="5"/>
      <c r="L138" s="5"/>
      <c r="M138" s="5"/>
      <c r="N138" s="18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45">
      <c r="A139" s="44">
        <f>'Données projet'!A153</f>
        <v>0</v>
      </c>
      <c r="B139" s="189">
        <f>'Données projet'!D153</f>
        <v>0</v>
      </c>
      <c r="C139" s="207"/>
      <c r="D139" s="196">
        <f t="shared" si="11"/>
        <v>0</v>
      </c>
      <c r="E139" s="209"/>
      <c r="F139" s="218"/>
      <c r="G139" s="226"/>
      <c r="H139" s="25"/>
      <c r="I139" s="5"/>
      <c r="J139" s="5"/>
      <c r="K139" s="5"/>
      <c r="L139" s="5"/>
      <c r="M139" s="5"/>
      <c r="N139" s="18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45">
      <c r="A140" s="44">
        <f>'Données projet'!A154</f>
        <v>0</v>
      </c>
      <c r="B140" s="189">
        <f>'Données projet'!D154</f>
        <v>0</v>
      </c>
      <c r="C140" s="207"/>
      <c r="D140" s="196">
        <f t="shared" si="11"/>
        <v>0</v>
      </c>
      <c r="E140" s="209"/>
      <c r="F140" s="218"/>
      <c r="G140" s="226"/>
      <c r="H140" s="25"/>
      <c r="I140" s="5"/>
      <c r="J140" s="5"/>
      <c r="K140" s="5"/>
      <c r="L140" s="5"/>
      <c r="M140" s="5"/>
      <c r="N140" s="18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45">
      <c r="A141" s="44">
        <f>'Données projet'!A155</f>
        <v>0</v>
      </c>
      <c r="B141" s="189">
        <f>'Données projet'!D155</f>
        <v>0</v>
      </c>
      <c r="C141" s="207"/>
      <c r="D141" s="196">
        <f t="shared" si="11"/>
        <v>0</v>
      </c>
      <c r="E141" s="209"/>
      <c r="F141" s="218"/>
      <c r="G141" s="226"/>
      <c r="H141" s="25"/>
      <c r="I141" s="5"/>
      <c r="J141" s="5"/>
      <c r="K141" s="5"/>
      <c r="L141" s="5"/>
      <c r="M141" s="5"/>
      <c r="N141" s="18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45">
      <c r="A142" s="44">
        <f>'Données projet'!A156</f>
        <v>0</v>
      </c>
      <c r="B142" s="189">
        <f>'Données projet'!D156</f>
        <v>0</v>
      </c>
      <c r="C142" s="207"/>
      <c r="D142" s="196">
        <f t="shared" si="11"/>
        <v>0</v>
      </c>
      <c r="E142" s="209"/>
      <c r="F142" s="218"/>
      <c r="G142" s="226"/>
      <c r="H142" s="25"/>
      <c r="I142" s="5"/>
      <c r="J142" s="5"/>
      <c r="K142" s="5"/>
      <c r="L142" s="5"/>
      <c r="M142" s="5"/>
      <c r="N142" s="18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45">
      <c r="A143" s="44">
        <f>'Données projet'!A157</f>
        <v>0</v>
      </c>
      <c r="B143" s="189">
        <f>'Données projet'!D157</f>
        <v>0</v>
      </c>
      <c r="C143" s="207"/>
      <c r="D143" s="196">
        <f t="shared" si="11"/>
        <v>0</v>
      </c>
      <c r="E143" s="209"/>
      <c r="F143" s="218"/>
      <c r="G143" s="226"/>
      <c r="H143" s="25"/>
      <c r="I143" s="5"/>
      <c r="J143" s="5"/>
      <c r="K143" s="5"/>
      <c r="L143" s="5"/>
      <c r="M143" s="5"/>
      <c r="N143" s="18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45">
      <c r="A144" s="44">
        <f>'Données projet'!A158</f>
        <v>0</v>
      </c>
      <c r="B144" s="189">
        <f>'Données projet'!D158</f>
        <v>0</v>
      </c>
      <c r="C144" s="207"/>
      <c r="D144" s="196">
        <f t="shared" si="11"/>
        <v>0</v>
      </c>
      <c r="E144" s="209"/>
      <c r="F144" s="218"/>
      <c r="G144" s="226"/>
      <c r="H144" s="25"/>
      <c r="I144" s="5"/>
      <c r="J144" s="5"/>
      <c r="K144" s="5"/>
      <c r="L144" s="5"/>
      <c r="M144" s="5"/>
      <c r="N144" s="18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45">
      <c r="A145" s="44">
        <f>'Données projet'!A159</f>
        <v>0</v>
      </c>
      <c r="B145" s="189">
        <f>'Données projet'!D159</f>
        <v>0</v>
      </c>
      <c r="C145" s="207"/>
      <c r="D145" s="196">
        <f t="shared" si="11"/>
        <v>0</v>
      </c>
      <c r="E145" s="209"/>
      <c r="F145" s="218"/>
      <c r="G145" s="226"/>
      <c r="H145" s="25"/>
      <c r="I145" s="5"/>
      <c r="J145" s="5"/>
      <c r="K145" s="5"/>
      <c r="L145" s="5"/>
      <c r="M145" s="5"/>
      <c r="N145" s="18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45">
      <c r="A146" s="5"/>
      <c r="B146" s="5"/>
      <c r="C146" s="5"/>
      <c r="D146" s="5"/>
      <c r="E146" s="5"/>
      <c r="F146" s="217"/>
      <c r="G146" s="229"/>
      <c r="H146" s="25"/>
      <c r="I146" s="5"/>
      <c r="J146" s="5"/>
      <c r="K146" s="5"/>
      <c r="L146" s="5"/>
      <c r="M146" s="5"/>
      <c r="N146" s="18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45">
      <c r="A147" s="5"/>
      <c r="B147" s="5"/>
      <c r="C147" s="5"/>
      <c r="D147" s="5"/>
      <c r="E147" s="5"/>
      <c r="F147" s="217"/>
      <c r="G147" s="229"/>
      <c r="H147" s="25"/>
      <c r="I147" s="5"/>
      <c r="J147" s="5"/>
      <c r="K147" s="5"/>
      <c r="L147" s="5"/>
      <c r="M147" s="5"/>
      <c r="N147" s="18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45">
      <c r="A148" s="48" t="s">
        <v>170</v>
      </c>
      <c r="B148" s="188" t="str">
        <f>IF('Données projet'!B14="","",'Données projet'!B14)</f>
        <v/>
      </c>
      <c r="C148" s="5"/>
      <c r="D148" s="5"/>
      <c r="E148" s="5"/>
      <c r="F148" s="217"/>
      <c r="G148" s="229"/>
      <c r="H148" s="25"/>
      <c r="I148" s="5"/>
      <c r="J148" s="5"/>
      <c r="K148" s="5"/>
      <c r="L148" s="5"/>
      <c r="M148" s="5"/>
      <c r="N148" s="18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45">
      <c r="A149" s="5"/>
      <c r="B149" s="5"/>
      <c r="C149" s="5"/>
      <c r="D149" s="5"/>
      <c r="E149" s="5"/>
      <c r="F149" s="217"/>
      <c r="G149" s="229"/>
      <c r="H149" s="25"/>
      <c r="I149" s="5"/>
      <c r="J149" s="5"/>
      <c r="K149" s="5"/>
      <c r="L149" s="5"/>
      <c r="M149" s="5"/>
      <c r="N149" s="18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45">
      <c r="A150" s="187" t="s">
        <v>180</v>
      </c>
      <c r="B150" s="50" t="s">
        <v>256</v>
      </c>
      <c r="C150" s="50" t="s">
        <v>255</v>
      </c>
      <c r="D150" s="187" t="s">
        <v>252</v>
      </c>
      <c r="E150" s="187" t="s">
        <v>288</v>
      </c>
      <c r="F150" s="219"/>
      <c r="G150" s="230"/>
      <c r="H150" s="25"/>
      <c r="I150" s="5"/>
      <c r="J150" s="5"/>
      <c r="K150" s="5"/>
      <c r="L150" s="5"/>
      <c r="M150" s="5"/>
      <c r="N150" s="18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45">
      <c r="A151" s="213">
        <v>0</v>
      </c>
      <c r="B151" s="216" t="s">
        <v>132</v>
      </c>
      <c r="C151" s="215" t="s">
        <v>132</v>
      </c>
      <c r="D151" s="214" t="s">
        <v>132</v>
      </c>
      <c r="E151" s="209"/>
      <c r="F151" s="219"/>
      <c r="G151" s="230"/>
      <c r="H151" s="25"/>
      <c r="I151" s="5"/>
      <c r="J151" s="5"/>
      <c r="K151" s="5"/>
      <c r="L151" s="5"/>
      <c r="M151" s="5"/>
      <c r="N151" s="18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45">
      <c r="A152" s="194">
        <f>'Données projet'!A166</f>
        <v>0</v>
      </c>
      <c r="B152" s="195">
        <f>'Données projet'!D166</f>
        <v>0</v>
      </c>
      <c r="C152" s="209"/>
      <c r="D152" s="193">
        <f>B152*C152</f>
        <v>0</v>
      </c>
      <c r="E152" s="209"/>
      <c r="F152" s="220"/>
      <c r="G152" s="231"/>
      <c r="H152" s="25"/>
      <c r="I152" s="5"/>
      <c r="J152" s="5"/>
      <c r="K152" s="5"/>
      <c r="L152" s="5"/>
      <c r="M152" s="5"/>
      <c r="N152" s="18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45">
      <c r="A153" s="194">
        <f>'Données projet'!A167</f>
        <v>0</v>
      </c>
      <c r="B153" s="195">
        <f>'Données projet'!D167</f>
        <v>0</v>
      </c>
      <c r="C153" s="209"/>
      <c r="D153" s="193">
        <f t="shared" ref="D153:D171" si="12">B153*C153</f>
        <v>0</v>
      </c>
      <c r="E153" s="209"/>
      <c r="F153" s="220"/>
      <c r="G153" s="231"/>
      <c r="H153" s="25"/>
      <c r="I153" s="5"/>
      <c r="J153" s="5"/>
      <c r="K153" s="5"/>
      <c r="L153" s="5"/>
      <c r="M153" s="5"/>
      <c r="N153" s="18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45">
      <c r="A154" s="194">
        <f>'Données projet'!A168</f>
        <v>0</v>
      </c>
      <c r="B154" s="195">
        <f>'Données projet'!D168</f>
        <v>0</v>
      </c>
      <c r="C154" s="209"/>
      <c r="D154" s="193">
        <f t="shared" si="12"/>
        <v>0</v>
      </c>
      <c r="E154" s="209"/>
      <c r="F154" s="220"/>
      <c r="G154" s="231"/>
      <c r="H154" s="25"/>
      <c r="I154" s="5"/>
      <c r="J154" s="5"/>
      <c r="K154" s="5"/>
      <c r="L154" s="5"/>
      <c r="M154" s="5"/>
      <c r="N154" s="18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45">
      <c r="A155" s="194">
        <f>'Données projet'!A169</f>
        <v>0</v>
      </c>
      <c r="B155" s="195">
        <f>'Données projet'!D169</f>
        <v>0</v>
      </c>
      <c r="C155" s="209"/>
      <c r="D155" s="193">
        <f t="shared" si="12"/>
        <v>0</v>
      </c>
      <c r="E155" s="209"/>
      <c r="F155" s="220"/>
      <c r="G155" s="231"/>
      <c r="H155" s="25"/>
      <c r="I155" s="5"/>
      <c r="J155" s="5"/>
      <c r="K155" s="5"/>
      <c r="L155" s="5"/>
      <c r="M155" s="5"/>
      <c r="N155" s="18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45">
      <c r="A156" s="194">
        <f>'Données projet'!A170</f>
        <v>0</v>
      </c>
      <c r="B156" s="195">
        <f>'Données projet'!D170</f>
        <v>0</v>
      </c>
      <c r="C156" s="209"/>
      <c r="D156" s="193">
        <f t="shared" si="12"/>
        <v>0</v>
      </c>
      <c r="E156" s="209"/>
      <c r="F156" s="220"/>
      <c r="G156" s="231"/>
      <c r="H156" s="25"/>
      <c r="I156" s="5"/>
      <c r="J156" s="5"/>
      <c r="K156" s="5"/>
      <c r="L156" s="5"/>
      <c r="M156" s="5"/>
      <c r="N156" s="18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45">
      <c r="A157" s="194">
        <f>'Données projet'!A171</f>
        <v>0</v>
      </c>
      <c r="B157" s="195">
        <f>'Données projet'!D171</f>
        <v>0</v>
      </c>
      <c r="C157" s="209"/>
      <c r="D157" s="193">
        <f t="shared" si="12"/>
        <v>0</v>
      </c>
      <c r="E157" s="209"/>
      <c r="F157" s="220"/>
      <c r="G157" s="231"/>
      <c r="H157" s="25"/>
      <c r="I157" s="5"/>
      <c r="J157" s="5"/>
      <c r="K157" s="5"/>
      <c r="L157" s="5"/>
      <c r="M157" s="5"/>
      <c r="N157" s="18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45">
      <c r="A158" s="194">
        <f>'Données projet'!A172</f>
        <v>0</v>
      </c>
      <c r="B158" s="195">
        <f>'Données projet'!D172</f>
        <v>0</v>
      </c>
      <c r="C158" s="209"/>
      <c r="D158" s="193">
        <f t="shared" si="12"/>
        <v>0</v>
      </c>
      <c r="E158" s="209"/>
      <c r="F158" s="220"/>
      <c r="G158" s="231"/>
      <c r="H158" s="25"/>
      <c r="I158" s="5"/>
      <c r="J158" s="5"/>
      <c r="K158" s="5"/>
      <c r="L158" s="5"/>
      <c r="M158" s="5"/>
      <c r="N158" s="18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45">
      <c r="A159" s="194">
        <f>'Données projet'!A173</f>
        <v>0</v>
      </c>
      <c r="B159" s="195">
        <f>'Données projet'!D173</f>
        <v>0</v>
      </c>
      <c r="C159" s="209"/>
      <c r="D159" s="193">
        <f t="shared" si="12"/>
        <v>0</v>
      </c>
      <c r="E159" s="209"/>
      <c r="F159" s="220"/>
      <c r="G159" s="231"/>
      <c r="H159" s="25"/>
      <c r="I159" s="5"/>
      <c r="J159" s="5"/>
      <c r="K159" s="5"/>
      <c r="L159" s="5"/>
      <c r="M159" s="5"/>
      <c r="N159" s="18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45">
      <c r="A160" s="194">
        <f>'Données projet'!A174</f>
        <v>0</v>
      </c>
      <c r="B160" s="195">
        <f>'Données projet'!D174</f>
        <v>0</v>
      </c>
      <c r="C160" s="209"/>
      <c r="D160" s="193">
        <f t="shared" si="12"/>
        <v>0</v>
      </c>
      <c r="E160" s="209"/>
      <c r="F160" s="220"/>
      <c r="G160" s="231"/>
      <c r="H160" s="25"/>
      <c r="I160" s="5"/>
      <c r="J160" s="5"/>
      <c r="K160" s="5"/>
      <c r="L160" s="5"/>
      <c r="M160" s="5"/>
      <c r="N160" s="18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45">
      <c r="A161" s="194">
        <f>'Données projet'!A175</f>
        <v>0</v>
      </c>
      <c r="B161" s="195">
        <f>'Données projet'!D175</f>
        <v>0</v>
      </c>
      <c r="C161" s="209"/>
      <c r="D161" s="193">
        <f t="shared" si="12"/>
        <v>0</v>
      </c>
      <c r="E161" s="209"/>
      <c r="F161" s="220"/>
      <c r="G161" s="231"/>
      <c r="H161" s="25"/>
      <c r="I161" s="5"/>
      <c r="J161" s="5"/>
      <c r="K161" s="5"/>
      <c r="L161" s="5"/>
      <c r="M161" s="5"/>
      <c r="N161" s="18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45">
      <c r="A162" s="194">
        <f>'Données projet'!A176</f>
        <v>0</v>
      </c>
      <c r="B162" s="195">
        <f>'Données projet'!D176</f>
        <v>0</v>
      </c>
      <c r="C162" s="209"/>
      <c r="D162" s="193">
        <f t="shared" si="12"/>
        <v>0</v>
      </c>
      <c r="E162" s="209"/>
      <c r="F162" s="220"/>
      <c r="G162" s="231"/>
      <c r="H162" s="25"/>
      <c r="I162" s="5"/>
      <c r="J162" s="5"/>
      <c r="K162" s="5"/>
      <c r="L162" s="5"/>
      <c r="M162" s="5"/>
      <c r="N162" s="18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45">
      <c r="A163" s="194">
        <f>'Données projet'!A177</f>
        <v>0</v>
      </c>
      <c r="B163" s="195">
        <f>'Données projet'!D177</f>
        <v>0</v>
      </c>
      <c r="C163" s="209"/>
      <c r="D163" s="193">
        <f t="shared" si="12"/>
        <v>0</v>
      </c>
      <c r="E163" s="209"/>
      <c r="F163" s="220"/>
      <c r="G163" s="231"/>
      <c r="H163" s="25"/>
      <c r="I163" s="5"/>
      <c r="J163" s="5"/>
      <c r="K163" s="5"/>
      <c r="L163" s="5"/>
      <c r="M163" s="5"/>
      <c r="N163" s="18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45">
      <c r="A164" s="194">
        <f>'Données projet'!A178</f>
        <v>0</v>
      </c>
      <c r="B164" s="195">
        <f>'Données projet'!D178</f>
        <v>0</v>
      </c>
      <c r="C164" s="209"/>
      <c r="D164" s="193">
        <f t="shared" si="12"/>
        <v>0</v>
      </c>
      <c r="E164" s="209"/>
      <c r="F164" s="220"/>
      <c r="G164" s="231"/>
      <c r="H164" s="25"/>
      <c r="I164" s="5"/>
      <c r="J164" s="5"/>
      <c r="K164" s="5"/>
      <c r="L164" s="5"/>
      <c r="M164" s="5"/>
      <c r="N164" s="18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45">
      <c r="A165" s="194">
        <f>'Données projet'!A179</f>
        <v>0</v>
      </c>
      <c r="B165" s="195">
        <f>'Données projet'!D179</f>
        <v>0</v>
      </c>
      <c r="C165" s="209"/>
      <c r="D165" s="193">
        <f t="shared" si="12"/>
        <v>0</v>
      </c>
      <c r="E165" s="209"/>
      <c r="F165" s="220"/>
      <c r="G165" s="231"/>
      <c r="H165" s="25"/>
      <c r="I165" s="5"/>
      <c r="J165" s="5"/>
      <c r="K165" s="5"/>
      <c r="L165" s="5"/>
      <c r="M165" s="5"/>
      <c r="N165" s="18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45">
      <c r="A166" s="194">
        <f>'Données projet'!A180</f>
        <v>0</v>
      </c>
      <c r="B166" s="195">
        <f>'Données projet'!D180</f>
        <v>0</v>
      </c>
      <c r="C166" s="209"/>
      <c r="D166" s="193">
        <f t="shared" si="12"/>
        <v>0</v>
      </c>
      <c r="E166" s="209"/>
      <c r="F166" s="220"/>
      <c r="G166" s="231"/>
      <c r="H166" s="25"/>
      <c r="I166" s="5"/>
      <c r="J166" s="5"/>
      <c r="K166" s="5"/>
      <c r="L166" s="5"/>
      <c r="M166" s="5"/>
      <c r="N166" s="18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45">
      <c r="A167" s="194">
        <f>'Données projet'!A181</f>
        <v>0</v>
      </c>
      <c r="B167" s="195">
        <f>'Données projet'!D181</f>
        <v>0</v>
      </c>
      <c r="C167" s="209"/>
      <c r="D167" s="193">
        <f t="shared" si="12"/>
        <v>0</v>
      </c>
      <c r="E167" s="209"/>
      <c r="F167" s="220"/>
      <c r="G167" s="231"/>
      <c r="H167" s="25"/>
      <c r="I167" s="5"/>
      <c r="J167" s="5"/>
      <c r="K167" s="5"/>
      <c r="L167" s="5"/>
      <c r="M167" s="5"/>
      <c r="N167" s="18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45">
      <c r="A168" s="194">
        <f>'Données projet'!A182</f>
        <v>0</v>
      </c>
      <c r="B168" s="195">
        <f>'Données projet'!D182</f>
        <v>0</v>
      </c>
      <c r="C168" s="209"/>
      <c r="D168" s="193">
        <f t="shared" si="12"/>
        <v>0</v>
      </c>
      <c r="E168" s="209"/>
      <c r="F168" s="220"/>
      <c r="G168" s="231"/>
      <c r="H168" s="25"/>
      <c r="I168" s="5"/>
      <c r="J168" s="5"/>
      <c r="K168" s="5"/>
      <c r="L168" s="5"/>
      <c r="M168" s="5"/>
      <c r="N168" s="18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45">
      <c r="A169" s="194">
        <f>'Données projet'!A183</f>
        <v>0</v>
      </c>
      <c r="B169" s="195">
        <f>'Données projet'!D183</f>
        <v>0</v>
      </c>
      <c r="C169" s="209"/>
      <c r="D169" s="193">
        <f t="shared" si="12"/>
        <v>0</v>
      </c>
      <c r="E169" s="209"/>
      <c r="F169" s="220"/>
      <c r="G169" s="231"/>
      <c r="H169" s="25"/>
      <c r="I169" s="5"/>
      <c r="J169" s="5"/>
      <c r="K169" s="5"/>
      <c r="L169" s="5"/>
      <c r="M169" s="5"/>
      <c r="N169" s="18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45">
      <c r="A170" s="194">
        <f>'Données projet'!A184</f>
        <v>0</v>
      </c>
      <c r="B170" s="195">
        <f>'Données projet'!D184</f>
        <v>0</v>
      </c>
      <c r="C170" s="209"/>
      <c r="D170" s="193">
        <f t="shared" si="12"/>
        <v>0</v>
      </c>
      <c r="E170" s="209"/>
      <c r="F170" s="220"/>
      <c r="G170" s="231"/>
      <c r="H170" s="25"/>
      <c r="I170" s="5"/>
      <c r="J170" s="5"/>
      <c r="K170" s="5"/>
      <c r="L170" s="5"/>
      <c r="M170" s="5"/>
      <c r="N170" s="18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45">
      <c r="A171" s="194">
        <f>'Données projet'!A185</f>
        <v>0</v>
      </c>
      <c r="B171" s="195">
        <f>'Données projet'!D185</f>
        <v>0</v>
      </c>
      <c r="C171" s="209"/>
      <c r="D171" s="193">
        <f t="shared" si="12"/>
        <v>0</v>
      </c>
      <c r="E171" s="209"/>
      <c r="F171" s="220"/>
      <c r="G171" s="231"/>
      <c r="H171" s="25"/>
      <c r="I171" s="5"/>
      <c r="J171" s="5"/>
      <c r="K171" s="5"/>
      <c r="L171" s="5"/>
      <c r="M171" s="5"/>
      <c r="N171" s="18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45">
      <c r="A172" s="5"/>
      <c r="B172" s="5"/>
      <c r="C172" s="5"/>
      <c r="D172" s="5"/>
      <c r="E172" s="5"/>
      <c r="F172" s="217"/>
      <c r="G172" s="229"/>
      <c r="H172" s="25"/>
      <c r="I172" s="5"/>
      <c r="J172" s="5"/>
      <c r="K172" s="5"/>
      <c r="L172" s="5"/>
      <c r="M172" s="5"/>
      <c r="N172" s="18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45">
      <c r="A173" s="5"/>
      <c r="B173" s="5"/>
      <c r="C173" s="5"/>
      <c r="D173" s="5"/>
      <c r="E173" s="5"/>
      <c r="F173" s="217"/>
      <c r="G173" s="229"/>
      <c r="H173" s="25"/>
      <c r="I173" s="5"/>
      <c r="J173" s="5"/>
      <c r="K173" s="5"/>
      <c r="L173" s="5"/>
      <c r="M173" s="5"/>
      <c r="N173" s="18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45">
      <c r="A174" s="48" t="s">
        <v>171</v>
      </c>
      <c r="B174" s="188" t="str">
        <f>IF('Données projet'!$B$15="","",'Données projet'!$B$15)</f>
        <v/>
      </c>
      <c r="C174" s="5"/>
      <c r="D174" s="5"/>
      <c r="E174" s="5"/>
      <c r="F174" s="217"/>
      <c r="G174" s="229"/>
      <c r="H174" s="25"/>
      <c r="I174" s="5"/>
      <c r="J174" s="5"/>
      <c r="K174" s="5"/>
      <c r="L174" s="5"/>
      <c r="M174" s="5"/>
      <c r="N174" s="18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45">
      <c r="A175" s="48"/>
      <c r="B175" s="5"/>
      <c r="C175" s="5"/>
      <c r="D175" s="5"/>
      <c r="E175" s="5"/>
      <c r="F175" s="217"/>
      <c r="G175" s="229"/>
      <c r="H175" s="25"/>
      <c r="I175" s="5"/>
      <c r="J175" s="5"/>
      <c r="K175" s="5"/>
      <c r="L175" s="5"/>
      <c r="M175" s="5"/>
      <c r="N175" s="18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45">
      <c r="A176" s="187" t="s">
        <v>180</v>
      </c>
      <c r="B176" s="50" t="s">
        <v>256</v>
      </c>
      <c r="C176" s="50" t="s">
        <v>255</v>
      </c>
      <c r="D176" s="187" t="s">
        <v>252</v>
      </c>
      <c r="E176" s="187" t="s">
        <v>288</v>
      </c>
      <c r="F176" s="219"/>
      <c r="G176" s="230"/>
      <c r="H176" s="25"/>
      <c r="I176" s="5"/>
      <c r="J176" s="5"/>
      <c r="K176" s="5"/>
      <c r="L176" s="5"/>
      <c r="M176" s="5"/>
      <c r="N176" s="18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45">
      <c r="A177" s="213">
        <v>0</v>
      </c>
      <c r="B177" s="216" t="s">
        <v>132</v>
      </c>
      <c r="C177" s="215" t="s">
        <v>132</v>
      </c>
      <c r="D177" s="214" t="s">
        <v>132</v>
      </c>
      <c r="E177" s="209"/>
      <c r="F177" s="219"/>
      <c r="G177" s="230"/>
      <c r="H177" s="25"/>
      <c r="I177" s="5"/>
      <c r="J177" s="5"/>
      <c r="K177" s="5"/>
      <c r="L177" s="5"/>
      <c r="M177" s="5"/>
      <c r="N177" s="18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45">
      <c r="A178" s="194">
        <f>'Données projet'!A192</f>
        <v>0</v>
      </c>
      <c r="B178" s="195">
        <f>'Données projet'!D192</f>
        <v>0</v>
      </c>
      <c r="C178" s="209"/>
      <c r="D178" s="193">
        <f>B178*C178</f>
        <v>0</v>
      </c>
      <c r="E178" s="209"/>
      <c r="F178" s="220"/>
      <c r="G178" s="231"/>
      <c r="H178" s="25"/>
      <c r="I178" s="5"/>
      <c r="J178" s="5"/>
      <c r="K178" s="5"/>
      <c r="L178" s="5"/>
      <c r="M178" s="5"/>
      <c r="N178" s="18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45">
      <c r="A179" s="194">
        <f>'Données projet'!A193</f>
        <v>0</v>
      </c>
      <c r="B179" s="195">
        <f>'Données projet'!D193</f>
        <v>0</v>
      </c>
      <c r="C179" s="209"/>
      <c r="D179" s="193">
        <f t="shared" ref="D179:D197" si="13">B179*C179</f>
        <v>0</v>
      </c>
      <c r="E179" s="209"/>
      <c r="F179" s="220"/>
      <c r="G179" s="231"/>
      <c r="H179" s="25"/>
      <c r="I179" s="5"/>
      <c r="J179" s="5"/>
      <c r="K179" s="5"/>
      <c r="L179" s="5"/>
      <c r="M179" s="5"/>
      <c r="N179" s="18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45">
      <c r="A180" s="194">
        <f>'Données projet'!A194</f>
        <v>0</v>
      </c>
      <c r="B180" s="195">
        <f>'Données projet'!D194</f>
        <v>0</v>
      </c>
      <c r="C180" s="209"/>
      <c r="D180" s="193">
        <f t="shared" si="13"/>
        <v>0</v>
      </c>
      <c r="E180" s="209"/>
      <c r="F180" s="220"/>
      <c r="G180" s="231"/>
      <c r="H180" s="25"/>
      <c r="I180" s="5"/>
      <c r="J180" s="5"/>
      <c r="K180" s="5"/>
      <c r="L180" s="5"/>
      <c r="M180" s="5"/>
      <c r="N180" s="18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45">
      <c r="A181" s="194">
        <f>'Données projet'!A195</f>
        <v>0</v>
      </c>
      <c r="B181" s="195">
        <f>'Données projet'!D195</f>
        <v>0</v>
      </c>
      <c r="C181" s="209"/>
      <c r="D181" s="193">
        <f t="shared" si="13"/>
        <v>0</v>
      </c>
      <c r="E181" s="209"/>
      <c r="F181" s="220"/>
      <c r="G181" s="231"/>
      <c r="H181" s="25"/>
      <c r="I181" s="5"/>
      <c r="J181" s="5"/>
      <c r="K181" s="5"/>
      <c r="L181" s="5"/>
      <c r="M181" s="5"/>
      <c r="N181" s="18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45">
      <c r="A182" s="194">
        <f>'Données projet'!A196</f>
        <v>0</v>
      </c>
      <c r="B182" s="195">
        <f>'Données projet'!D196</f>
        <v>0</v>
      </c>
      <c r="C182" s="209"/>
      <c r="D182" s="193">
        <f t="shared" si="13"/>
        <v>0</v>
      </c>
      <c r="E182" s="209"/>
      <c r="F182" s="220"/>
      <c r="G182" s="231"/>
      <c r="H182" s="25"/>
      <c r="I182" s="5"/>
      <c r="J182" s="5"/>
      <c r="K182" s="5"/>
      <c r="L182" s="5"/>
      <c r="M182" s="5"/>
      <c r="N182" s="18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45">
      <c r="A183" s="194">
        <f>'Données projet'!A197</f>
        <v>0</v>
      </c>
      <c r="B183" s="195">
        <f>'Données projet'!D197</f>
        <v>0</v>
      </c>
      <c r="C183" s="209"/>
      <c r="D183" s="193">
        <f t="shared" si="13"/>
        <v>0</v>
      </c>
      <c r="E183" s="209"/>
      <c r="F183" s="220"/>
      <c r="G183" s="231"/>
      <c r="H183" s="25"/>
      <c r="I183" s="5"/>
      <c r="J183" s="5"/>
      <c r="K183" s="5"/>
      <c r="L183" s="5"/>
      <c r="M183" s="5"/>
      <c r="N183" s="18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45">
      <c r="A184" s="194">
        <f>'Données projet'!A198</f>
        <v>0</v>
      </c>
      <c r="B184" s="195">
        <f>'Données projet'!D198</f>
        <v>0</v>
      </c>
      <c r="C184" s="209"/>
      <c r="D184" s="193">
        <f t="shared" si="13"/>
        <v>0</v>
      </c>
      <c r="E184" s="209"/>
      <c r="F184" s="220"/>
      <c r="G184" s="231"/>
      <c r="H184" s="25"/>
      <c r="I184" s="5"/>
      <c r="J184" s="5"/>
      <c r="K184" s="5"/>
      <c r="L184" s="5"/>
      <c r="M184" s="5"/>
      <c r="N184" s="18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45">
      <c r="A185" s="194">
        <f>'Données projet'!A199</f>
        <v>0</v>
      </c>
      <c r="B185" s="195">
        <f>'Données projet'!D199</f>
        <v>0</v>
      </c>
      <c r="C185" s="209"/>
      <c r="D185" s="193">
        <f t="shared" si="13"/>
        <v>0</v>
      </c>
      <c r="E185" s="209"/>
      <c r="F185" s="220"/>
      <c r="G185" s="231"/>
      <c r="H185" s="25"/>
      <c r="I185" s="5"/>
      <c r="J185" s="5"/>
      <c r="K185" s="5"/>
      <c r="L185" s="5"/>
      <c r="M185" s="5"/>
      <c r="N185" s="18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45">
      <c r="A186" s="194">
        <f>'Données projet'!A200</f>
        <v>0</v>
      </c>
      <c r="B186" s="195">
        <f>'Données projet'!D200</f>
        <v>0</v>
      </c>
      <c r="C186" s="209"/>
      <c r="D186" s="193">
        <f t="shared" si="13"/>
        <v>0</v>
      </c>
      <c r="E186" s="209"/>
      <c r="F186" s="220"/>
      <c r="G186" s="231"/>
      <c r="H186" s="25"/>
      <c r="I186" s="5"/>
      <c r="J186" s="5"/>
      <c r="K186" s="5"/>
      <c r="L186" s="5"/>
      <c r="M186" s="5"/>
      <c r="N186" s="18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45">
      <c r="A187" s="194">
        <f>'Données projet'!A201</f>
        <v>0</v>
      </c>
      <c r="B187" s="195">
        <f>'Données projet'!D201</f>
        <v>0</v>
      </c>
      <c r="C187" s="209"/>
      <c r="D187" s="193">
        <f t="shared" si="13"/>
        <v>0</v>
      </c>
      <c r="E187" s="209"/>
      <c r="F187" s="220"/>
      <c r="G187" s="231"/>
      <c r="H187" s="25"/>
      <c r="I187" s="5"/>
      <c r="J187" s="5"/>
      <c r="K187" s="5"/>
      <c r="L187" s="5"/>
      <c r="M187" s="5"/>
      <c r="N187" s="18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45">
      <c r="A188" s="194">
        <f>'Données projet'!A202</f>
        <v>0</v>
      </c>
      <c r="B188" s="195">
        <f>'Données projet'!D202</f>
        <v>0</v>
      </c>
      <c r="C188" s="209"/>
      <c r="D188" s="193">
        <f t="shared" si="13"/>
        <v>0</v>
      </c>
      <c r="E188" s="209"/>
      <c r="F188" s="220"/>
      <c r="G188" s="231"/>
      <c r="H188" s="25"/>
      <c r="I188" s="5"/>
      <c r="J188" s="5"/>
      <c r="K188" s="5"/>
      <c r="L188" s="5"/>
      <c r="M188" s="5"/>
      <c r="N188" s="18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45">
      <c r="A189" s="194">
        <f>'Données projet'!A203</f>
        <v>0</v>
      </c>
      <c r="B189" s="195">
        <f>'Données projet'!D203</f>
        <v>0</v>
      </c>
      <c r="C189" s="209"/>
      <c r="D189" s="193">
        <f t="shared" si="13"/>
        <v>0</v>
      </c>
      <c r="E189" s="209"/>
      <c r="F189" s="220"/>
      <c r="G189" s="231"/>
      <c r="H189" s="25"/>
      <c r="I189" s="5"/>
      <c r="J189" s="5"/>
      <c r="K189" s="5"/>
      <c r="L189" s="5"/>
      <c r="M189" s="5"/>
      <c r="N189" s="18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45">
      <c r="A190" s="194">
        <f>'Données projet'!A204</f>
        <v>0</v>
      </c>
      <c r="B190" s="195">
        <f>'Données projet'!D204</f>
        <v>0</v>
      </c>
      <c r="C190" s="209"/>
      <c r="D190" s="193">
        <f t="shared" si="13"/>
        <v>0</v>
      </c>
      <c r="E190" s="209"/>
      <c r="F190" s="220"/>
      <c r="G190" s="231"/>
      <c r="H190" s="25"/>
      <c r="I190" s="5"/>
      <c r="J190" s="5"/>
      <c r="K190" s="5"/>
      <c r="L190" s="5"/>
      <c r="M190" s="5"/>
      <c r="N190" s="18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45">
      <c r="A191" s="194">
        <f>'Données projet'!A205</f>
        <v>0</v>
      </c>
      <c r="B191" s="195">
        <f>'Données projet'!D205</f>
        <v>0</v>
      </c>
      <c r="C191" s="209"/>
      <c r="D191" s="193">
        <f t="shared" si="13"/>
        <v>0</v>
      </c>
      <c r="E191" s="209"/>
      <c r="F191" s="220"/>
      <c r="G191" s="231"/>
      <c r="H191" s="25"/>
      <c r="I191" s="5"/>
      <c r="J191" s="5"/>
      <c r="K191" s="5"/>
      <c r="L191" s="5"/>
      <c r="M191" s="5"/>
      <c r="N191" s="18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45">
      <c r="A192" s="194">
        <f>'Données projet'!A206</f>
        <v>0</v>
      </c>
      <c r="B192" s="195">
        <f>'Données projet'!D206</f>
        <v>0</v>
      </c>
      <c r="C192" s="209"/>
      <c r="D192" s="193">
        <f t="shared" si="13"/>
        <v>0</v>
      </c>
      <c r="E192" s="209"/>
      <c r="F192" s="220"/>
      <c r="G192" s="231"/>
      <c r="H192" s="25"/>
      <c r="I192" s="5"/>
      <c r="J192" s="5"/>
      <c r="K192" s="5"/>
      <c r="L192" s="5"/>
      <c r="M192" s="5"/>
      <c r="N192" s="18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45">
      <c r="A193" s="194">
        <f>'Données projet'!A207</f>
        <v>0</v>
      </c>
      <c r="B193" s="195">
        <f>'Données projet'!D207</f>
        <v>0</v>
      </c>
      <c r="C193" s="209"/>
      <c r="D193" s="193">
        <f t="shared" si="13"/>
        <v>0</v>
      </c>
      <c r="E193" s="209"/>
      <c r="F193" s="220"/>
      <c r="G193" s="231"/>
      <c r="H193" s="25"/>
      <c r="I193" s="5"/>
      <c r="J193" s="5"/>
      <c r="K193" s="5"/>
      <c r="L193" s="5"/>
      <c r="M193" s="5"/>
      <c r="N193" s="18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45">
      <c r="A194" s="194">
        <f>'Données projet'!A208</f>
        <v>0</v>
      </c>
      <c r="B194" s="195">
        <f>'Données projet'!D208</f>
        <v>0</v>
      </c>
      <c r="C194" s="209"/>
      <c r="D194" s="193">
        <f t="shared" si="13"/>
        <v>0</v>
      </c>
      <c r="E194" s="209"/>
      <c r="F194" s="220"/>
      <c r="G194" s="231"/>
      <c r="H194" s="25"/>
      <c r="I194" s="5"/>
      <c r="J194" s="5"/>
      <c r="K194" s="5"/>
      <c r="L194" s="5"/>
      <c r="M194" s="5"/>
      <c r="N194" s="18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45">
      <c r="A195" s="194">
        <f>'Données projet'!A209</f>
        <v>0</v>
      </c>
      <c r="B195" s="195">
        <f>'Données projet'!D209</f>
        <v>0</v>
      </c>
      <c r="C195" s="209"/>
      <c r="D195" s="193">
        <f t="shared" si="13"/>
        <v>0</v>
      </c>
      <c r="E195" s="209"/>
      <c r="F195" s="220"/>
      <c r="G195" s="231"/>
      <c r="H195" s="25"/>
      <c r="I195" s="5"/>
      <c r="J195" s="5"/>
      <c r="K195" s="5"/>
      <c r="L195" s="5"/>
      <c r="M195" s="5"/>
      <c r="N195" s="18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45">
      <c r="A196" s="194">
        <f>'Données projet'!A210</f>
        <v>0</v>
      </c>
      <c r="B196" s="195">
        <f>'Données projet'!D210</f>
        <v>0</v>
      </c>
      <c r="C196" s="209"/>
      <c r="D196" s="193">
        <f t="shared" si="13"/>
        <v>0</v>
      </c>
      <c r="E196" s="209"/>
      <c r="F196" s="220"/>
      <c r="G196" s="231"/>
      <c r="H196" s="25"/>
      <c r="I196" s="5"/>
      <c r="J196" s="5"/>
      <c r="K196" s="5"/>
      <c r="L196" s="5"/>
      <c r="M196" s="5"/>
      <c r="N196" s="18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45">
      <c r="A197" s="194">
        <f>'Données projet'!A211</f>
        <v>0</v>
      </c>
      <c r="B197" s="195">
        <f>'Données projet'!D211</f>
        <v>0</v>
      </c>
      <c r="C197" s="209"/>
      <c r="D197" s="193">
        <f t="shared" si="13"/>
        <v>0</v>
      </c>
      <c r="E197" s="209"/>
      <c r="F197" s="220"/>
      <c r="G197" s="231"/>
      <c r="H197" s="25"/>
      <c r="I197" s="5"/>
      <c r="J197" s="5"/>
      <c r="K197" s="5"/>
      <c r="L197" s="5"/>
      <c r="M197" s="5"/>
      <c r="N197" s="18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45">
      <c r="A198" s="5"/>
      <c r="B198" s="5"/>
      <c r="C198" s="5"/>
      <c r="D198" s="5"/>
      <c r="E198" s="5"/>
      <c r="F198" s="217"/>
      <c r="G198" s="229"/>
      <c r="H198" s="25"/>
      <c r="I198" s="5"/>
      <c r="J198" s="5"/>
      <c r="K198" s="5"/>
      <c r="L198" s="5"/>
      <c r="M198" s="5"/>
      <c r="N198" s="18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45">
      <c r="A199" s="5"/>
      <c r="B199" s="5"/>
      <c r="C199" s="5"/>
      <c r="D199" s="5"/>
      <c r="E199" s="5"/>
      <c r="F199" s="217"/>
      <c r="G199" s="229"/>
      <c r="H199" s="25"/>
      <c r="I199" s="5"/>
      <c r="J199" s="5"/>
      <c r="K199" s="5"/>
      <c r="L199" s="5"/>
      <c r="M199" s="5"/>
      <c r="N199" s="18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45">
      <c r="A200" s="48" t="s">
        <v>172</v>
      </c>
      <c r="B200" s="188" t="str">
        <f>IF('Données projet'!$B$16="","",'Données projet'!$B$16)</f>
        <v/>
      </c>
      <c r="C200" s="5"/>
      <c r="D200" s="5"/>
      <c r="E200" s="5"/>
      <c r="F200" s="217"/>
      <c r="G200" s="229"/>
      <c r="H200" s="25"/>
      <c r="I200" s="5"/>
      <c r="J200" s="5"/>
      <c r="K200" s="5"/>
      <c r="L200" s="5"/>
      <c r="M200" s="5"/>
      <c r="N200" s="18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45">
      <c r="A201" s="48"/>
      <c r="B201" s="5"/>
      <c r="C201" s="5"/>
      <c r="D201" s="5"/>
      <c r="E201" s="5"/>
      <c r="F201" s="217"/>
      <c r="G201" s="229"/>
      <c r="H201" s="25"/>
      <c r="I201" s="5"/>
      <c r="J201" s="5"/>
      <c r="K201" s="5"/>
      <c r="L201" s="5"/>
      <c r="M201" s="5"/>
      <c r="N201" s="18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45">
      <c r="A202" s="187" t="s">
        <v>180</v>
      </c>
      <c r="B202" s="50" t="s">
        <v>256</v>
      </c>
      <c r="C202" s="50" t="s">
        <v>255</v>
      </c>
      <c r="D202" s="187" t="s">
        <v>252</v>
      </c>
      <c r="E202" s="187" t="s">
        <v>288</v>
      </c>
      <c r="F202" s="219"/>
      <c r="G202" s="230"/>
      <c r="H202" s="25"/>
      <c r="I202" s="5"/>
      <c r="J202" s="5"/>
      <c r="K202" s="5"/>
      <c r="L202" s="5"/>
      <c r="M202" s="5"/>
      <c r="N202" s="18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45">
      <c r="A203" s="213">
        <v>0</v>
      </c>
      <c r="B203" s="216" t="s">
        <v>132</v>
      </c>
      <c r="C203" s="215" t="s">
        <v>132</v>
      </c>
      <c r="D203" s="214" t="s">
        <v>132</v>
      </c>
      <c r="E203" s="209"/>
      <c r="F203" s="219"/>
      <c r="G203" s="230"/>
      <c r="H203" s="25"/>
      <c r="I203" s="5"/>
      <c r="J203" s="5"/>
      <c r="K203" s="5"/>
      <c r="L203" s="5"/>
      <c r="M203" s="5"/>
      <c r="N203" s="18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45">
      <c r="A204" s="194">
        <f>'Données projet'!A218</f>
        <v>0</v>
      </c>
      <c r="B204" s="195">
        <f>'Données projet'!D218</f>
        <v>0</v>
      </c>
      <c r="C204" s="209"/>
      <c r="D204" s="193">
        <f>B204*C204</f>
        <v>0</v>
      </c>
      <c r="E204" s="209"/>
      <c r="F204" s="220"/>
      <c r="G204" s="231"/>
      <c r="H204" s="25"/>
      <c r="I204" s="5"/>
      <c r="J204" s="5"/>
      <c r="K204" s="5"/>
      <c r="L204" s="5"/>
      <c r="M204" s="5"/>
      <c r="N204" s="18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45">
      <c r="A205" s="194">
        <f>'Données projet'!A219</f>
        <v>0</v>
      </c>
      <c r="B205" s="195">
        <f>'Données projet'!D219</f>
        <v>0</v>
      </c>
      <c r="C205" s="209"/>
      <c r="D205" s="193">
        <f t="shared" ref="D205:D223" si="14">B205*C205</f>
        <v>0</v>
      </c>
      <c r="E205" s="209"/>
      <c r="F205" s="220"/>
      <c r="G205" s="231"/>
      <c r="H205" s="25"/>
      <c r="I205" s="5"/>
      <c r="J205" s="5"/>
      <c r="K205" s="5"/>
      <c r="L205" s="5"/>
      <c r="M205" s="5"/>
      <c r="N205" s="18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45">
      <c r="A206" s="194">
        <f>'Données projet'!A220</f>
        <v>0</v>
      </c>
      <c r="B206" s="195">
        <f>'Données projet'!D220</f>
        <v>0</v>
      </c>
      <c r="C206" s="209"/>
      <c r="D206" s="193">
        <f t="shared" si="14"/>
        <v>0</v>
      </c>
      <c r="E206" s="209"/>
      <c r="F206" s="220"/>
      <c r="G206" s="231"/>
      <c r="H206" s="25"/>
      <c r="I206" s="5"/>
      <c r="J206" s="5"/>
      <c r="K206" s="5"/>
      <c r="L206" s="5"/>
      <c r="M206" s="5"/>
      <c r="N206" s="18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45">
      <c r="A207" s="194">
        <f>'Données projet'!A221</f>
        <v>0</v>
      </c>
      <c r="B207" s="195">
        <f>'Données projet'!D221</f>
        <v>0</v>
      </c>
      <c r="C207" s="209"/>
      <c r="D207" s="193">
        <f t="shared" si="14"/>
        <v>0</v>
      </c>
      <c r="E207" s="209"/>
      <c r="F207" s="220"/>
      <c r="G207" s="231"/>
      <c r="H207" s="25"/>
      <c r="I207" s="5"/>
      <c r="J207" s="5"/>
      <c r="K207" s="5"/>
      <c r="L207" s="5"/>
      <c r="M207" s="5"/>
      <c r="N207" s="18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45">
      <c r="A208" s="194">
        <f>'Données projet'!A222</f>
        <v>0</v>
      </c>
      <c r="B208" s="195">
        <f>'Données projet'!D222</f>
        <v>0</v>
      </c>
      <c r="C208" s="209"/>
      <c r="D208" s="193">
        <f t="shared" si="14"/>
        <v>0</v>
      </c>
      <c r="E208" s="209"/>
      <c r="F208" s="220"/>
      <c r="G208" s="231"/>
      <c r="H208" s="25"/>
      <c r="I208" s="5"/>
      <c r="J208" s="5"/>
      <c r="K208" s="5"/>
      <c r="L208" s="5"/>
      <c r="M208" s="5"/>
      <c r="N208" s="18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45">
      <c r="A209" s="194">
        <f>'Données projet'!A223</f>
        <v>0</v>
      </c>
      <c r="B209" s="195">
        <f>'Données projet'!D223</f>
        <v>0</v>
      </c>
      <c r="C209" s="209"/>
      <c r="D209" s="193">
        <f t="shared" si="14"/>
        <v>0</v>
      </c>
      <c r="E209" s="209"/>
      <c r="F209" s="220"/>
      <c r="G209" s="231"/>
      <c r="H209" s="25"/>
      <c r="I209" s="5"/>
      <c r="J209" s="5"/>
      <c r="K209" s="5"/>
      <c r="L209" s="5"/>
      <c r="M209" s="5"/>
      <c r="N209" s="18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45">
      <c r="A210" s="194">
        <f>'Données projet'!A224</f>
        <v>0</v>
      </c>
      <c r="B210" s="195">
        <f>'Données projet'!D224</f>
        <v>0</v>
      </c>
      <c r="C210" s="209"/>
      <c r="D210" s="193">
        <f t="shared" si="14"/>
        <v>0</v>
      </c>
      <c r="E210" s="209"/>
      <c r="F210" s="220"/>
      <c r="G210" s="231"/>
      <c r="H210" s="25"/>
      <c r="I210" s="5"/>
      <c r="J210" s="5"/>
      <c r="K210" s="5"/>
      <c r="L210" s="5"/>
      <c r="M210" s="5"/>
      <c r="N210" s="18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45">
      <c r="A211" s="194">
        <f>'Données projet'!A225</f>
        <v>0</v>
      </c>
      <c r="B211" s="195">
        <f>'Données projet'!D225</f>
        <v>0</v>
      </c>
      <c r="C211" s="209"/>
      <c r="D211" s="193">
        <f t="shared" si="14"/>
        <v>0</v>
      </c>
      <c r="E211" s="209"/>
      <c r="F211" s="220"/>
      <c r="G211" s="231"/>
      <c r="H211" s="25"/>
      <c r="I211" s="5"/>
      <c r="J211" s="5"/>
      <c r="K211" s="5"/>
      <c r="L211" s="5"/>
      <c r="M211" s="5"/>
      <c r="N211" s="18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45">
      <c r="A212" s="194">
        <f>'Données projet'!A226</f>
        <v>0</v>
      </c>
      <c r="B212" s="195">
        <f>'Données projet'!D226</f>
        <v>0</v>
      </c>
      <c r="C212" s="209"/>
      <c r="D212" s="193">
        <f t="shared" si="14"/>
        <v>0</v>
      </c>
      <c r="E212" s="209"/>
      <c r="F212" s="220"/>
      <c r="G212" s="231"/>
      <c r="H212" s="25"/>
      <c r="I212" s="5"/>
      <c r="J212" s="5"/>
      <c r="K212" s="5"/>
      <c r="L212" s="5"/>
      <c r="M212" s="5"/>
      <c r="N212" s="18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45">
      <c r="A213" s="194">
        <f>'Données projet'!A227</f>
        <v>0</v>
      </c>
      <c r="B213" s="195">
        <f>'Données projet'!D227</f>
        <v>0</v>
      </c>
      <c r="C213" s="209"/>
      <c r="D213" s="193">
        <f t="shared" si="14"/>
        <v>0</v>
      </c>
      <c r="E213" s="209"/>
      <c r="F213" s="220"/>
      <c r="G213" s="231"/>
      <c r="H213" s="25"/>
      <c r="I213" s="5"/>
      <c r="J213" s="5"/>
      <c r="K213" s="5"/>
      <c r="L213" s="5"/>
      <c r="M213" s="5"/>
      <c r="N213" s="18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45">
      <c r="A214" s="194">
        <f>'Données projet'!A228</f>
        <v>0</v>
      </c>
      <c r="B214" s="195">
        <f>'Données projet'!D228</f>
        <v>0</v>
      </c>
      <c r="C214" s="209"/>
      <c r="D214" s="193">
        <f t="shared" si="14"/>
        <v>0</v>
      </c>
      <c r="E214" s="209"/>
      <c r="F214" s="220"/>
      <c r="G214" s="231"/>
      <c r="H214" s="25"/>
      <c r="I214" s="5"/>
      <c r="J214" s="5"/>
      <c r="K214" s="5"/>
      <c r="L214" s="5"/>
      <c r="M214" s="5"/>
      <c r="N214" s="18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45">
      <c r="A215" s="194">
        <f>'Données projet'!A229</f>
        <v>0</v>
      </c>
      <c r="B215" s="195">
        <f>'Données projet'!D229</f>
        <v>0</v>
      </c>
      <c r="C215" s="209"/>
      <c r="D215" s="193">
        <f t="shared" si="14"/>
        <v>0</v>
      </c>
      <c r="E215" s="209"/>
      <c r="F215" s="220"/>
      <c r="G215" s="231"/>
      <c r="H215" s="25"/>
      <c r="I215" s="5"/>
      <c r="J215" s="5"/>
      <c r="K215" s="5"/>
      <c r="L215" s="5"/>
      <c r="M215" s="5"/>
      <c r="N215" s="18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45">
      <c r="A216" s="194">
        <f>'Données projet'!A230</f>
        <v>0</v>
      </c>
      <c r="B216" s="195">
        <f>'Données projet'!D230</f>
        <v>0</v>
      </c>
      <c r="C216" s="209"/>
      <c r="D216" s="193">
        <f t="shared" si="14"/>
        <v>0</v>
      </c>
      <c r="E216" s="209"/>
      <c r="F216" s="220"/>
      <c r="G216" s="231"/>
      <c r="H216" s="25"/>
      <c r="I216" s="5"/>
      <c r="J216" s="5"/>
      <c r="K216" s="5"/>
      <c r="L216" s="5"/>
      <c r="M216" s="5"/>
      <c r="N216" s="18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45">
      <c r="A217" s="194">
        <f>'Données projet'!A231</f>
        <v>0</v>
      </c>
      <c r="B217" s="195">
        <f>'Données projet'!D231</f>
        <v>0</v>
      </c>
      <c r="C217" s="209"/>
      <c r="D217" s="193">
        <f t="shared" si="14"/>
        <v>0</v>
      </c>
      <c r="E217" s="209"/>
      <c r="F217" s="220"/>
      <c r="G217" s="231"/>
      <c r="H217" s="25"/>
      <c r="I217" s="5"/>
      <c r="J217" s="5"/>
      <c r="K217" s="5"/>
      <c r="L217" s="5"/>
      <c r="M217" s="5"/>
      <c r="N217" s="18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45">
      <c r="A218" s="194">
        <f>'Données projet'!A232</f>
        <v>0</v>
      </c>
      <c r="B218" s="195">
        <f>'Données projet'!D232</f>
        <v>0</v>
      </c>
      <c r="C218" s="209"/>
      <c r="D218" s="193">
        <f t="shared" si="14"/>
        <v>0</v>
      </c>
      <c r="E218" s="209"/>
      <c r="F218" s="220"/>
      <c r="G218" s="231"/>
      <c r="H218" s="25"/>
      <c r="I218" s="5"/>
      <c r="J218" s="5"/>
      <c r="K218" s="5"/>
      <c r="L218" s="5"/>
      <c r="M218" s="5"/>
      <c r="N218" s="18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45">
      <c r="A219" s="194">
        <f>'Données projet'!A233</f>
        <v>0</v>
      </c>
      <c r="B219" s="195">
        <f>'Données projet'!D233</f>
        <v>0</v>
      </c>
      <c r="C219" s="209"/>
      <c r="D219" s="193">
        <f t="shared" si="14"/>
        <v>0</v>
      </c>
      <c r="E219" s="209"/>
      <c r="F219" s="220"/>
      <c r="G219" s="231"/>
      <c r="H219" s="25"/>
      <c r="I219" s="5"/>
      <c r="J219" s="5"/>
      <c r="K219" s="5"/>
      <c r="L219" s="5"/>
      <c r="M219" s="5"/>
      <c r="N219" s="18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45">
      <c r="A220" s="194">
        <f>'Données projet'!A234</f>
        <v>0</v>
      </c>
      <c r="B220" s="195">
        <f>'Données projet'!D234</f>
        <v>0</v>
      </c>
      <c r="C220" s="209"/>
      <c r="D220" s="193">
        <f t="shared" si="14"/>
        <v>0</v>
      </c>
      <c r="E220" s="209"/>
      <c r="F220" s="220"/>
      <c r="G220" s="231"/>
      <c r="H220" s="25"/>
      <c r="I220" s="5"/>
      <c r="J220" s="5"/>
      <c r="K220" s="5"/>
      <c r="L220" s="5"/>
      <c r="M220" s="5"/>
      <c r="N220" s="18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45">
      <c r="A221" s="194">
        <f>'Données projet'!A235</f>
        <v>0</v>
      </c>
      <c r="B221" s="195">
        <f>'Données projet'!D235</f>
        <v>0</v>
      </c>
      <c r="C221" s="209"/>
      <c r="D221" s="193">
        <f t="shared" si="14"/>
        <v>0</v>
      </c>
      <c r="E221" s="209"/>
      <c r="F221" s="220"/>
      <c r="G221" s="231"/>
      <c r="H221" s="25"/>
      <c r="I221" s="5"/>
      <c r="J221" s="5"/>
      <c r="K221" s="5"/>
      <c r="L221" s="5"/>
      <c r="M221" s="5"/>
      <c r="N221" s="18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45">
      <c r="A222" s="194">
        <f>'Données projet'!A236</f>
        <v>0</v>
      </c>
      <c r="B222" s="195">
        <f>'Données projet'!D236</f>
        <v>0</v>
      </c>
      <c r="C222" s="209"/>
      <c r="D222" s="193">
        <f t="shared" si="14"/>
        <v>0</v>
      </c>
      <c r="E222" s="209"/>
      <c r="F222" s="220"/>
      <c r="G222" s="231"/>
      <c r="H222" s="25"/>
      <c r="I222" s="5"/>
      <c r="J222" s="5"/>
      <c r="K222" s="5"/>
      <c r="L222" s="5"/>
      <c r="M222" s="5"/>
      <c r="N222" s="18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45">
      <c r="A223" s="194">
        <f>'Données projet'!A237</f>
        <v>0</v>
      </c>
      <c r="B223" s="195">
        <f>'Données projet'!D237</f>
        <v>0</v>
      </c>
      <c r="C223" s="209"/>
      <c r="D223" s="193">
        <f t="shared" si="14"/>
        <v>0</v>
      </c>
      <c r="E223" s="209"/>
      <c r="F223" s="220"/>
      <c r="G223" s="231"/>
      <c r="H223" s="25"/>
      <c r="I223" s="5"/>
      <c r="J223" s="5"/>
      <c r="K223" s="5"/>
      <c r="L223" s="5"/>
      <c r="M223" s="5"/>
      <c r="N223" s="18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45">
      <c r="A224" s="5"/>
      <c r="B224" s="5"/>
      <c r="C224" s="5"/>
      <c r="D224" s="5"/>
      <c r="E224" s="5"/>
      <c r="F224" s="217"/>
      <c r="G224" s="229"/>
      <c r="H224" s="25"/>
      <c r="I224" s="5"/>
      <c r="J224" s="5"/>
      <c r="K224" s="5"/>
      <c r="L224" s="5"/>
      <c r="M224" s="5"/>
      <c r="N224" s="18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45">
      <c r="A225" s="5"/>
      <c r="B225" s="5"/>
      <c r="C225" s="5"/>
      <c r="D225" s="5"/>
      <c r="E225" s="5"/>
      <c r="F225" s="217"/>
      <c r="G225" s="229"/>
      <c r="H225" s="25"/>
      <c r="I225" s="5"/>
      <c r="J225" s="5"/>
      <c r="K225" s="5"/>
      <c r="L225" s="5"/>
      <c r="M225" s="5"/>
      <c r="N225" s="18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45">
      <c r="A226" s="48" t="s">
        <v>173</v>
      </c>
      <c r="B226" s="188" t="str">
        <f>IF('Données projet'!$B$17="","",'Données projet'!$B$17)</f>
        <v/>
      </c>
      <c r="C226" s="5"/>
      <c r="D226" s="5"/>
      <c r="E226" s="5"/>
      <c r="F226" s="217"/>
      <c r="G226" s="229"/>
      <c r="H226" s="25"/>
      <c r="I226" s="5"/>
      <c r="J226" s="5"/>
      <c r="K226" s="5"/>
      <c r="L226" s="5"/>
      <c r="M226" s="5"/>
      <c r="N226" s="18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45">
      <c r="A227" s="48"/>
      <c r="B227" s="5"/>
      <c r="C227" s="5"/>
      <c r="D227" s="5"/>
      <c r="E227" s="5"/>
      <c r="F227" s="217"/>
      <c r="G227" s="229"/>
      <c r="H227" s="25"/>
      <c r="I227" s="5"/>
      <c r="J227" s="5"/>
      <c r="K227" s="5"/>
      <c r="L227" s="5"/>
      <c r="M227" s="5"/>
      <c r="N227" s="18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45">
      <c r="A228" s="187" t="s">
        <v>180</v>
      </c>
      <c r="B228" s="50" t="s">
        <v>256</v>
      </c>
      <c r="C228" s="50" t="s">
        <v>255</v>
      </c>
      <c r="D228" s="187" t="s">
        <v>252</v>
      </c>
      <c r="E228" s="187" t="s">
        <v>288</v>
      </c>
      <c r="F228" s="219"/>
      <c r="G228" s="230"/>
      <c r="H228" s="25"/>
      <c r="I228" s="5"/>
      <c r="J228" s="5"/>
      <c r="K228" s="5"/>
      <c r="L228" s="5"/>
      <c r="M228" s="5"/>
      <c r="N228" s="18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45">
      <c r="A229" s="213">
        <v>0</v>
      </c>
      <c r="B229" s="216" t="s">
        <v>132</v>
      </c>
      <c r="C229" s="215" t="s">
        <v>132</v>
      </c>
      <c r="D229" s="214" t="s">
        <v>132</v>
      </c>
      <c r="E229" s="209"/>
      <c r="F229" s="219"/>
      <c r="G229" s="230"/>
      <c r="H229" s="25"/>
      <c r="I229" s="5"/>
      <c r="J229" s="5"/>
      <c r="K229" s="5"/>
      <c r="L229" s="5"/>
      <c r="M229" s="5"/>
      <c r="N229" s="18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45">
      <c r="A230" s="194">
        <f>'Données projet'!A244</f>
        <v>0</v>
      </c>
      <c r="B230" s="195">
        <f>'Données projet'!D244</f>
        <v>0</v>
      </c>
      <c r="C230" s="209"/>
      <c r="D230" s="193">
        <f>B230*C230</f>
        <v>0</v>
      </c>
      <c r="E230" s="209"/>
      <c r="F230" s="220"/>
      <c r="G230" s="231"/>
      <c r="H230" s="25"/>
      <c r="I230" s="5"/>
      <c r="J230" s="5"/>
      <c r="K230" s="5"/>
      <c r="L230" s="5"/>
      <c r="M230" s="5"/>
      <c r="N230" s="18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45">
      <c r="A231" s="194">
        <f>'Données projet'!A245</f>
        <v>0</v>
      </c>
      <c r="B231" s="195">
        <f>'Données projet'!D245</f>
        <v>0</v>
      </c>
      <c r="C231" s="209"/>
      <c r="D231" s="193">
        <f t="shared" ref="D231:D249" si="15">B231*C231</f>
        <v>0</v>
      </c>
      <c r="E231" s="209"/>
      <c r="F231" s="220"/>
      <c r="G231" s="231"/>
      <c r="H231" s="25"/>
      <c r="I231" s="5"/>
      <c r="J231" s="5"/>
      <c r="K231" s="5"/>
      <c r="L231" s="5"/>
      <c r="M231" s="5"/>
      <c r="N231" s="18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45">
      <c r="A232" s="194">
        <f>'Données projet'!A246</f>
        <v>0</v>
      </c>
      <c r="B232" s="195">
        <f>'Données projet'!D246</f>
        <v>0</v>
      </c>
      <c r="C232" s="209"/>
      <c r="D232" s="193">
        <f t="shared" si="15"/>
        <v>0</v>
      </c>
      <c r="E232" s="209"/>
      <c r="F232" s="220"/>
      <c r="G232" s="231"/>
      <c r="H232" s="25"/>
      <c r="I232" s="5"/>
      <c r="J232" s="5"/>
      <c r="K232" s="5"/>
      <c r="L232" s="5"/>
      <c r="M232" s="5"/>
      <c r="N232" s="18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45">
      <c r="A233" s="194">
        <f>'Données projet'!A247</f>
        <v>0</v>
      </c>
      <c r="B233" s="195">
        <f>'Données projet'!D247</f>
        <v>0</v>
      </c>
      <c r="C233" s="209"/>
      <c r="D233" s="193">
        <f t="shared" si="15"/>
        <v>0</v>
      </c>
      <c r="E233" s="209"/>
      <c r="F233" s="220"/>
      <c r="G233" s="231"/>
      <c r="H233" s="25"/>
      <c r="I233" s="5"/>
      <c r="J233" s="5"/>
      <c r="K233" s="5"/>
      <c r="L233" s="5"/>
      <c r="M233" s="5"/>
      <c r="N233" s="18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45">
      <c r="A234" s="194">
        <f>'Données projet'!A248</f>
        <v>0</v>
      </c>
      <c r="B234" s="195">
        <f>'Données projet'!D248</f>
        <v>0</v>
      </c>
      <c r="C234" s="209"/>
      <c r="D234" s="193">
        <f t="shared" si="15"/>
        <v>0</v>
      </c>
      <c r="E234" s="209"/>
      <c r="F234" s="220"/>
      <c r="G234" s="231"/>
      <c r="H234" s="25"/>
      <c r="I234" s="5"/>
      <c r="J234" s="5"/>
      <c r="K234" s="5"/>
      <c r="L234" s="5"/>
      <c r="M234" s="5"/>
      <c r="N234" s="18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45">
      <c r="A235" s="194">
        <f>'Données projet'!A249</f>
        <v>0</v>
      </c>
      <c r="B235" s="195">
        <f>'Données projet'!D249</f>
        <v>0</v>
      </c>
      <c r="C235" s="209"/>
      <c r="D235" s="193">
        <f t="shared" si="15"/>
        <v>0</v>
      </c>
      <c r="E235" s="209"/>
      <c r="F235" s="220"/>
      <c r="G235" s="231"/>
      <c r="H235" s="25"/>
      <c r="I235" s="5"/>
      <c r="J235" s="5"/>
      <c r="K235" s="5"/>
      <c r="L235" s="5"/>
      <c r="M235" s="5"/>
      <c r="N235" s="18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45">
      <c r="A236" s="194">
        <f>'Données projet'!A250</f>
        <v>0</v>
      </c>
      <c r="B236" s="195">
        <f>'Données projet'!D250</f>
        <v>0</v>
      </c>
      <c r="C236" s="209"/>
      <c r="D236" s="193">
        <f t="shared" si="15"/>
        <v>0</v>
      </c>
      <c r="E236" s="209"/>
      <c r="F236" s="220"/>
      <c r="G236" s="231"/>
      <c r="H236" s="25"/>
      <c r="I236" s="5"/>
      <c r="J236" s="5"/>
      <c r="K236" s="5"/>
      <c r="L236" s="5"/>
      <c r="M236" s="5"/>
      <c r="N236" s="18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45">
      <c r="A237" s="194">
        <f>'Données projet'!A251</f>
        <v>0</v>
      </c>
      <c r="B237" s="195">
        <f>'Données projet'!D251</f>
        <v>0</v>
      </c>
      <c r="C237" s="209"/>
      <c r="D237" s="193">
        <f t="shared" si="15"/>
        <v>0</v>
      </c>
      <c r="E237" s="209"/>
      <c r="F237" s="220"/>
      <c r="G237" s="231"/>
      <c r="H237" s="25"/>
      <c r="I237" s="5"/>
      <c r="J237" s="5"/>
      <c r="K237" s="5"/>
      <c r="L237" s="5"/>
      <c r="M237" s="5"/>
      <c r="N237" s="18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45">
      <c r="A238" s="194">
        <f>'Données projet'!A252</f>
        <v>0</v>
      </c>
      <c r="B238" s="195">
        <f>'Données projet'!D252</f>
        <v>0</v>
      </c>
      <c r="C238" s="209"/>
      <c r="D238" s="193">
        <f t="shared" si="15"/>
        <v>0</v>
      </c>
      <c r="E238" s="209"/>
      <c r="F238" s="220"/>
      <c r="G238" s="231"/>
      <c r="H238" s="25"/>
      <c r="I238" s="5"/>
      <c r="J238" s="5"/>
      <c r="K238" s="5"/>
      <c r="L238" s="5"/>
      <c r="M238" s="5"/>
      <c r="N238" s="18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45">
      <c r="A239" s="194">
        <f>'Données projet'!A253</f>
        <v>0</v>
      </c>
      <c r="B239" s="195">
        <f>'Données projet'!D253</f>
        <v>0</v>
      </c>
      <c r="C239" s="209"/>
      <c r="D239" s="193">
        <f t="shared" si="15"/>
        <v>0</v>
      </c>
      <c r="E239" s="209"/>
      <c r="F239" s="220"/>
      <c r="G239" s="231"/>
      <c r="H239" s="25"/>
      <c r="I239" s="5"/>
      <c r="J239" s="5"/>
      <c r="K239" s="5"/>
      <c r="L239" s="5"/>
      <c r="M239" s="5"/>
      <c r="N239" s="18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45">
      <c r="A240" s="194">
        <f>'Données projet'!A254</f>
        <v>0</v>
      </c>
      <c r="B240" s="195">
        <f>'Données projet'!D254</f>
        <v>0</v>
      </c>
      <c r="C240" s="209"/>
      <c r="D240" s="193">
        <f t="shared" si="15"/>
        <v>0</v>
      </c>
      <c r="E240" s="209"/>
      <c r="F240" s="220"/>
      <c r="G240" s="231"/>
      <c r="H240" s="25"/>
      <c r="I240" s="5"/>
      <c r="J240" s="5"/>
      <c r="K240" s="5"/>
      <c r="L240" s="5"/>
      <c r="M240" s="5"/>
      <c r="N240" s="18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45">
      <c r="A241" s="194">
        <f>'Données projet'!A255</f>
        <v>0</v>
      </c>
      <c r="B241" s="195">
        <f>'Données projet'!D255</f>
        <v>0</v>
      </c>
      <c r="C241" s="209"/>
      <c r="D241" s="193">
        <f t="shared" si="15"/>
        <v>0</v>
      </c>
      <c r="E241" s="209"/>
      <c r="F241" s="220"/>
      <c r="G241" s="231"/>
      <c r="H241" s="25"/>
      <c r="I241" s="5"/>
      <c r="J241" s="5"/>
      <c r="K241" s="5"/>
      <c r="L241" s="5"/>
      <c r="M241" s="5"/>
      <c r="N241" s="18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45">
      <c r="A242" s="194">
        <f>'Données projet'!A256</f>
        <v>0</v>
      </c>
      <c r="B242" s="195">
        <f>'Données projet'!D256</f>
        <v>0</v>
      </c>
      <c r="C242" s="209"/>
      <c r="D242" s="193">
        <f t="shared" si="15"/>
        <v>0</v>
      </c>
      <c r="E242" s="209"/>
      <c r="F242" s="220"/>
      <c r="G242" s="231"/>
      <c r="H242" s="25"/>
      <c r="I242" s="5"/>
      <c r="J242" s="5"/>
      <c r="K242" s="5"/>
      <c r="L242" s="5"/>
      <c r="M242" s="5"/>
      <c r="N242" s="18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45">
      <c r="A243" s="194">
        <f>'Données projet'!A257</f>
        <v>0</v>
      </c>
      <c r="B243" s="195">
        <f>'Données projet'!D257</f>
        <v>0</v>
      </c>
      <c r="C243" s="209"/>
      <c r="D243" s="193">
        <f t="shared" si="15"/>
        <v>0</v>
      </c>
      <c r="E243" s="209"/>
      <c r="F243" s="220"/>
      <c r="G243" s="231"/>
      <c r="H243" s="25"/>
      <c r="I243" s="5"/>
      <c r="J243" s="5"/>
      <c r="K243" s="5"/>
      <c r="L243" s="5"/>
      <c r="M243" s="5"/>
      <c r="N243" s="18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45">
      <c r="A244" s="194">
        <f>'Données projet'!A258</f>
        <v>0</v>
      </c>
      <c r="B244" s="195">
        <f>'Données projet'!D258</f>
        <v>0</v>
      </c>
      <c r="C244" s="209"/>
      <c r="D244" s="193">
        <f t="shared" si="15"/>
        <v>0</v>
      </c>
      <c r="E244" s="209"/>
      <c r="F244" s="220"/>
      <c r="G244" s="231"/>
      <c r="H244" s="25"/>
      <c r="I244" s="5"/>
      <c r="J244" s="5"/>
      <c r="K244" s="5"/>
      <c r="L244" s="5"/>
      <c r="M244" s="5"/>
      <c r="N244" s="18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45">
      <c r="A245" s="194">
        <f>'Données projet'!A259</f>
        <v>0</v>
      </c>
      <c r="B245" s="195">
        <f>'Données projet'!D259</f>
        <v>0</v>
      </c>
      <c r="C245" s="209"/>
      <c r="D245" s="193">
        <f t="shared" si="15"/>
        <v>0</v>
      </c>
      <c r="E245" s="209"/>
      <c r="F245" s="220"/>
      <c r="G245" s="231"/>
      <c r="H245" s="25"/>
      <c r="I245" s="5"/>
      <c r="J245" s="5"/>
      <c r="K245" s="5"/>
      <c r="L245" s="5"/>
      <c r="M245" s="5"/>
      <c r="N245" s="18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45">
      <c r="A246" s="194">
        <f>'Données projet'!A260</f>
        <v>0</v>
      </c>
      <c r="B246" s="195">
        <f>'Données projet'!D260</f>
        <v>0</v>
      </c>
      <c r="C246" s="209"/>
      <c r="D246" s="193">
        <f t="shared" si="15"/>
        <v>0</v>
      </c>
      <c r="E246" s="209"/>
      <c r="F246" s="220"/>
      <c r="G246" s="231"/>
      <c r="H246" s="25"/>
      <c r="I246" s="5"/>
      <c r="J246" s="5"/>
      <c r="K246" s="5"/>
      <c r="L246" s="5"/>
      <c r="M246" s="5"/>
      <c r="N246" s="18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45">
      <c r="A247" s="194">
        <f>'Données projet'!A261</f>
        <v>0</v>
      </c>
      <c r="B247" s="195">
        <f>'Données projet'!D261</f>
        <v>0</v>
      </c>
      <c r="C247" s="209"/>
      <c r="D247" s="193">
        <f t="shared" si="15"/>
        <v>0</v>
      </c>
      <c r="E247" s="209"/>
      <c r="F247" s="220"/>
      <c r="G247" s="231"/>
      <c r="H247" s="25"/>
      <c r="I247" s="5"/>
      <c r="J247" s="5"/>
      <c r="K247" s="5"/>
      <c r="L247" s="5"/>
      <c r="M247" s="5"/>
      <c r="N247" s="18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45">
      <c r="A248" s="194">
        <f>'Données projet'!A262</f>
        <v>0</v>
      </c>
      <c r="B248" s="195">
        <f>'Données projet'!D262</f>
        <v>0</v>
      </c>
      <c r="C248" s="209"/>
      <c r="D248" s="193">
        <f t="shared" si="15"/>
        <v>0</v>
      </c>
      <c r="E248" s="209"/>
      <c r="F248" s="220"/>
      <c r="G248" s="231"/>
      <c r="H248" s="25"/>
      <c r="I248" s="5"/>
      <c r="J248" s="5"/>
      <c r="K248" s="5"/>
      <c r="L248" s="5"/>
      <c r="M248" s="5"/>
      <c r="N248" s="18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45">
      <c r="A249" s="194">
        <f>'Données projet'!A263</f>
        <v>0</v>
      </c>
      <c r="B249" s="195">
        <f>'Données projet'!D263</f>
        <v>0</v>
      </c>
      <c r="C249" s="209"/>
      <c r="D249" s="193">
        <f t="shared" si="15"/>
        <v>0</v>
      </c>
      <c r="E249" s="209"/>
      <c r="F249" s="220"/>
      <c r="G249" s="231"/>
      <c r="H249" s="25"/>
      <c r="I249" s="5"/>
      <c r="J249" s="5"/>
      <c r="K249" s="5"/>
      <c r="L249" s="5"/>
      <c r="M249" s="5"/>
      <c r="N249" s="18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45">
      <c r="A250" s="5"/>
      <c r="B250" s="5"/>
      <c r="C250" s="5"/>
      <c r="D250" s="5"/>
      <c r="E250" s="5"/>
      <c r="F250" s="217"/>
      <c r="G250" s="229"/>
      <c r="H250" s="25"/>
      <c r="I250" s="5"/>
      <c r="J250" s="5"/>
      <c r="K250" s="5"/>
      <c r="L250" s="5"/>
      <c r="M250" s="5"/>
      <c r="N250" s="18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45">
      <c r="A251" s="5"/>
      <c r="B251" s="5"/>
      <c r="C251" s="5"/>
      <c r="D251" s="5"/>
      <c r="E251" s="5"/>
      <c r="F251" s="217"/>
      <c r="G251" s="229"/>
      <c r="H251" s="25"/>
      <c r="I251" s="5"/>
      <c r="J251" s="5"/>
      <c r="K251" s="5"/>
      <c r="L251" s="5"/>
      <c r="M251" s="5"/>
      <c r="N251" s="18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45">
      <c r="A252" s="48" t="s">
        <v>174</v>
      </c>
      <c r="B252" s="188" t="str">
        <f>IF('Données projet'!$B$18="","",'Données projet'!$B$18)</f>
        <v/>
      </c>
      <c r="C252" s="5"/>
      <c r="D252" s="5"/>
      <c r="E252" s="5"/>
      <c r="F252" s="217"/>
      <c r="G252" s="229"/>
      <c r="H252" s="25"/>
      <c r="I252" s="5"/>
      <c r="J252" s="5"/>
      <c r="K252" s="5"/>
      <c r="L252" s="5"/>
      <c r="M252" s="5"/>
      <c r="N252" s="18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45">
      <c r="A253" s="48"/>
      <c r="B253" s="5"/>
      <c r="C253" s="5"/>
      <c r="D253" s="5"/>
      <c r="E253" s="5"/>
      <c r="F253" s="217"/>
      <c r="G253" s="229"/>
      <c r="H253" s="25"/>
      <c r="I253" s="5"/>
      <c r="J253" s="5"/>
      <c r="K253" s="5"/>
      <c r="L253" s="5"/>
      <c r="M253" s="5"/>
      <c r="N253" s="18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45">
      <c r="A254" s="187" t="s">
        <v>180</v>
      </c>
      <c r="B254" s="50" t="s">
        <v>256</v>
      </c>
      <c r="C254" s="50" t="s">
        <v>255</v>
      </c>
      <c r="D254" s="187" t="s">
        <v>252</v>
      </c>
      <c r="E254" s="187" t="s">
        <v>288</v>
      </c>
      <c r="F254" s="219"/>
      <c r="G254" s="230"/>
      <c r="H254" s="25"/>
      <c r="I254" s="5"/>
      <c r="J254" s="5"/>
      <c r="K254" s="5"/>
      <c r="L254" s="5"/>
      <c r="M254" s="5"/>
      <c r="N254" s="18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45">
      <c r="A255" s="213">
        <v>0</v>
      </c>
      <c r="B255" s="216" t="s">
        <v>132</v>
      </c>
      <c r="C255" s="215" t="s">
        <v>132</v>
      </c>
      <c r="D255" s="214" t="s">
        <v>132</v>
      </c>
      <c r="E255" s="209"/>
      <c r="F255" s="219"/>
      <c r="G255" s="230"/>
      <c r="H255" s="25"/>
      <c r="I255" s="5"/>
      <c r="J255" s="5"/>
      <c r="K255" s="5"/>
      <c r="L255" s="5"/>
      <c r="M255" s="5"/>
      <c r="N255" s="18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45">
      <c r="A256" s="194">
        <f>'Données projet'!A270</f>
        <v>0</v>
      </c>
      <c r="B256" s="195">
        <f>'Données projet'!D270</f>
        <v>0</v>
      </c>
      <c r="C256" s="207"/>
      <c r="D256" s="196">
        <f>B256*C256</f>
        <v>0</v>
      </c>
      <c r="E256" s="209"/>
      <c r="F256" s="218"/>
      <c r="G256" s="226"/>
      <c r="H256" s="25"/>
      <c r="I256" s="5"/>
      <c r="J256" s="5"/>
      <c r="K256" s="5"/>
      <c r="L256" s="5"/>
      <c r="M256" s="5"/>
      <c r="N256" s="18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45">
      <c r="A257" s="194">
        <f>'Données projet'!A271</f>
        <v>0</v>
      </c>
      <c r="B257" s="195">
        <f>'Données projet'!D271</f>
        <v>0</v>
      </c>
      <c r="C257" s="207"/>
      <c r="D257" s="196">
        <f t="shared" ref="D257:D275" si="16">B257*C257</f>
        <v>0</v>
      </c>
      <c r="E257" s="209"/>
      <c r="F257" s="218"/>
      <c r="G257" s="226"/>
      <c r="H257" s="25"/>
      <c r="I257" s="5"/>
      <c r="J257" s="5"/>
      <c r="K257" s="5"/>
      <c r="L257" s="5"/>
      <c r="M257" s="5"/>
      <c r="N257" s="18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45">
      <c r="A258" s="194">
        <f>'Données projet'!A272</f>
        <v>0</v>
      </c>
      <c r="B258" s="195">
        <f>'Données projet'!D272</f>
        <v>0</v>
      </c>
      <c r="C258" s="207"/>
      <c r="D258" s="196">
        <f t="shared" si="16"/>
        <v>0</v>
      </c>
      <c r="E258" s="209"/>
      <c r="F258" s="218"/>
      <c r="G258" s="226"/>
      <c r="H258" s="25"/>
      <c r="I258" s="5"/>
      <c r="J258" s="5"/>
      <c r="K258" s="5"/>
      <c r="L258" s="5"/>
      <c r="M258" s="5"/>
      <c r="N258" s="18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45">
      <c r="A259" s="194">
        <f>'Données projet'!A273</f>
        <v>0</v>
      </c>
      <c r="B259" s="195">
        <f>'Données projet'!D273</f>
        <v>0</v>
      </c>
      <c r="C259" s="207"/>
      <c r="D259" s="196">
        <f t="shared" si="16"/>
        <v>0</v>
      </c>
      <c r="E259" s="209"/>
      <c r="F259" s="218"/>
      <c r="G259" s="226"/>
      <c r="H259" s="25"/>
      <c r="I259" s="5"/>
      <c r="J259" s="5"/>
      <c r="K259" s="5"/>
      <c r="L259" s="5"/>
      <c r="M259" s="5"/>
      <c r="N259" s="18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45">
      <c r="A260" s="194">
        <f>'Données projet'!A274</f>
        <v>0</v>
      </c>
      <c r="B260" s="195">
        <f>'Données projet'!D274</f>
        <v>0</v>
      </c>
      <c r="C260" s="207"/>
      <c r="D260" s="196">
        <f t="shared" si="16"/>
        <v>0</v>
      </c>
      <c r="E260" s="209"/>
      <c r="F260" s="218"/>
      <c r="G260" s="226"/>
      <c r="H260" s="25"/>
      <c r="I260" s="5"/>
      <c r="J260" s="5"/>
      <c r="K260" s="5"/>
      <c r="L260" s="5"/>
      <c r="M260" s="5"/>
      <c r="N260" s="18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45">
      <c r="A261" s="194">
        <f>'Données projet'!A275</f>
        <v>0</v>
      </c>
      <c r="B261" s="195">
        <f>'Données projet'!D275</f>
        <v>0</v>
      </c>
      <c r="C261" s="207"/>
      <c r="D261" s="196">
        <f t="shared" si="16"/>
        <v>0</v>
      </c>
      <c r="E261" s="209"/>
      <c r="F261" s="218"/>
      <c r="G261" s="226"/>
      <c r="H261" s="25"/>
      <c r="I261" s="5"/>
      <c r="J261" s="5"/>
      <c r="K261" s="5"/>
      <c r="L261" s="5"/>
      <c r="M261" s="5"/>
      <c r="N261" s="18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45">
      <c r="A262" s="194">
        <f>'Données projet'!A276</f>
        <v>0</v>
      </c>
      <c r="B262" s="195">
        <f>'Données projet'!D276</f>
        <v>0</v>
      </c>
      <c r="C262" s="207"/>
      <c r="D262" s="196">
        <f t="shared" si="16"/>
        <v>0</v>
      </c>
      <c r="E262" s="209"/>
      <c r="F262" s="218"/>
      <c r="G262" s="226"/>
      <c r="H262" s="25"/>
      <c r="I262" s="5"/>
      <c r="J262" s="5"/>
      <c r="K262" s="5"/>
      <c r="L262" s="5"/>
      <c r="M262" s="5"/>
      <c r="N262" s="18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45">
      <c r="A263" s="194">
        <f>'Données projet'!A277</f>
        <v>0</v>
      </c>
      <c r="B263" s="195">
        <f>'Données projet'!D277</f>
        <v>0</v>
      </c>
      <c r="C263" s="207"/>
      <c r="D263" s="196">
        <f t="shared" si="16"/>
        <v>0</v>
      </c>
      <c r="E263" s="209"/>
      <c r="F263" s="218"/>
      <c r="G263" s="226"/>
      <c r="H263" s="25"/>
      <c r="I263" s="5"/>
      <c r="J263" s="5"/>
      <c r="K263" s="5"/>
      <c r="L263" s="5"/>
      <c r="M263" s="5"/>
      <c r="N263" s="18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45">
      <c r="A264" s="194">
        <f>'Données projet'!A278</f>
        <v>0</v>
      </c>
      <c r="B264" s="195">
        <f>'Données projet'!D278</f>
        <v>0</v>
      </c>
      <c r="C264" s="207"/>
      <c r="D264" s="196">
        <f t="shared" si="16"/>
        <v>0</v>
      </c>
      <c r="E264" s="209"/>
      <c r="F264" s="218"/>
      <c r="G264" s="226"/>
      <c r="H264" s="25"/>
      <c r="I264" s="5"/>
      <c r="J264" s="5"/>
      <c r="K264" s="5"/>
      <c r="L264" s="5"/>
      <c r="M264" s="5"/>
      <c r="N264" s="18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45">
      <c r="A265" s="194">
        <f>'Données projet'!A279</f>
        <v>0</v>
      </c>
      <c r="B265" s="195">
        <f>'Données projet'!D279</f>
        <v>0</v>
      </c>
      <c r="C265" s="207"/>
      <c r="D265" s="196">
        <f t="shared" si="16"/>
        <v>0</v>
      </c>
      <c r="E265" s="209"/>
      <c r="F265" s="218"/>
      <c r="G265" s="226"/>
      <c r="H265" s="25"/>
      <c r="I265" s="5"/>
      <c r="J265" s="5"/>
      <c r="K265" s="5"/>
      <c r="L265" s="5"/>
      <c r="M265" s="5"/>
      <c r="N265" s="18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45">
      <c r="A266" s="194">
        <f>'Données projet'!A280</f>
        <v>0</v>
      </c>
      <c r="B266" s="195">
        <f>'Données projet'!D280</f>
        <v>0</v>
      </c>
      <c r="C266" s="207"/>
      <c r="D266" s="196">
        <f t="shared" si="16"/>
        <v>0</v>
      </c>
      <c r="E266" s="209"/>
      <c r="F266" s="218"/>
      <c r="G266" s="226"/>
      <c r="H266" s="25"/>
      <c r="I266" s="5"/>
      <c r="J266" s="5"/>
      <c r="K266" s="5"/>
      <c r="L266" s="5"/>
      <c r="M266" s="5"/>
      <c r="N266" s="18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45">
      <c r="A267" s="194">
        <f>'Données projet'!A281</f>
        <v>0</v>
      </c>
      <c r="B267" s="195">
        <f>'Données projet'!D281</f>
        <v>0</v>
      </c>
      <c r="C267" s="207"/>
      <c r="D267" s="196">
        <f t="shared" si="16"/>
        <v>0</v>
      </c>
      <c r="E267" s="209"/>
      <c r="F267" s="218"/>
      <c r="G267" s="226"/>
      <c r="H267" s="25"/>
      <c r="I267" s="5"/>
      <c r="J267" s="5"/>
      <c r="K267" s="5"/>
      <c r="L267" s="5"/>
      <c r="M267" s="5"/>
      <c r="N267" s="18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45">
      <c r="A268" s="194">
        <f>'Données projet'!A282</f>
        <v>0</v>
      </c>
      <c r="B268" s="195">
        <f>'Données projet'!D282</f>
        <v>0</v>
      </c>
      <c r="C268" s="207"/>
      <c r="D268" s="196">
        <f t="shared" si="16"/>
        <v>0</v>
      </c>
      <c r="E268" s="209"/>
      <c r="F268" s="218"/>
      <c r="G268" s="226"/>
      <c r="H268" s="25"/>
      <c r="I268" s="5"/>
      <c r="J268" s="5"/>
      <c r="K268" s="5"/>
      <c r="L268" s="5"/>
      <c r="M268" s="5"/>
      <c r="N268" s="18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45">
      <c r="A269" s="194">
        <f>'Données projet'!A283</f>
        <v>0</v>
      </c>
      <c r="B269" s="195">
        <f>'Données projet'!D283</f>
        <v>0</v>
      </c>
      <c r="C269" s="207"/>
      <c r="D269" s="196">
        <f t="shared" si="16"/>
        <v>0</v>
      </c>
      <c r="E269" s="209"/>
      <c r="F269" s="218"/>
      <c r="G269" s="226"/>
      <c r="H269" s="25"/>
      <c r="I269" s="5"/>
      <c r="J269" s="5"/>
      <c r="K269" s="5"/>
      <c r="L269" s="5"/>
      <c r="M269" s="5"/>
      <c r="N269" s="18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45">
      <c r="A270" s="194">
        <f>'Données projet'!A284</f>
        <v>0</v>
      </c>
      <c r="B270" s="195">
        <f>'Données projet'!D284</f>
        <v>0</v>
      </c>
      <c r="C270" s="207"/>
      <c r="D270" s="196">
        <f t="shared" si="16"/>
        <v>0</v>
      </c>
      <c r="E270" s="209"/>
      <c r="F270" s="218"/>
      <c r="G270" s="226"/>
      <c r="H270" s="25"/>
      <c r="I270" s="5"/>
      <c r="J270" s="5"/>
      <c r="K270" s="5"/>
      <c r="L270" s="5"/>
      <c r="M270" s="5"/>
      <c r="N270" s="18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45">
      <c r="A271" s="194">
        <f>'Données projet'!A285</f>
        <v>0</v>
      </c>
      <c r="B271" s="195">
        <f>'Données projet'!D285</f>
        <v>0</v>
      </c>
      <c r="C271" s="207"/>
      <c r="D271" s="196">
        <f t="shared" si="16"/>
        <v>0</v>
      </c>
      <c r="E271" s="209"/>
      <c r="F271" s="218"/>
      <c r="G271" s="226"/>
      <c r="H271" s="25"/>
      <c r="I271" s="5"/>
      <c r="J271" s="5"/>
      <c r="K271" s="5"/>
      <c r="L271" s="5"/>
      <c r="M271" s="5"/>
      <c r="N271" s="18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45">
      <c r="A272" s="194">
        <f>'Données projet'!A286</f>
        <v>0</v>
      </c>
      <c r="B272" s="195">
        <f>'Données projet'!D286</f>
        <v>0</v>
      </c>
      <c r="C272" s="207"/>
      <c r="D272" s="196">
        <f t="shared" si="16"/>
        <v>0</v>
      </c>
      <c r="E272" s="209"/>
      <c r="F272" s="218"/>
      <c r="G272" s="226"/>
      <c r="H272" s="25"/>
      <c r="I272" s="5"/>
      <c r="J272" s="5"/>
      <c r="K272" s="5"/>
      <c r="L272" s="5"/>
      <c r="M272" s="5"/>
      <c r="N272" s="18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45">
      <c r="A273" s="194">
        <f>'Données projet'!A287</f>
        <v>0</v>
      </c>
      <c r="B273" s="195">
        <f>'Données projet'!D287</f>
        <v>0</v>
      </c>
      <c r="C273" s="207"/>
      <c r="D273" s="196">
        <f t="shared" si="16"/>
        <v>0</v>
      </c>
      <c r="E273" s="209"/>
      <c r="F273" s="218"/>
      <c r="G273" s="226"/>
      <c r="H273" s="25"/>
      <c r="I273" s="5"/>
      <c r="J273" s="5"/>
      <c r="K273" s="5"/>
      <c r="L273" s="5"/>
      <c r="M273" s="5"/>
      <c r="N273" s="18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45">
      <c r="A274" s="194">
        <f>'Données projet'!A288</f>
        <v>0</v>
      </c>
      <c r="B274" s="195">
        <f>'Données projet'!D288</f>
        <v>0</v>
      </c>
      <c r="C274" s="207"/>
      <c r="D274" s="196">
        <f t="shared" si="16"/>
        <v>0</v>
      </c>
      <c r="E274" s="209"/>
      <c r="F274" s="218"/>
      <c r="G274" s="226"/>
      <c r="H274" s="25"/>
      <c r="I274" s="5"/>
      <c r="J274" s="5"/>
      <c r="K274" s="5"/>
      <c r="L274" s="5"/>
      <c r="M274" s="5"/>
      <c r="N274" s="18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45">
      <c r="A275" s="194">
        <f>'Données projet'!A289</f>
        <v>0</v>
      </c>
      <c r="B275" s="195">
        <f>'Données projet'!D289</f>
        <v>0</v>
      </c>
      <c r="C275" s="212"/>
      <c r="D275" s="196">
        <f t="shared" si="16"/>
        <v>0</v>
      </c>
      <c r="E275" s="209"/>
      <c r="F275" s="218"/>
      <c r="G275" s="226"/>
      <c r="H275" s="25"/>
      <c r="I275" s="5"/>
      <c r="J275" s="5"/>
      <c r="K275" s="5"/>
      <c r="L275" s="5"/>
      <c r="M275" s="5"/>
      <c r="N275" s="18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45">
      <c r="A276" s="5"/>
      <c r="B276" s="5"/>
      <c r="C276" s="5"/>
      <c r="D276" s="5"/>
      <c r="E276" s="5"/>
      <c r="F276" s="243"/>
      <c r="G276" s="243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45">
      <c r="A277" s="5"/>
      <c r="B277" s="5"/>
      <c r="C277" s="5"/>
      <c r="D277" s="5"/>
      <c r="E277" s="5"/>
      <c r="F277" s="243"/>
      <c r="G277" s="243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45">
      <c r="A278" s="5"/>
      <c r="B278" s="5"/>
      <c r="C278" s="5"/>
      <c r="D278" s="5"/>
      <c r="E278" s="5"/>
      <c r="F278" s="243"/>
      <c r="G278" s="243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45">
      <c r="A279" s="5"/>
      <c r="B279" s="5"/>
      <c r="C279" s="5"/>
      <c r="D279" s="5"/>
      <c r="E279" s="5"/>
      <c r="F279" s="243"/>
      <c r="G279" s="243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45">
      <c r="A280" s="5"/>
      <c r="B280" s="5"/>
      <c r="C280" s="5"/>
      <c r="D280" s="5"/>
      <c r="E280" s="5"/>
      <c r="F280" s="243"/>
      <c r="G280" s="243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45">
      <c r="A281" s="5"/>
      <c r="B281" s="5"/>
      <c r="C281" s="5"/>
      <c r="D281" s="5"/>
      <c r="E281" s="5"/>
      <c r="F281" s="243"/>
      <c r="G281" s="243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45">
      <c r="A282" s="5"/>
      <c r="B282" s="5"/>
      <c r="C282" s="5"/>
      <c r="D282" s="5"/>
      <c r="E282" s="5"/>
      <c r="F282" s="243"/>
      <c r="G282" s="243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45">
      <c r="A283" s="5"/>
      <c r="B283" s="5"/>
      <c r="C283" s="5"/>
      <c r="D283" s="5"/>
      <c r="E283" s="5"/>
      <c r="F283" s="243"/>
      <c r="G283" s="243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45">
      <c r="A284" s="5"/>
      <c r="B284" s="5"/>
      <c r="C284" s="5"/>
      <c r="D284" s="5"/>
      <c r="E284" s="5"/>
      <c r="F284" s="243"/>
      <c r="G284" s="243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45">
      <c r="A285" s="5"/>
      <c r="B285" s="5"/>
      <c r="C285" s="5"/>
      <c r="D285" s="5"/>
      <c r="E285" s="5"/>
      <c r="F285" s="243"/>
      <c r="G285" s="243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45">
      <c r="A286" s="5"/>
      <c r="B286" s="5"/>
      <c r="C286" s="5"/>
      <c r="D286" s="5"/>
      <c r="E286" s="5"/>
      <c r="F286" s="243"/>
      <c r="G286" s="243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45">
      <c r="A287" s="5"/>
      <c r="B287" s="5"/>
      <c r="C287" s="5"/>
      <c r="D287" s="5"/>
      <c r="E287" s="5"/>
      <c r="F287" s="243"/>
      <c r="G287" s="243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45">
      <c r="A288" s="5"/>
      <c r="B288" s="5"/>
      <c r="C288" s="5"/>
      <c r="D288" s="5"/>
      <c r="E288" s="5"/>
      <c r="F288" s="243"/>
      <c r="G288" s="243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45">
      <c r="A289" s="5"/>
      <c r="B289" s="5"/>
      <c r="C289" s="5"/>
      <c r="D289" s="5"/>
      <c r="E289" s="5"/>
      <c r="F289" s="243"/>
      <c r="G289" s="243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45">
      <c r="A290" s="5"/>
      <c r="B290" s="5"/>
      <c r="C290" s="5"/>
      <c r="D290" s="5"/>
      <c r="E290" s="5"/>
      <c r="F290" s="243"/>
      <c r="G290" s="243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45">
      <c r="A291" s="5"/>
      <c r="B291" s="5"/>
      <c r="C291" s="5"/>
      <c r="D291" s="5"/>
      <c r="E291" s="5"/>
      <c r="F291" s="243"/>
      <c r="G291" s="243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45">
      <c r="A292" s="5"/>
      <c r="B292" s="5"/>
      <c r="C292" s="5"/>
      <c r="D292" s="5"/>
      <c r="E292" s="5"/>
      <c r="F292" s="243"/>
      <c r="G292" s="243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45">
      <c r="A293" s="5"/>
      <c r="B293" s="5"/>
      <c r="C293" s="5"/>
      <c r="D293" s="5"/>
      <c r="E293" s="5"/>
      <c r="F293" s="243"/>
      <c r="G293" s="243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45">
      <c r="A294" s="5"/>
      <c r="B294" s="5"/>
      <c r="C294" s="5"/>
      <c r="D294" s="5"/>
      <c r="E294" s="5"/>
      <c r="F294" s="243"/>
      <c r="G294" s="243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45">
      <c r="A295" s="5"/>
      <c r="B295" s="5"/>
      <c r="C295" s="5"/>
      <c r="D295" s="5"/>
      <c r="E295" s="5"/>
      <c r="F295" s="243"/>
      <c r="G295" s="243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45">
      <c r="A296" s="5"/>
      <c r="B296" s="5"/>
      <c r="C296" s="5"/>
      <c r="D296" s="5"/>
      <c r="E296" s="5"/>
      <c r="F296" s="243"/>
      <c r="G296" s="243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45">
      <c r="A297" s="5"/>
      <c r="B297" s="5"/>
      <c r="C297" s="5"/>
      <c r="D297" s="5"/>
      <c r="E297" s="5"/>
      <c r="F297" s="243"/>
      <c r="G297" s="243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45">
      <c r="A298" s="5"/>
      <c r="B298" s="5"/>
      <c r="C298" s="5"/>
      <c r="D298" s="5"/>
      <c r="E298" s="5"/>
      <c r="F298" s="243"/>
      <c r="G298" s="243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45">
      <c r="A299" s="5"/>
      <c r="B299" s="5"/>
      <c r="C299" s="5"/>
      <c r="D299" s="5"/>
      <c r="E299" s="5"/>
      <c r="F299" s="243"/>
      <c r="G299" s="243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45">
      <c r="A300" s="5"/>
      <c r="B300" s="5"/>
      <c r="C300" s="5"/>
      <c r="D300" s="5"/>
      <c r="E300" s="5"/>
      <c r="F300" s="243"/>
      <c r="G300" s="243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45">
      <c r="A301" s="5"/>
      <c r="B301" s="5"/>
      <c r="C301" s="5"/>
      <c r="D301" s="5"/>
      <c r="E301" s="5"/>
      <c r="F301" s="243"/>
      <c r="G301" s="243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45">
      <c r="A302" s="5"/>
      <c r="B302" s="5"/>
      <c r="C302" s="5"/>
      <c r="D302" s="5"/>
      <c r="E302" s="5"/>
      <c r="F302" s="243"/>
      <c r="G302" s="243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45">
      <c r="A303" s="5"/>
      <c r="B303" s="5"/>
      <c r="C303" s="5"/>
      <c r="D303" s="5"/>
      <c r="E303" s="5"/>
      <c r="F303" s="243"/>
      <c r="G303" s="243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45">
      <c r="A304" s="5"/>
      <c r="B304" s="5"/>
      <c r="C304" s="5"/>
      <c r="D304" s="5"/>
      <c r="E304" s="5"/>
      <c r="F304" s="243"/>
      <c r="G304" s="243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45">
      <c r="A305" s="5"/>
      <c r="B305" s="5"/>
      <c r="C305" s="5"/>
      <c r="D305" s="5"/>
      <c r="E305" s="5"/>
      <c r="F305" s="243"/>
      <c r="G305" s="243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45">
      <c r="A306" s="5"/>
      <c r="B306" s="5"/>
      <c r="C306" s="5"/>
      <c r="D306" s="5"/>
      <c r="E306" s="5"/>
      <c r="F306" s="243"/>
      <c r="G306" s="243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45">
      <c r="A307" s="5"/>
      <c r="B307" s="5"/>
      <c r="C307" s="5"/>
      <c r="D307" s="5"/>
      <c r="E307" s="5"/>
      <c r="F307" s="243"/>
      <c r="G307" s="243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45">
      <c r="A308" s="5"/>
      <c r="B308" s="5"/>
      <c r="C308" s="5"/>
      <c r="D308" s="5"/>
      <c r="E308" s="5"/>
      <c r="F308" s="243"/>
      <c r="G308" s="243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45">
      <c r="A309" s="5"/>
      <c r="B309" s="5"/>
      <c r="C309" s="5"/>
      <c r="D309" s="5"/>
      <c r="E309" s="5"/>
      <c r="F309" s="243"/>
      <c r="G309" s="243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45">
      <c r="A310" s="5"/>
      <c r="B310" s="5"/>
      <c r="C310" s="5"/>
      <c r="D310" s="5"/>
      <c r="E310" s="5"/>
      <c r="F310" s="243"/>
      <c r="G310" s="243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45">
      <c r="A311" s="5"/>
      <c r="B311" s="5"/>
      <c r="C311" s="5"/>
      <c r="D311" s="5"/>
      <c r="E311" s="5"/>
      <c r="F311" s="243"/>
      <c r="G311" s="243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45">
      <c r="A312" s="5"/>
      <c r="B312" s="5"/>
      <c r="C312" s="5"/>
      <c r="D312" s="5"/>
      <c r="E312" s="5"/>
      <c r="F312" s="243"/>
      <c r="G312" s="243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45">
      <c r="A313" s="5"/>
      <c r="B313" s="5"/>
      <c r="C313" s="5"/>
      <c r="D313" s="5"/>
      <c r="E313" s="5"/>
      <c r="F313" s="243"/>
      <c r="G313" s="243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45">
      <c r="A314" s="5"/>
      <c r="B314" s="5"/>
      <c r="C314" s="5"/>
      <c r="D314" s="5"/>
      <c r="E314" s="5"/>
      <c r="F314" s="243"/>
      <c r="G314" s="243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45">
      <c r="A315" s="5"/>
      <c r="B315" s="5"/>
      <c r="C315" s="5"/>
      <c r="D315" s="5"/>
      <c r="E315" s="5"/>
      <c r="F315" s="243"/>
      <c r="G315" s="243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45">
      <c r="A316" s="5"/>
      <c r="B316" s="5"/>
      <c r="C316" s="5"/>
      <c r="D316" s="5"/>
      <c r="E316" s="5"/>
      <c r="F316" s="243"/>
      <c r="G316" s="243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45">
      <c r="A317" s="5"/>
      <c r="B317" s="5"/>
      <c r="C317" s="5"/>
      <c r="D317" s="5"/>
      <c r="E317" s="5"/>
      <c r="F317" s="243"/>
      <c r="G317" s="243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45">
      <c r="A318" s="5"/>
      <c r="B318" s="5"/>
      <c r="C318" s="5"/>
      <c r="D318" s="5"/>
      <c r="E318" s="5"/>
      <c r="F318" s="243"/>
      <c r="G318" s="70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45">
      <c r="A319" s="5"/>
      <c r="B319" s="5"/>
      <c r="C319" s="5"/>
      <c r="D319" s="5"/>
      <c r="E319" s="5"/>
      <c r="F319" s="243"/>
      <c r="G319" s="70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45">
      <c r="A320" s="5"/>
      <c r="B320" s="5"/>
      <c r="C320" s="5"/>
      <c r="D320" s="5"/>
      <c r="E320" s="5"/>
      <c r="F320" s="243"/>
      <c r="G320" s="70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45">
      <c r="A321" s="5"/>
      <c r="B321" s="5"/>
      <c r="C321" s="5"/>
      <c r="D321" s="5"/>
      <c r="E321" s="5"/>
      <c r="F321" s="243"/>
      <c r="G321" s="70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45">
      <c r="A322" s="5"/>
      <c r="B322" s="5"/>
      <c r="C322" s="5"/>
      <c r="D322" s="5"/>
      <c r="E322" s="5"/>
      <c r="F322" s="243"/>
      <c r="G322" s="70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45">
      <c r="A323" s="5"/>
      <c r="B323" s="5"/>
      <c r="C323" s="5"/>
      <c r="D323" s="5"/>
      <c r="E323" s="5"/>
      <c r="F323" s="243"/>
      <c r="G323" s="70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45">
      <c r="A324" s="5"/>
      <c r="B324" s="5"/>
      <c r="C324" s="5"/>
      <c r="D324" s="5"/>
      <c r="E324" s="5"/>
      <c r="F324" s="243"/>
      <c r="G324" s="70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45">
      <c r="A325" s="5"/>
      <c r="B325" s="5"/>
      <c r="C325" s="5"/>
      <c r="D325" s="5"/>
      <c r="E325" s="5"/>
      <c r="F325" s="243"/>
      <c r="G325" s="70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45">
      <c r="A326" s="5"/>
      <c r="B326" s="5"/>
      <c r="C326" s="5"/>
      <c r="D326" s="5"/>
      <c r="E326" s="5"/>
      <c r="F326" s="243"/>
      <c r="G326" s="70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45">
      <c r="A327" s="5"/>
      <c r="B327" s="5"/>
      <c r="C327" s="5"/>
      <c r="D327" s="5"/>
      <c r="E327" s="5"/>
      <c r="F327" s="243"/>
      <c r="G327" s="70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45">
      <c r="A328" s="5"/>
      <c r="B328" s="5"/>
      <c r="C328" s="5"/>
      <c r="D328" s="5"/>
      <c r="E328" s="5"/>
      <c r="F328" s="243"/>
      <c r="G328" s="7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45">
      <c r="A329" s="5"/>
      <c r="B329" s="5"/>
      <c r="C329" s="5"/>
      <c r="D329" s="5"/>
      <c r="E329" s="5"/>
      <c r="F329" s="243"/>
      <c r="G329" s="7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45">
      <c r="A330" s="5"/>
      <c r="B330" s="5"/>
      <c r="C330" s="5"/>
      <c r="D330" s="5"/>
      <c r="E330" s="5"/>
      <c r="F330" s="243"/>
      <c r="G330" s="7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45">
      <c r="A331" s="5"/>
      <c r="B331" s="5"/>
      <c r="C331" s="5"/>
      <c r="D331" s="5"/>
      <c r="E331" s="5"/>
      <c r="F331" s="243"/>
      <c r="G331" s="7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45">
      <c r="A332" s="5"/>
      <c r="B332" s="5"/>
      <c r="C332" s="5"/>
      <c r="D332" s="5"/>
      <c r="E332" s="5"/>
      <c r="F332" s="243"/>
      <c r="G332" s="7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45">
      <c r="A333" s="5"/>
      <c r="B333" s="5"/>
      <c r="C333" s="5"/>
      <c r="D333" s="5"/>
      <c r="E333" s="5"/>
      <c r="F333" s="243"/>
      <c r="G333" s="7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45">
      <c r="A334" s="5"/>
      <c r="B334" s="5"/>
      <c r="C334" s="5"/>
      <c r="D334" s="5"/>
      <c r="E334" s="5"/>
      <c r="F334" s="243"/>
      <c r="G334" s="7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45">
      <c r="A335" s="5"/>
      <c r="B335" s="5"/>
      <c r="C335" s="5"/>
      <c r="D335" s="5"/>
      <c r="E335" s="5"/>
      <c r="F335" s="243"/>
      <c r="G335" s="7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45">
      <c r="A336" s="5"/>
      <c r="B336" s="5"/>
      <c r="C336" s="5"/>
      <c r="D336" s="5"/>
      <c r="E336" s="5"/>
      <c r="F336" s="243"/>
      <c r="G336" s="7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45">
      <c r="A337" s="5"/>
      <c r="B337" s="5"/>
      <c r="C337" s="5"/>
      <c r="D337" s="5"/>
      <c r="E337" s="5"/>
      <c r="F337" s="243"/>
      <c r="G337" s="7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45">
      <c r="A338" s="5"/>
      <c r="B338" s="5"/>
      <c r="C338" s="5"/>
      <c r="D338" s="5"/>
      <c r="E338" s="5"/>
      <c r="F338" s="243"/>
      <c r="G338" s="7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45">
      <c r="A339" s="5"/>
      <c r="B339" s="5"/>
      <c r="C339" s="5"/>
      <c r="D339" s="5"/>
      <c r="E339" s="5"/>
      <c r="F339" s="243"/>
      <c r="G339" s="7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45">
      <c r="A340" s="5"/>
      <c r="B340" s="5"/>
      <c r="C340" s="5"/>
      <c r="D340" s="5"/>
      <c r="E340" s="5"/>
      <c r="F340" s="243"/>
      <c r="G340" s="7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45">
      <c r="A341" s="5"/>
      <c r="B341" s="5"/>
      <c r="C341" s="5"/>
      <c r="D341" s="5"/>
      <c r="E341" s="5"/>
      <c r="F341" s="243"/>
      <c r="G341" s="7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45">
      <c r="A342" s="5"/>
      <c r="B342" s="5"/>
      <c r="C342" s="5"/>
      <c r="D342" s="5"/>
      <c r="E342" s="5"/>
      <c r="F342" s="243"/>
      <c r="G342" s="7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45">
      <c r="A343" s="5"/>
      <c r="B343" s="5"/>
      <c r="C343" s="5"/>
      <c r="D343" s="5"/>
      <c r="E343" s="5"/>
      <c r="F343" s="243"/>
      <c r="G343" s="7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45">
      <c r="A344" s="5"/>
      <c r="B344" s="5"/>
      <c r="C344" s="5"/>
      <c r="D344" s="5"/>
      <c r="E344" s="5"/>
      <c r="F344" s="70"/>
      <c r="G344" s="7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45">
      <c r="A345" s="5"/>
      <c r="B345" s="5"/>
      <c r="C345" s="5"/>
      <c r="D345" s="5"/>
      <c r="E345" s="5"/>
      <c r="F345" s="70"/>
      <c r="G345" s="7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45">
      <c r="A346" s="5"/>
      <c r="B346" s="5"/>
      <c r="C346" s="5"/>
      <c r="D346" s="5"/>
      <c r="E346" s="5"/>
      <c r="F346" s="70"/>
      <c r="G346" s="7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45">
      <c r="A347" s="5"/>
      <c r="B347" s="5"/>
      <c r="C347" s="5"/>
      <c r="D347" s="5"/>
      <c r="E347" s="5"/>
      <c r="F347" s="70"/>
      <c r="G347" s="7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45">
      <c r="A348" s="5"/>
      <c r="B348" s="5"/>
      <c r="C348" s="5"/>
      <c r="D348" s="5"/>
      <c r="E348" s="5"/>
      <c r="F348" s="70"/>
      <c r="G348" s="7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45">
      <c r="A349" s="5"/>
      <c r="B349" s="5"/>
      <c r="C349" s="5"/>
      <c r="D349" s="5"/>
      <c r="E349" s="5"/>
      <c r="F349" s="70"/>
      <c r="G349" s="7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45">
      <c r="A350" s="5"/>
      <c r="B350" s="5"/>
      <c r="C350" s="5"/>
      <c r="D350" s="5"/>
      <c r="E350" s="5"/>
      <c r="F350" s="70"/>
      <c r="G350" s="7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45">
      <c r="A351" s="5"/>
      <c r="B351" s="5"/>
      <c r="C351" s="5"/>
      <c r="D351" s="5"/>
      <c r="E351" s="5"/>
      <c r="F351" s="70"/>
      <c r="G351" s="7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45">
      <c r="A352" s="5"/>
      <c r="B352" s="5"/>
      <c r="C352" s="5"/>
      <c r="D352" s="5"/>
      <c r="E352" s="5"/>
      <c r="F352" s="70"/>
      <c r="G352" s="7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45">
      <c r="A353" s="5"/>
      <c r="B353" s="5"/>
      <c r="C353" s="5"/>
      <c r="D353" s="5"/>
      <c r="E353" s="5"/>
      <c r="F353" s="70"/>
      <c r="G353" s="7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45">
      <c r="A354" s="5"/>
      <c r="B354" s="5"/>
      <c r="C354" s="5"/>
      <c r="D354" s="5"/>
      <c r="E354" s="5"/>
      <c r="F354" s="70"/>
      <c r="G354" s="7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45">
      <c r="A355" s="5"/>
      <c r="B355" s="5"/>
      <c r="C355" s="5"/>
      <c r="D355" s="5"/>
      <c r="E355" s="5"/>
      <c r="F355" s="70"/>
      <c r="G355" s="7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45">
      <c r="A356" s="5"/>
      <c r="B356" s="5"/>
      <c r="C356" s="5"/>
      <c r="D356" s="5"/>
      <c r="E356" s="5"/>
      <c r="F356" s="70"/>
      <c r="G356" s="7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45">
      <c r="A357" s="5"/>
      <c r="B357" s="5"/>
      <c r="C357" s="5"/>
      <c r="D357" s="5"/>
      <c r="E357" s="5"/>
      <c r="F357" s="70"/>
      <c r="G357" s="7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45">
      <c r="A358" s="5"/>
      <c r="B358" s="5"/>
      <c r="C358" s="5"/>
      <c r="D358" s="5"/>
      <c r="E358" s="5"/>
      <c r="F358" s="70"/>
      <c r="G358" s="7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45">
      <c r="A359" s="5"/>
      <c r="B359" s="5"/>
      <c r="C359" s="5"/>
      <c r="D359" s="5"/>
      <c r="E359" s="5"/>
      <c r="F359" s="70"/>
      <c r="G359" s="7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45">
      <c r="A360" s="5"/>
      <c r="B360" s="5"/>
      <c r="C360" s="5"/>
      <c r="D360" s="5"/>
      <c r="E360" s="5"/>
      <c r="F360" s="70"/>
      <c r="G360" s="7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45">
      <c r="A361" s="5"/>
      <c r="B361" s="5"/>
      <c r="C361" s="5"/>
      <c r="D361" s="5"/>
      <c r="E361" s="5"/>
      <c r="F361" s="70"/>
      <c r="G361" s="7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45">
      <c r="A362" s="5"/>
      <c r="B362" s="5"/>
      <c r="C362" s="5"/>
      <c r="D362" s="5"/>
      <c r="E362" s="5"/>
      <c r="F362" s="70"/>
      <c r="G362" s="7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45">
      <c r="A363" s="5"/>
      <c r="B363" s="5"/>
      <c r="C363" s="5"/>
      <c r="D363" s="5"/>
      <c r="E363" s="5"/>
      <c r="F363" s="70"/>
      <c r="G363" s="7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45">
      <c r="A364" s="5"/>
      <c r="B364" s="5"/>
      <c r="C364" s="5"/>
      <c r="D364" s="5"/>
      <c r="E364" s="5"/>
      <c r="F364" s="70"/>
      <c r="G364" s="7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45">
      <c r="A365" s="5"/>
      <c r="B365" s="5"/>
      <c r="C365" s="5"/>
      <c r="D365" s="5"/>
      <c r="E365" s="5"/>
      <c r="F365" s="70"/>
      <c r="G365" s="7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45">
      <c r="A366" s="5"/>
      <c r="B366" s="5"/>
      <c r="C366" s="5"/>
      <c r="D366" s="5"/>
      <c r="E366" s="5"/>
      <c r="F366" s="70"/>
      <c r="G366" s="7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45">
      <c r="A367" s="5"/>
      <c r="B367" s="5"/>
      <c r="C367" s="5"/>
      <c r="D367" s="5"/>
      <c r="E367" s="5"/>
      <c r="F367" s="70"/>
      <c r="G367" s="7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45">
      <c r="A368" s="5"/>
      <c r="B368" s="5"/>
      <c r="C368" s="5"/>
      <c r="D368" s="5"/>
      <c r="E368" s="5"/>
      <c r="F368" s="70"/>
      <c r="G368" s="7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45">
      <c r="A369" s="5"/>
      <c r="B369" s="5"/>
      <c r="C369" s="5"/>
      <c r="D369" s="5"/>
      <c r="E369" s="5"/>
      <c r="F369" s="70"/>
      <c r="G369" s="7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45">
      <c r="A370" s="5"/>
      <c r="B370" s="5"/>
      <c r="C370" s="5"/>
      <c r="D370" s="5"/>
      <c r="E370" s="5"/>
      <c r="F370" s="70"/>
      <c r="G370" s="70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45">
      <c r="A371" s="5"/>
      <c r="B371" s="5"/>
      <c r="C371" s="5"/>
      <c r="D371" s="5"/>
      <c r="E371" s="5"/>
      <c r="F371" s="70"/>
      <c r="G371" s="70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45">
      <c r="A372" s="5"/>
      <c r="B372" s="5"/>
      <c r="C372" s="5"/>
      <c r="D372" s="5"/>
      <c r="E372" s="5"/>
      <c r="F372" s="70"/>
      <c r="G372" s="70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45">
      <c r="A373" s="5"/>
      <c r="B373" s="5"/>
      <c r="C373" s="5"/>
      <c r="D373" s="5"/>
      <c r="E373" s="5"/>
      <c r="F373" s="70"/>
      <c r="G373" s="70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45">
      <c r="A374" s="5"/>
      <c r="B374" s="5"/>
      <c r="C374" s="5"/>
      <c r="D374" s="5"/>
      <c r="E374" s="5"/>
      <c r="F374" s="70"/>
      <c r="G374" s="70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45">
      <c r="A375" s="5"/>
      <c r="B375" s="5"/>
      <c r="C375" s="5"/>
      <c r="D375" s="5"/>
      <c r="E375" s="5"/>
      <c r="F375" s="70"/>
      <c r="G375" s="70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45">
      <c r="A376" s="5"/>
      <c r="B376" s="5"/>
      <c r="C376" s="5"/>
      <c r="D376" s="5"/>
      <c r="E376" s="5"/>
      <c r="F376" s="70"/>
      <c r="G376" s="70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45">
      <c r="A377" s="5"/>
      <c r="B377" s="5"/>
      <c r="C377" s="5"/>
      <c r="D377" s="5"/>
      <c r="E377" s="5"/>
      <c r="F377" s="70"/>
      <c r="G377" s="70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45">
      <c r="A378" s="5"/>
      <c r="B378" s="5"/>
      <c r="C378" s="5"/>
      <c r="D378" s="5"/>
      <c r="E378" s="5"/>
      <c r="F378" s="70"/>
      <c r="G378" s="70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45">
      <c r="A379" s="5"/>
      <c r="B379" s="5"/>
      <c r="C379" s="5"/>
      <c r="D379" s="5"/>
      <c r="E379" s="5"/>
      <c r="F379" s="70"/>
      <c r="G379" s="70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45">
      <c r="A380" s="5"/>
      <c r="B380" s="5"/>
      <c r="C380" s="5"/>
      <c r="D380" s="5"/>
      <c r="E380" s="5"/>
      <c r="F380" s="70"/>
      <c r="G380" s="70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45">
      <c r="A381" s="5"/>
      <c r="B381" s="5"/>
      <c r="C381" s="5"/>
      <c r="D381" s="5"/>
      <c r="E381" s="5"/>
      <c r="F381" s="70"/>
      <c r="G381" s="70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45">
      <c r="A382" s="5"/>
      <c r="B382" s="5"/>
      <c r="C382" s="5"/>
      <c r="D382" s="5"/>
      <c r="E382" s="5"/>
      <c r="F382" s="70"/>
      <c r="G382" s="70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45">
      <c r="A383" s="5"/>
      <c r="B383" s="5"/>
      <c r="C383" s="5"/>
      <c r="D383" s="5"/>
      <c r="E383" s="5"/>
      <c r="F383" s="70"/>
      <c r="G383" s="70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45">
      <c r="A384" s="5"/>
      <c r="B384" s="5"/>
      <c r="C384" s="5"/>
      <c r="D384" s="5"/>
      <c r="E384" s="5"/>
      <c r="F384" s="70"/>
      <c r="G384" s="70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45">
      <c r="A385" s="5"/>
      <c r="B385" s="5"/>
      <c r="C385" s="5"/>
      <c r="D385" s="5"/>
      <c r="E385" s="5"/>
      <c r="F385" s="70"/>
      <c r="G385" s="70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45">
      <c r="A386" s="5"/>
      <c r="B386" s="5"/>
      <c r="C386" s="5"/>
      <c r="D386" s="5"/>
      <c r="E386" s="5"/>
      <c r="F386" s="70"/>
      <c r="G386" s="70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45">
      <c r="A387" s="5"/>
      <c r="B387" s="5"/>
      <c r="C387" s="5"/>
      <c r="D387" s="5"/>
      <c r="E387" s="5"/>
      <c r="F387" s="70"/>
      <c r="G387" s="70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45">
      <c r="A388" s="5"/>
      <c r="B388" s="5"/>
      <c r="C388" s="5"/>
      <c r="D388" s="5"/>
      <c r="E388" s="5"/>
      <c r="F388" s="70"/>
      <c r="G388" s="70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45">
      <c r="A389" s="5"/>
      <c r="B389" s="5"/>
      <c r="C389" s="5"/>
      <c r="D389" s="5"/>
      <c r="E389" s="5"/>
      <c r="F389" s="70"/>
      <c r="G389" s="70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4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4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4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4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4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4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4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4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4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4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4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4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4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4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4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4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4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4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4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4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4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4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4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4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4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4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4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4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4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4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4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4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4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4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4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4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4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4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4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4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4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4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4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4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4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4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4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4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4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4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4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4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4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4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4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4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4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4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4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4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4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4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4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4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4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4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4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4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4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4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4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4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4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4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4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4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4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4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4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4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4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4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4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4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4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4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4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4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4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4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4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4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4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4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4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4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4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4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4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4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4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45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45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45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45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45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45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45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45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45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45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pxfwxF/140Gtvyay/y8zHJq1q5+miwuwtgXwFmrFHM8mqj569l8iN9jkH22e5tU7D2w1qUNOPYXr3EJL9O+iUA==" saltValue="xfNWTjOIEzokAr93QVy5K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Hortense Wiart</cp:lastModifiedBy>
  <dcterms:created xsi:type="dcterms:W3CDTF">2021-02-01T08:22:39Z</dcterms:created>
  <dcterms:modified xsi:type="dcterms:W3CDTF">2021-12-08T19:03:58Z</dcterms:modified>
</cp:coreProperties>
</file>