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du Périgord\Projet Chantérac_072021\"/>
    </mc:Choice>
  </mc:AlternateContent>
  <bookViews>
    <workbookView xWindow="0" yWindow="0" windowWidth="19200" windowHeight="7310"/>
  </bookViews>
  <sheets>
    <sheet name="REAforêtMReboisement" sheetId="1" r:id="rId1"/>
    <sheet name="REAproduitsMReboisement" sheetId="3" r:id="rId2"/>
    <sheet name="REEsubsMRe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0" i="5" l="1"/>
  <c r="B5" i="1"/>
  <c r="B5" i="3" l="1"/>
  <c r="AD23" i="5"/>
  <c r="B14" i="5"/>
  <c r="AE36" i="3"/>
  <c r="X28" i="3"/>
  <c r="X27" i="3"/>
  <c r="X26" i="3"/>
  <c r="S16" i="3"/>
  <c r="S19" i="3"/>
  <c r="S28" i="3"/>
  <c r="S26" i="3"/>
  <c r="M25" i="3"/>
  <c r="B48" i="1"/>
  <c r="B47" i="1"/>
  <c r="B46" i="1"/>
  <c r="B45" i="1"/>
  <c r="B44" i="1"/>
  <c r="B43" i="1"/>
  <c r="B42" i="1"/>
  <c r="B41" i="1"/>
  <c r="B28" i="1"/>
  <c r="C31" i="1"/>
  <c r="AI29" i="1"/>
  <c r="C29" i="1"/>
  <c r="D29" i="1"/>
  <c r="E29" i="1"/>
  <c r="F29" i="1"/>
  <c r="G29" i="1"/>
  <c r="H29" i="1"/>
  <c r="I29" i="1"/>
  <c r="J29" i="1"/>
  <c r="K29" i="1"/>
  <c r="L29" i="1"/>
  <c r="M29" i="1"/>
  <c r="N29" i="1"/>
  <c r="O29" i="1"/>
  <c r="P29" i="1"/>
  <c r="Q29" i="1"/>
  <c r="R29" i="1"/>
  <c r="S29" i="1"/>
  <c r="T29" i="1"/>
  <c r="U29" i="1"/>
  <c r="V29" i="1"/>
  <c r="W29" i="1"/>
  <c r="X29" i="1"/>
  <c r="Y29" i="1"/>
  <c r="Z29" i="1"/>
  <c r="AA29" i="1"/>
  <c r="AB29" i="1"/>
  <c r="AC29" i="1"/>
  <c r="AD29" i="1"/>
  <c r="AE29" i="1"/>
  <c r="AF29" i="1"/>
  <c r="AG29" i="1"/>
  <c r="AH29" i="1"/>
  <c r="B29" i="1"/>
  <c r="B21" i="1"/>
  <c r="C24" i="1"/>
  <c r="AI22" i="1"/>
  <c r="C22" i="1"/>
  <c r="D22" i="1"/>
  <c r="E22" i="1"/>
  <c r="F22" i="1"/>
  <c r="G22" i="1"/>
  <c r="H22" i="1"/>
  <c r="I22" i="1"/>
  <c r="J22" i="1"/>
  <c r="K22" i="1"/>
  <c r="L22" i="1"/>
  <c r="M22" i="1"/>
  <c r="N22" i="1"/>
  <c r="O22" i="1"/>
  <c r="P22" i="1"/>
  <c r="Q22" i="1"/>
  <c r="R22" i="1"/>
  <c r="S22" i="1"/>
  <c r="T22" i="1"/>
  <c r="U22" i="1"/>
  <c r="V22" i="1"/>
  <c r="W22" i="1"/>
  <c r="X22" i="1"/>
  <c r="Y22" i="1"/>
  <c r="Z22" i="1"/>
  <c r="AA22" i="1"/>
  <c r="AB22" i="1"/>
  <c r="AC22" i="1"/>
  <c r="AD22" i="1"/>
  <c r="AE22" i="1"/>
  <c r="AF22" i="1"/>
  <c r="AG22" i="1"/>
  <c r="AH22" i="1"/>
  <c r="B22" i="1"/>
  <c r="D23" i="1"/>
  <c r="E23" i="1" s="1"/>
  <c r="F23" i="1" s="1"/>
  <c r="G23" i="1" s="1"/>
  <c r="H23" i="1" s="1"/>
  <c r="I23" i="1" s="1"/>
  <c r="J23" i="1" s="1"/>
  <c r="K23" i="1" s="1"/>
  <c r="L23" i="1" s="1"/>
  <c r="M23" i="1" s="1"/>
  <c r="C23" i="1"/>
  <c r="C30" i="3" l="1"/>
  <c r="D30" i="3"/>
  <c r="E30" i="3"/>
  <c r="F30" i="3"/>
  <c r="G30" i="3"/>
  <c r="H30" i="3"/>
  <c r="I30" i="3"/>
  <c r="J30" i="3"/>
  <c r="K30" i="3"/>
  <c r="L30" i="3"/>
  <c r="M30" i="3"/>
  <c r="N30" i="3"/>
  <c r="O30" i="3"/>
  <c r="P30" i="3"/>
  <c r="Q30" i="3"/>
  <c r="R30" i="3"/>
  <c r="S30" i="3"/>
  <c r="T30" i="3"/>
  <c r="U30" i="3"/>
  <c r="V30" i="3"/>
  <c r="W30" i="3"/>
  <c r="X30" i="3"/>
  <c r="Y30" i="3"/>
  <c r="Z30" i="3"/>
  <c r="AA30" i="3"/>
  <c r="AB30" i="3"/>
  <c r="AC30" i="3"/>
  <c r="AD30" i="3"/>
  <c r="AE30" i="3"/>
  <c r="B30" i="3"/>
  <c r="B16" i="3"/>
  <c r="AH32" i="1"/>
  <c r="AI32" i="1"/>
  <c r="AG32" i="1"/>
  <c r="AH25" i="1"/>
  <c r="AI25" i="1"/>
  <c r="AG25" i="1"/>
  <c r="B15" i="5" l="1"/>
  <c r="B20" i="5"/>
  <c r="C47" i="3"/>
  <c r="C18" i="3" s="1"/>
  <c r="E20" i="5" l="1"/>
  <c r="B39" i="3"/>
  <c r="C30" i="1" l="1"/>
  <c r="D30" i="1" l="1"/>
  <c r="E30" i="1" s="1"/>
  <c r="F30" i="1" s="1"/>
  <c r="G30" i="1" s="1"/>
  <c r="H30" i="1" s="1"/>
  <c r="I30" i="1" s="1"/>
  <c r="J30" i="1" s="1"/>
  <c r="K30" i="1" s="1"/>
  <c r="L30" i="1" s="1"/>
  <c r="M30" i="1" s="1"/>
  <c r="N30" i="1" s="1"/>
  <c r="O30" i="1" s="1"/>
  <c r="P30" i="1" s="1"/>
  <c r="Q30" i="1" s="1"/>
  <c r="R30" i="1" s="1"/>
  <c r="S30" i="1" s="1"/>
  <c r="T30" i="1" s="1"/>
  <c r="U30" i="1" s="1"/>
  <c r="V30" i="1" s="1"/>
  <c r="W30" i="1" s="1"/>
  <c r="X30" i="1" s="1"/>
  <c r="Y30" i="1" s="1"/>
  <c r="Z30" i="1" s="1"/>
  <c r="AA30" i="1" s="1"/>
  <c r="AB30" i="1" s="1"/>
  <c r="AC30" i="1" s="1"/>
  <c r="AD30" i="1" s="1"/>
  <c r="AE30" i="1" s="1"/>
  <c r="AF30" i="1" s="1"/>
  <c r="AG30" i="1" s="1"/>
  <c r="AH30" i="1" s="1"/>
  <c r="AI30" i="1" s="1"/>
  <c r="C32" i="1"/>
  <c r="D32" i="1"/>
  <c r="E32" i="1"/>
  <c r="F32" i="1"/>
  <c r="G32" i="1"/>
  <c r="H32" i="1"/>
  <c r="I32" i="1"/>
  <c r="J32" i="1"/>
  <c r="K32" i="1"/>
  <c r="L32" i="1"/>
  <c r="M32" i="1"/>
  <c r="N32" i="1"/>
  <c r="O32" i="1"/>
  <c r="P32" i="1"/>
  <c r="Q32" i="1"/>
  <c r="R32" i="1"/>
  <c r="S32" i="1"/>
  <c r="T32" i="1"/>
  <c r="U32" i="1"/>
  <c r="V32" i="1"/>
  <c r="W32" i="1"/>
  <c r="X32" i="1"/>
  <c r="Y32" i="1"/>
  <c r="Z32" i="1"/>
  <c r="AA32" i="1"/>
  <c r="AB32" i="1"/>
  <c r="AC32" i="1"/>
  <c r="AD32" i="1"/>
  <c r="AE32" i="1"/>
  <c r="AF32" i="1"/>
  <c r="B32" i="1"/>
  <c r="AF25" i="1"/>
  <c r="C25" i="1"/>
  <c r="D25" i="1"/>
  <c r="E25" i="1"/>
  <c r="F25" i="1"/>
  <c r="G25" i="1"/>
  <c r="H25" i="1"/>
  <c r="I25" i="1"/>
  <c r="J25" i="1"/>
  <c r="K25" i="1"/>
  <c r="L25" i="1"/>
  <c r="M25" i="1"/>
  <c r="N25" i="1"/>
  <c r="O25" i="1"/>
  <c r="P25" i="1"/>
  <c r="Q25" i="1"/>
  <c r="R25" i="1"/>
  <c r="S25" i="1"/>
  <c r="T25" i="1"/>
  <c r="U25" i="1"/>
  <c r="V25" i="1"/>
  <c r="W25" i="1"/>
  <c r="X25" i="1"/>
  <c r="Y25" i="1"/>
  <c r="Z25" i="1"/>
  <c r="AA25" i="1"/>
  <c r="AB25" i="1"/>
  <c r="AC25" i="1"/>
  <c r="AD25" i="1"/>
  <c r="AE25" i="1"/>
  <c r="B25" i="1"/>
  <c r="B23" i="5"/>
  <c r="C20" i="5"/>
  <c r="C15" i="4" l="1"/>
  <c r="B25" i="5" l="1"/>
  <c r="C48" i="3" l="1"/>
  <c r="C32" i="3" l="1"/>
  <c r="C21" i="3"/>
  <c r="C17" i="4"/>
  <c r="C50" i="3"/>
  <c r="C23" i="5" l="1"/>
  <c r="C25" i="5" s="1"/>
  <c r="C49" i="3"/>
  <c r="D20" i="5" l="1"/>
  <c r="C24" i="3"/>
  <c r="C35" i="3"/>
  <c r="J23" i="5"/>
  <c r="R23" i="5"/>
  <c r="Z23" i="5"/>
  <c r="AE23" i="5"/>
  <c r="K23" i="5"/>
  <c r="S23" i="5"/>
  <c r="AA23" i="5"/>
  <c r="Q23" i="5"/>
  <c r="D23" i="5"/>
  <c r="L23" i="5"/>
  <c r="T23" i="5"/>
  <c r="AB23" i="5"/>
  <c r="V23" i="5"/>
  <c r="Y23" i="5"/>
  <c r="E23" i="5"/>
  <c r="M23" i="5"/>
  <c r="U23" i="5"/>
  <c r="AC23" i="5"/>
  <c r="F23" i="5"/>
  <c r="N23" i="5"/>
  <c r="I23" i="5"/>
  <c r="G23" i="5"/>
  <c r="O23" i="5"/>
  <c r="W23" i="5"/>
  <c r="H23" i="5"/>
  <c r="P23" i="5"/>
  <c r="X23" i="5"/>
  <c r="M20" i="5"/>
  <c r="U20" i="5"/>
  <c r="AC20" i="5"/>
  <c r="O20" i="5"/>
  <c r="F20" i="5"/>
  <c r="N20" i="5"/>
  <c r="V20" i="5"/>
  <c r="AD20" i="5"/>
  <c r="G20" i="5"/>
  <c r="W20" i="5"/>
  <c r="H20" i="5"/>
  <c r="P20" i="5"/>
  <c r="X20" i="5"/>
  <c r="R20" i="5"/>
  <c r="AE20" i="5"/>
  <c r="AA20" i="5"/>
  <c r="T20" i="5"/>
  <c r="I20" i="5"/>
  <c r="Q20" i="5"/>
  <c r="Y20" i="5"/>
  <c r="J20" i="5"/>
  <c r="Z20" i="5"/>
  <c r="K20" i="5"/>
  <c r="S20" i="5"/>
  <c r="AB20" i="5"/>
  <c r="C18" i="4"/>
  <c r="F25" i="5" l="1"/>
  <c r="AB25" i="5"/>
  <c r="L25" i="5"/>
  <c r="AD25" i="5"/>
  <c r="V25" i="5"/>
  <c r="K25" i="5"/>
  <c r="AC25" i="5"/>
  <c r="T25" i="5"/>
  <c r="U25" i="5"/>
  <c r="G25" i="5"/>
  <c r="R25" i="5"/>
  <c r="H25" i="5"/>
  <c r="I25" i="5"/>
  <c r="AA25" i="5"/>
  <c r="E25" i="5"/>
  <c r="S25" i="5"/>
  <c r="Y25" i="5"/>
  <c r="P25" i="5"/>
  <c r="M25" i="5"/>
  <c r="AE25" i="5"/>
  <c r="Z25" i="5"/>
  <c r="N25" i="5"/>
  <c r="D25" i="5"/>
  <c r="J25" i="5"/>
  <c r="X25" i="5"/>
  <c r="Q25" i="5"/>
  <c r="O25" i="5"/>
  <c r="W25" i="5"/>
  <c r="E42" i="3"/>
  <c r="C42" i="3"/>
  <c r="C36" i="1"/>
  <c r="C35" i="1"/>
  <c r="B35" i="1"/>
  <c r="R25" i="3" l="1"/>
  <c r="I33" i="3"/>
  <c r="AA33" i="3"/>
  <c r="U33" i="3"/>
  <c r="AD33" i="3"/>
  <c r="AB33" i="3"/>
  <c r="Z33" i="3"/>
  <c r="K33" i="3"/>
  <c r="Q33" i="3"/>
  <c r="AE33" i="3"/>
  <c r="AC33" i="3"/>
  <c r="P33" i="3"/>
  <c r="T33" i="3"/>
  <c r="AF33" i="3"/>
  <c r="J33" i="3"/>
  <c r="F33" i="3"/>
  <c r="N33" i="3"/>
  <c r="Y33" i="3"/>
  <c r="L33" i="3"/>
  <c r="D33" i="3"/>
  <c r="R33" i="3"/>
  <c r="H33" i="3"/>
  <c r="C33" i="3"/>
  <c r="O33" i="3"/>
  <c r="W33" i="3"/>
  <c r="V33" i="3"/>
  <c r="B33" i="3"/>
  <c r="C31" i="3" s="1"/>
  <c r="G33" i="3"/>
  <c r="E33" i="3"/>
  <c r="X33" i="3"/>
  <c r="S33" i="3"/>
  <c r="M33" i="3"/>
  <c r="H36" i="3"/>
  <c r="R36" i="3"/>
  <c r="T36" i="3"/>
  <c r="F36" i="3"/>
  <c r="E36" i="3"/>
  <c r="Z36" i="3"/>
  <c r="P36" i="3"/>
  <c r="AF36" i="3"/>
  <c r="AB36" i="3"/>
  <c r="N36" i="3"/>
  <c r="AD36" i="3"/>
  <c r="W36" i="3"/>
  <c r="X36" i="3"/>
  <c r="K36" i="3"/>
  <c r="O36" i="3"/>
  <c r="V36" i="3"/>
  <c r="S36" i="3"/>
  <c r="AC36" i="3"/>
  <c r="Y36" i="3"/>
  <c r="B36" i="3"/>
  <c r="C34" i="3" s="1"/>
  <c r="D36" i="3"/>
  <c r="I36" i="3"/>
  <c r="AA36" i="3"/>
  <c r="M36" i="3"/>
  <c r="G36" i="3"/>
  <c r="Q36" i="3"/>
  <c r="J36" i="3"/>
  <c r="U36" i="3"/>
  <c r="L36" i="3"/>
  <c r="C36" i="3"/>
  <c r="G24" i="1"/>
  <c r="G21" i="1" s="1"/>
  <c r="AI24" i="1"/>
  <c r="AI21" i="1" s="1"/>
  <c r="AG24" i="1"/>
  <c r="AG21" i="1" s="1"/>
  <c r="C21" i="1"/>
  <c r="AI31" i="1"/>
  <c r="AI28" i="1" s="1"/>
  <c r="AH31" i="1"/>
  <c r="AH28" i="1" s="1"/>
  <c r="C28" i="1"/>
  <c r="I31" i="1"/>
  <c r="I28" i="1" s="1"/>
  <c r="U31" i="1"/>
  <c r="U28" i="1" s="1"/>
  <c r="C19" i="3"/>
  <c r="C22" i="3"/>
  <c r="AE19" i="3"/>
  <c r="B5" i="5"/>
  <c r="B6" i="5" s="1"/>
  <c r="B8" i="4" s="1"/>
  <c r="C25" i="3"/>
  <c r="E19" i="3"/>
  <c r="B19" i="3"/>
  <c r="C17" i="3" s="1"/>
  <c r="AD22" i="3"/>
  <c r="L22" i="3"/>
  <c r="Y22" i="3"/>
  <c r="M22" i="3"/>
  <c r="AE22" i="3"/>
  <c r="J22" i="3"/>
  <c r="U22" i="3"/>
  <c r="I22" i="3"/>
  <c r="Z22" i="3"/>
  <c r="X22" i="3"/>
  <c r="O22" i="3"/>
  <c r="S22" i="3"/>
  <c r="F22" i="3"/>
  <c r="T22" i="3"/>
  <c r="AF22" i="3"/>
  <c r="N22" i="3"/>
  <c r="R22" i="3"/>
  <c r="AC22" i="3"/>
  <c r="Q22" i="3"/>
  <c r="G22" i="3"/>
  <c r="H22" i="3"/>
  <c r="D32" i="3"/>
  <c r="D31" i="3" s="1"/>
  <c r="P22" i="3"/>
  <c r="E22" i="3"/>
  <c r="K22" i="3"/>
  <c r="W22" i="3"/>
  <c r="D22" i="3"/>
  <c r="AA22" i="3"/>
  <c r="B22" i="3"/>
  <c r="V22" i="3"/>
  <c r="AB22" i="3"/>
  <c r="J25" i="3"/>
  <c r="S25" i="3"/>
  <c r="I19" i="3"/>
  <c r="R19" i="3"/>
  <c r="AA19" i="3"/>
  <c r="K25" i="3"/>
  <c r="AA25" i="3"/>
  <c r="F25" i="3"/>
  <c r="H19" i="3"/>
  <c r="Q19" i="3"/>
  <c r="O19" i="3"/>
  <c r="Z19" i="3"/>
  <c r="M19" i="3"/>
  <c r="H25" i="3"/>
  <c r="I25" i="3"/>
  <c r="G25" i="3"/>
  <c r="Z25" i="3"/>
  <c r="E25" i="3"/>
  <c r="N25" i="3"/>
  <c r="G19" i="3"/>
  <c r="P19" i="3"/>
  <c r="Y19" i="3"/>
  <c r="V19" i="3"/>
  <c r="L19" i="3"/>
  <c r="U19" i="3"/>
  <c r="W19" i="3"/>
  <c r="V25" i="3"/>
  <c r="P25" i="3"/>
  <c r="Q25" i="3"/>
  <c r="AE25" i="3"/>
  <c r="AD25" i="3"/>
  <c r="L25" i="3"/>
  <c r="X19" i="3"/>
  <c r="D19" i="3"/>
  <c r="T19" i="3"/>
  <c r="AC19" i="3"/>
  <c r="AD19" i="3"/>
  <c r="B25" i="3"/>
  <c r="X25" i="3"/>
  <c r="Y25" i="3"/>
  <c r="T25" i="3"/>
  <c r="U25" i="3"/>
  <c r="O25" i="3"/>
  <c r="K19" i="3"/>
  <c r="F19" i="3"/>
  <c r="AB19" i="3"/>
  <c r="J19" i="3"/>
  <c r="AF25" i="3"/>
  <c r="D25" i="3"/>
  <c r="W25" i="3"/>
  <c r="AB25" i="3"/>
  <c r="AC25" i="3"/>
  <c r="AF19" i="3"/>
  <c r="N19" i="3"/>
  <c r="C16" i="3" l="1"/>
  <c r="AH24" i="1"/>
  <c r="AH21" i="1" s="1"/>
  <c r="AG31" i="1"/>
  <c r="AG28" i="1" s="1"/>
  <c r="F24" i="1"/>
  <c r="F21" i="1" s="1"/>
  <c r="L24" i="1"/>
  <c r="L21" i="1" s="1"/>
  <c r="AC24" i="1"/>
  <c r="AC21" i="1" s="1"/>
  <c r="N24" i="1"/>
  <c r="N21" i="1" s="1"/>
  <c r="X24" i="1"/>
  <c r="X21" i="1" s="1"/>
  <c r="P24" i="1"/>
  <c r="P21" i="1" s="1"/>
  <c r="AA24" i="1"/>
  <c r="AA21" i="1" s="1"/>
  <c r="O24" i="1"/>
  <c r="O21" i="1" s="1"/>
  <c r="AE24" i="1"/>
  <c r="AE21" i="1" s="1"/>
  <c r="AF24" i="1"/>
  <c r="AF21" i="1" s="1"/>
  <c r="S24" i="1"/>
  <c r="S21" i="1" s="1"/>
  <c r="AB24" i="1"/>
  <c r="AB21" i="1" s="1"/>
  <c r="V24" i="1"/>
  <c r="V21" i="1" s="1"/>
  <c r="U24" i="1"/>
  <c r="U21" i="1" s="1"/>
  <c r="E24" i="1"/>
  <c r="E21" i="1" s="1"/>
  <c r="Q24" i="1"/>
  <c r="Q21" i="1" s="1"/>
  <c r="Y24" i="1"/>
  <c r="Y21" i="1" s="1"/>
  <c r="H24" i="1"/>
  <c r="H21" i="1" s="1"/>
  <c r="M24" i="1"/>
  <c r="M21" i="1" s="1"/>
  <c r="W24" i="1"/>
  <c r="W21" i="1" s="1"/>
  <c r="I24" i="1"/>
  <c r="I21" i="1" s="1"/>
  <c r="T24" i="1"/>
  <c r="T21" i="1" s="1"/>
  <c r="K24" i="1"/>
  <c r="K21" i="1" s="1"/>
  <c r="D24" i="1"/>
  <c r="D21" i="1" s="1"/>
  <c r="AD24" i="1"/>
  <c r="AD21" i="1" s="1"/>
  <c r="D35" i="3"/>
  <c r="D34" i="3" s="1"/>
  <c r="E35" i="3" s="1"/>
  <c r="E34" i="3" s="1"/>
  <c r="F35" i="3" s="1"/>
  <c r="E32" i="3"/>
  <c r="E31" i="3" s="1"/>
  <c r="B9" i="4"/>
  <c r="C20" i="3"/>
  <c r="C23" i="3"/>
  <c r="D24" i="3" s="1"/>
  <c r="D23" i="3" s="1"/>
  <c r="E24" i="3" s="1"/>
  <c r="E23" i="3" s="1"/>
  <c r="F24" i="3" s="1"/>
  <c r="F23" i="3" s="1"/>
  <c r="D18" i="3"/>
  <c r="D17" i="3" s="1"/>
  <c r="AC31" i="1"/>
  <c r="AC28" i="1" s="1"/>
  <c r="AF31" i="1"/>
  <c r="AF28" i="1" s="1"/>
  <c r="Y31" i="1"/>
  <c r="Y28" i="1" s="1"/>
  <c r="P31" i="1"/>
  <c r="P28" i="1" s="1"/>
  <c r="F31" i="1"/>
  <c r="F28" i="1" s="1"/>
  <c r="M31" i="1"/>
  <c r="M28" i="1" s="1"/>
  <c r="G31" i="1"/>
  <c r="G28" i="1" s="1"/>
  <c r="E31" i="1"/>
  <c r="E28" i="1" s="1"/>
  <c r="X31" i="1"/>
  <c r="X28" i="1" s="1"/>
  <c r="AA31" i="1"/>
  <c r="AA28" i="1" s="1"/>
  <c r="Q31" i="1"/>
  <c r="Q28" i="1" s="1"/>
  <c r="S31" i="1"/>
  <c r="S28" i="1" s="1"/>
  <c r="O31" i="1"/>
  <c r="O28" i="1" s="1"/>
  <c r="H31" i="1"/>
  <c r="H28" i="1" s="1"/>
  <c r="K31" i="1"/>
  <c r="K28" i="1" s="1"/>
  <c r="W31" i="1"/>
  <c r="W28" i="1" s="1"/>
  <c r="AE31" i="1"/>
  <c r="AE28" i="1" s="1"/>
  <c r="D31" i="1"/>
  <c r="D28" i="1" s="1"/>
  <c r="T31" i="1"/>
  <c r="T28" i="1" s="1"/>
  <c r="J24" i="1"/>
  <c r="J21" i="1" s="1"/>
  <c r="R31" i="1"/>
  <c r="R28" i="1" s="1"/>
  <c r="AB31" i="1"/>
  <c r="AB28" i="1" s="1"/>
  <c r="R24" i="1"/>
  <c r="R21" i="1" s="1"/>
  <c r="Z31" i="1"/>
  <c r="Z28" i="1" s="1"/>
  <c r="L31" i="1"/>
  <c r="L28" i="1" s="1"/>
  <c r="J31" i="1"/>
  <c r="J28" i="1" s="1"/>
  <c r="N31" i="1"/>
  <c r="N28" i="1" s="1"/>
  <c r="Z24" i="1"/>
  <c r="Z21" i="1" s="1"/>
  <c r="V31" i="1"/>
  <c r="V28" i="1" s="1"/>
  <c r="AD31" i="1"/>
  <c r="AD28" i="1" s="1"/>
  <c r="F32" i="3" l="1"/>
  <c r="F31" i="3" s="1"/>
  <c r="C39" i="3"/>
  <c r="E18" i="3"/>
  <c r="E17" i="3" s="1"/>
  <c r="D21" i="3"/>
  <c r="F34" i="3"/>
  <c r="G35" i="3" s="1"/>
  <c r="G34" i="3" s="1"/>
  <c r="H35" i="3" s="1"/>
  <c r="G24" i="3"/>
  <c r="F18" i="3" l="1"/>
  <c r="F17" i="3" s="1"/>
  <c r="B6" i="1"/>
  <c r="B4" i="4" s="1"/>
  <c r="G32" i="3"/>
  <c r="G31" i="3" s="1"/>
  <c r="D20" i="3"/>
  <c r="D16" i="3" s="1"/>
  <c r="H34" i="3"/>
  <c r="I35" i="3" s="1"/>
  <c r="G23" i="3"/>
  <c r="H24" i="3" s="1"/>
  <c r="G18" i="3" l="1"/>
  <c r="G17" i="3" s="1"/>
  <c r="B5" i="4"/>
  <c r="H32" i="3"/>
  <c r="H31" i="3" s="1"/>
  <c r="E21" i="3"/>
  <c r="E20" i="3" s="1"/>
  <c r="E16" i="3" s="1"/>
  <c r="D39" i="3"/>
  <c r="I34" i="3"/>
  <c r="J35" i="3" s="1"/>
  <c r="H23" i="3"/>
  <c r="I24" i="3" s="1"/>
  <c r="H18" i="3" l="1"/>
  <c r="H17" i="3" s="1"/>
  <c r="I32" i="3"/>
  <c r="I31" i="3" s="1"/>
  <c r="E39" i="3"/>
  <c r="F21" i="3"/>
  <c r="F20" i="3" s="1"/>
  <c r="F16" i="3" s="1"/>
  <c r="J34" i="3"/>
  <c r="K35" i="3" s="1"/>
  <c r="I23" i="3"/>
  <c r="J24" i="3" s="1"/>
  <c r="I18" i="3" l="1"/>
  <c r="I17" i="3" s="1"/>
  <c r="J32" i="3"/>
  <c r="J31" i="3" s="1"/>
  <c r="G21" i="3"/>
  <c r="G20" i="3" s="1"/>
  <c r="G16" i="3" s="1"/>
  <c r="F39" i="3"/>
  <c r="K34" i="3"/>
  <c r="L35" i="3" s="1"/>
  <c r="J23" i="3"/>
  <c r="K24" i="3" s="1"/>
  <c r="J18" i="3" l="1"/>
  <c r="J17" i="3" s="1"/>
  <c r="H21" i="3"/>
  <c r="H20" i="3" s="1"/>
  <c r="H16" i="3" s="1"/>
  <c r="G39" i="3"/>
  <c r="L34" i="3"/>
  <c r="M35" i="3" s="1"/>
  <c r="K32" i="3"/>
  <c r="K23" i="3"/>
  <c r="L24" i="3" s="1"/>
  <c r="K18" i="3" l="1"/>
  <c r="K17" i="3" s="1"/>
  <c r="I21" i="3"/>
  <c r="I20" i="3" s="1"/>
  <c r="I16" i="3" s="1"/>
  <c r="H39" i="3"/>
  <c r="M34" i="3"/>
  <c r="N35" i="3" s="1"/>
  <c r="N34" i="3" s="1"/>
  <c r="K31" i="3"/>
  <c r="L23" i="3"/>
  <c r="M24" i="3" s="1"/>
  <c r="M23" i="3" s="1"/>
  <c r="L18" i="3" l="1"/>
  <c r="L17" i="3" s="1"/>
  <c r="J21" i="3"/>
  <c r="J20" i="3" s="1"/>
  <c r="J16" i="3" s="1"/>
  <c r="I39" i="3"/>
  <c r="O35" i="3"/>
  <c r="L32" i="3"/>
  <c r="N24" i="3"/>
  <c r="M18" i="3" l="1"/>
  <c r="M17" i="3" s="1"/>
  <c r="J39" i="3"/>
  <c r="K21" i="3"/>
  <c r="K20" i="3" s="1"/>
  <c r="O34" i="3"/>
  <c r="P35" i="3" s="1"/>
  <c r="L31" i="3"/>
  <c r="N23" i="3"/>
  <c r="K16" i="3" l="1"/>
  <c r="K39" i="3" s="1"/>
  <c r="N18" i="3"/>
  <c r="N17" i="3" s="1"/>
  <c r="O18" i="3" s="1"/>
  <c r="O17" i="3" s="1"/>
  <c r="P18" i="3" s="1"/>
  <c r="P17" i="3" s="1"/>
  <c r="Q18" i="3" s="1"/>
  <c r="Q17" i="3" s="1"/>
  <c r="R18" i="3" s="1"/>
  <c r="R17" i="3" s="1"/>
  <c r="S18" i="3" s="1"/>
  <c r="S17" i="3" s="1"/>
  <c r="T18" i="3" s="1"/>
  <c r="T17" i="3" s="1"/>
  <c r="U18" i="3" s="1"/>
  <c r="U17" i="3" s="1"/>
  <c r="V18" i="3" s="1"/>
  <c r="V17" i="3" s="1"/>
  <c r="W18" i="3" s="1"/>
  <c r="W17" i="3" s="1"/>
  <c r="X18" i="3" s="1"/>
  <c r="X17" i="3" s="1"/>
  <c r="Y18" i="3" s="1"/>
  <c r="Y17" i="3" s="1"/>
  <c r="O24" i="3"/>
  <c r="O23" i="3" s="1"/>
  <c r="L21" i="3"/>
  <c r="L20" i="3" s="1"/>
  <c r="L16" i="3" s="1"/>
  <c r="P34" i="3"/>
  <c r="Q35" i="3" s="1"/>
  <c r="M32" i="3"/>
  <c r="P24" i="3" l="1"/>
  <c r="P23" i="3" s="1"/>
  <c r="Q34" i="3"/>
  <c r="R35" i="3" s="1"/>
  <c r="M31" i="3"/>
  <c r="L39" i="3"/>
  <c r="M21" i="3"/>
  <c r="Z18" i="3"/>
  <c r="Z17" i="3" s="1"/>
  <c r="Q24" i="3" l="1"/>
  <c r="R34" i="3"/>
  <c r="S35" i="3" s="1"/>
  <c r="N32" i="3"/>
  <c r="Q23" i="3"/>
  <c r="M20" i="3"/>
  <c r="M16" i="3" s="1"/>
  <c r="AA18" i="3"/>
  <c r="AA17" i="3" s="1"/>
  <c r="AB18" i="3" s="1"/>
  <c r="AB17" i="3" s="1"/>
  <c r="R24" i="3" l="1"/>
  <c r="R23" i="3" s="1"/>
  <c r="S34" i="3"/>
  <c r="T35" i="3" s="1"/>
  <c r="N31" i="3"/>
  <c r="S24" i="3"/>
  <c r="M39" i="3"/>
  <c r="N21" i="3"/>
  <c r="N20" i="3" s="1"/>
  <c r="N16" i="3" s="1"/>
  <c r="AC18" i="3"/>
  <c r="AC17" i="3" s="1"/>
  <c r="AD18" i="3" s="1"/>
  <c r="AD17" i="3" l="1"/>
  <c r="AE18" i="3" s="1"/>
  <c r="AE17" i="3" s="1"/>
  <c r="AF18" i="3" s="1"/>
  <c r="AF17" i="3" s="1"/>
  <c r="T34" i="3"/>
  <c r="U35" i="3" s="1"/>
  <c r="O32" i="3"/>
  <c r="S23" i="3"/>
  <c r="O21" i="3"/>
  <c r="T24" i="3" l="1"/>
  <c r="U34" i="3"/>
  <c r="V35" i="3" s="1"/>
  <c r="O31" i="3"/>
  <c r="N39" i="3"/>
  <c r="T23" i="3"/>
  <c r="O20" i="3"/>
  <c r="O16" i="3" s="1"/>
  <c r="U24" i="3" l="1"/>
  <c r="U23" i="3" s="1"/>
  <c r="V34" i="3"/>
  <c r="W35" i="3" s="1"/>
  <c r="P32" i="3"/>
  <c r="P21" i="3"/>
  <c r="V24" i="3" l="1"/>
  <c r="V23" i="3" s="1"/>
  <c r="W34" i="3"/>
  <c r="X35" i="3" s="1"/>
  <c r="P31" i="3"/>
  <c r="O39" i="3"/>
  <c r="P20" i="3"/>
  <c r="P16" i="3" s="1"/>
  <c r="W24" i="3" l="1"/>
  <c r="W23" i="3" s="1"/>
  <c r="X34" i="3"/>
  <c r="Y35" i="3" s="1"/>
  <c r="Q32" i="3"/>
  <c r="Q21" i="3"/>
  <c r="X24" i="3" l="1"/>
  <c r="X23" i="3" s="1"/>
  <c r="Y34" i="3"/>
  <c r="Z35" i="3" s="1"/>
  <c r="Q31" i="3"/>
  <c r="Q20" i="3"/>
  <c r="Q16" i="3" s="1"/>
  <c r="P39" i="3"/>
  <c r="Y24" i="3" l="1"/>
  <c r="Y23" i="3" s="1"/>
  <c r="Z34" i="3"/>
  <c r="AA35" i="3" s="1"/>
  <c r="R32" i="3"/>
  <c r="R21" i="3"/>
  <c r="Z24" i="3" l="1"/>
  <c r="Z23" i="3" s="1"/>
  <c r="AA34" i="3"/>
  <c r="AB35" i="3" s="1"/>
  <c r="R31" i="3"/>
  <c r="R20" i="3"/>
  <c r="R16" i="3" s="1"/>
  <c r="Q39" i="3"/>
  <c r="AA24" i="3" l="1"/>
  <c r="AA23" i="3" s="1"/>
  <c r="AB34" i="3"/>
  <c r="AC35" i="3" s="1"/>
  <c r="S32" i="3"/>
  <c r="S21" i="3"/>
  <c r="AB24" i="3" l="1"/>
  <c r="AB23" i="3" s="1"/>
  <c r="AC34" i="3"/>
  <c r="AD35" i="3" s="1"/>
  <c r="S31" i="3"/>
  <c r="S20" i="3"/>
  <c r="R39" i="3"/>
  <c r="AC24" i="3" l="1"/>
  <c r="AC23" i="3" s="1"/>
  <c r="AD34" i="3"/>
  <c r="AE35" i="3" s="1"/>
  <c r="AE34" i="3" s="1"/>
  <c r="AF35" i="3" s="1"/>
  <c r="AF34" i="3" s="1"/>
  <c r="AF30" i="3" s="1"/>
  <c r="T32" i="3"/>
  <c r="T21" i="3"/>
  <c r="AD24" i="3" l="1"/>
  <c r="AD23" i="3" s="1"/>
  <c r="T31" i="3"/>
  <c r="T20" i="3"/>
  <c r="T16" i="3" s="1"/>
  <c r="S39" i="3"/>
  <c r="AE24" i="3" l="1"/>
  <c r="AE23" i="3" s="1"/>
  <c r="U32" i="3"/>
  <c r="U21" i="3"/>
  <c r="AF24" i="3" l="1"/>
  <c r="AF23" i="3" s="1"/>
  <c r="T39" i="3"/>
  <c r="U31" i="3"/>
  <c r="U20" i="3"/>
  <c r="U16" i="3" s="1"/>
  <c r="V32" i="3" l="1"/>
  <c r="V21" i="3"/>
  <c r="U39" i="3" l="1"/>
  <c r="V31" i="3"/>
  <c r="V20" i="3"/>
  <c r="V16" i="3" s="1"/>
  <c r="W32" i="3" l="1"/>
  <c r="W21" i="3"/>
  <c r="V39" i="3" l="1"/>
  <c r="W31" i="3"/>
  <c r="W20" i="3"/>
  <c r="W16" i="3" s="1"/>
  <c r="X32" i="3" l="1"/>
  <c r="X21" i="3"/>
  <c r="W39" i="3" l="1"/>
  <c r="X31" i="3"/>
  <c r="X20" i="3"/>
  <c r="X16" i="3" s="1"/>
  <c r="Y32" i="3" l="1"/>
  <c r="Y21" i="3"/>
  <c r="X39" i="3" l="1"/>
  <c r="Y31" i="3"/>
  <c r="Y20" i="3"/>
  <c r="Y16" i="3" s="1"/>
  <c r="Z32" i="3" l="1"/>
  <c r="Z21" i="3"/>
  <c r="Y39" i="3" l="1"/>
  <c r="Z31" i="3"/>
  <c r="Z20" i="3"/>
  <c r="Z16" i="3" s="1"/>
  <c r="AA32" i="3" l="1"/>
  <c r="AA21" i="3"/>
  <c r="Z39" i="3" l="1"/>
  <c r="AA31" i="3"/>
  <c r="AA20" i="3"/>
  <c r="AA16" i="3" s="1"/>
  <c r="AB32" i="3" l="1"/>
  <c r="AB21" i="3"/>
  <c r="AA39" i="3" l="1"/>
  <c r="AB31" i="3"/>
  <c r="AB20" i="3"/>
  <c r="AB16" i="3" s="1"/>
  <c r="AC32" i="3" l="1"/>
  <c r="AC21" i="3"/>
  <c r="AB39" i="3" l="1"/>
  <c r="AC31" i="3"/>
  <c r="AC20" i="3"/>
  <c r="AC16" i="3" s="1"/>
  <c r="AD32" i="3" l="1"/>
  <c r="AD31" i="3" s="1"/>
  <c r="AD21" i="3"/>
  <c r="AC39" i="3" l="1"/>
  <c r="AD20" i="3"/>
  <c r="AD16" i="3" s="1"/>
  <c r="AE32" i="3" l="1"/>
  <c r="AE31" i="3" s="1"/>
  <c r="AE21" i="3"/>
  <c r="AE20" i="3" s="1"/>
  <c r="AE16" i="3" s="1"/>
  <c r="AD39" i="3" l="1"/>
  <c r="AF32" i="3"/>
  <c r="AF21" i="3"/>
  <c r="AF20" i="3" s="1"/>
  <c r="AF16" i="3" s="1"/>
  <c r="AF31" i="3" l="1"/>
  <c r="AF39" i="3" s="1"/>
  <c r="AE39" i="3"/>
  <c r="B6" i="3" l="1"/>
  <c r="B6" i="4" s="1"/>
  <c r="B3" i="4" s="1"/>
  <c r="B10" i="4" s="1"/>
  <c r="B7" i="4" l="1"/>
  <c r="B11" i="4" l="1"/>
</calcChain>
</file>

<file path=xl/comments1.xml><?xml version="1.0" encoding="utf-8"?>
<comments xmlns="http://schemas.openxmlformats.org/spreadsheetml/2006/main">
  <authors>
    <author>Florence HEUSCHMIDT</author>
  </authors>
  <commentList>
    <comment ref="A24" authorId="0" shapeId="0">
      <text>
        <r>
          <rPr>
            <sz val="9"/>
            <color indexed="81"/>
            <rFont val="Tahoma"/>
            <family val="2"/>
          </rPr>
          <t>Pour forêt métropolitaine</t>
        </r>
      </text>
    </comment>
    <comment ref="A26" authorId="0" shapeId="0">
      <text>
        <r>
          <rPr>
            <sz val="9"/>
            <color indexed="81"/>
            <rFont val="Tahoma"/>
            <family val="2"/>
          </rPr>
          <t xml:space="preserve">La durée d’un projet de reboisement étant de 30 ans, les entretiens des premières années (dégagements) devant être effectués, le bois mort au sol, sur pied ou chablis sera négligé à la fois dans le scénario de projet et dans le scénario de référence, sauf les stocks déterminés comme d’intérêt écologique par l’inventaire IBP préalable. Les stocks de bois mort laissés sur la parcelle au moment du reboisement devront donc faire l’objet d’une estimation et seront ajoutés au compartiment du bois mort à condition qu’ils soient significatifs. </t>
        </r>
      </text>
    </comment>
    <comment ref="A30" authorId="0" shapeId="0">
      <text>
        <r>
          <rPr>
            <sz val="9"/>
            <color indexed="81"/>
            <rFont val="Tahoma"/>
            <family val="2"/>
          </rPr>
          <t>colonisation lente par des accrus ayant une croissance linéaire de 1 m3/ha/an en volume bois fort (dès l’année 0), donc atteignant un volume bois fort de 30 m3/ha au bout de 30 ans. 
Pour les projets situés dans les GRECO de l’IGN « Méditerranée » et « Corse », pour tenir compte de conditions de production plus faibles et être plus réaliste, cette valeur par défaut sera fixée à 0,5 m3/ha/an en volume bois fort.</t>
        </r>
      </text>
    </comment>
    <comment ref="A31" authorId="0" shapeId="0">
      <text>
        <r>
          <rPr>
            <sz val="9"/>
            <color indexed="81"/>
            <rFont val="Tahoma"/>
            <family val="2"/>
          </rPr>
          <t>Pour forêt métropolitaine</t>
        </r>
      </text>
    </comment>
    <comment ref="A39"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6" authorId="0" shapeId="0">
      <text>
        <r>
          <rPr>
            <b/>
            <sz val="9"/>
            <color indexed="81"/>
            <rFont val="Tahoma"/>
            <family val="2"/>
          </rPr>
          <t>Stock de carbone au début de l'année n dans les produits bois déjà récoltés</t>
        </r>
      </text>
    </comment>
    <comment ref="A19" authorId="0" shapeId="0">
      <text>
        <r>
          <rPr>
            <b/>
            <sz val="9"/>
            <color indexed="81"/>
            <rFont val="Tahoma"/>
            <family val="2"/>
          </rPr>
          <t>Flux(n) = flux entrant de carbone au cours de l’année n (sur la période entre l’année n et l’année n+1),
c’est-à-dire le stock de carbone des produits bois récoltés (volume bois fort éclairci) au cours de l’année
n (= 0 en l’absence d’éclaircie). Flux(n) est exprimé en tCO2/ha.</t>
        </r>
      </text>
    </comment>
    <comment ref="A26" authorId="0" shapeId="0">
      <text>
        <r>
          <rPr>
            <sz val="9"/>
            <color indexed="81"/>
            <rFont val="Tahoma"/>
            <family val="2"/>
          </rPr>
          <t xml:space="preserve"> Porteur de projet devra intégrer un rendement
sciage pour les produits bois valorisés dans la catégorie « sciages » ; celui-ci est fixé par défaut à 50 %
(le reste étant valorisé en bois énergie, c’est-à-dire négligé car aucun temps de demi-vie est fixé pour
cette catégorie). Par exemple, une éclaircie qui viserait à produire 60 % de bois d’œuvre (= sciages)
constituerait un stock de carbone que pour 30 % du volume entrant.</t>
        </r>
      </text>
    </comment>
    <comment ref="A30" authorId="0" shapeId="0">
      <text>
        <r>
          <rPr>
            <b/>
            <sz val="9"/>
            <color indexed="81"/>
            <rFont val="Tahoma"/>
            <family val="2"/>
          </rPr>
          <t>Stock de carbone au début de l'année n dans les produits bois déjà récoltés</t>
        </r>
      </text>
    </comment>
  </commentList>
</comments>
</file>

<file path=xl/comments3.xml><?xml version="1.0" encoding="utf-8"?>
<comments xmlns="http://schemas.openxmlformats.org/spreadsheetml/2006/main">
  <authors>
    <author>Florence HEUSCHMIDT</author>
  </authors>
  <commentList>
    <comment ref="A21" authorId="0" shapeId="0">
      <text>
        <r>
          <rPr>
            <b/>
            <sz val="9"/>
            <color indexed="81"/>
            <rFont val="Tahoma"/>
            <family val="2"/>
          </rPr>
          <t>Flux entrant issu des produits bois récoltés au cours de l’année n (sur la période entre l’année n et l’année n+1) dans le scénario de projet</t>
        </r>
      </text>
    </comment>
    <comment ref="A24" authorId="0" shapeId="0">
      <text>
        <r>
          <rPr>
            <b/>
            <sz val="9"/>
            <color indexed="81"/>
            <rFont val="Tahoma"/>
            <family val="2"/>
          </rPr>
          <t>Flux entrant issu des produits bois récoltés au cours de l’année n (sur la période entre l’année n et l’année n+1) dans le scénario de référence
Si essence feuillus : pas d'éclaircie sur les 30ères années, 
si Résineux 1 éclaircie avec pour destination du bois industrie sur les 30ères années.</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<sst xmlns="http://schemas.openxmlformats.org/spreadsheetml/2006/main" count="309" uniqueCount="226">
  <si>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</si>
  <si>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</si>
  <si>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</si>
  <si>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</si>
  <si>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</si>
  <si>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</si>
  <si>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</si>
  <si>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</si>
  <si>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</si>
  <si>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</si>
  <si>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L0 (carbone de la litière avant le projet de reboisement) (en tC/ha)</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</si>
  <si>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</si>
  <si>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</si>
  <si>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</si>
  <si>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</si>
  <si>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</si>
  <si>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</si>
  <si>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</si>
  <si>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</si>
  <si>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</si>
  <si>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</si>
  <si>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</si>
  <si>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</si>
  <si>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</si>
  <si>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</si>
  <si>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</si>
  <si>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</si>
  <si>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</si>
  <si>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</si>
  <si>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</si>
  <si>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</si>
  <si>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</si>
  <si>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</si>
  <si>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</si>
  <si>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</si>
  <si>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</si>
  <si>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</si>
  <si>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</si>
  <si>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</si>
  <si>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</si>
  <si>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</si>
  <si>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</si>
  <si>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</si>
  <si>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</si>
  <si>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</si>
  <si>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</si>
  <si>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</si>
  <si>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</si>
  <si>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</si>
  <si>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</si>
  <si>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</si>
  <si>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</si>
  <si>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</si>
  <si>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</si>
  <si>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</si>
  <si>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</si>
  <si>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</si>
  <si>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</si>
  <si>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</si>
  <si>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</si>
  <si>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</si>
  <si>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</si>
  <si>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</si>
  <si>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</si>
  <si>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</si>
  <si>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</si>
  <si>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</si>
  <si>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</si>
  <si>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</si>
  <si>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</si>
  <si>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</si>
  <si>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</si>
  <si>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</si>
  <si>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</si>
  <si>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</si>
  <si>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</si>
  <si>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</si>
  <si>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</si>
  <si>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</si>
  <si>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</si>
  <si>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</si>
  <si>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</si>
  <si>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</si>
  <si>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</si>
  <si>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</si>
  <si>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</si>
  <si>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</si>
  <si>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</si>
  <si>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</si>
  <si>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Essence accrus</t>
  </si>
  <si>
    <t xml:space="preserve">REA produits (produits bois) (en tCO2) = </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</si>
  <si>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</si>
  <si>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</si>
  <si>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</si>
  <si>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</si>
  <si>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</si>
  <si>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</si>
  <si>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</si>
  <si>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</si>
  <si>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</si>
  <si>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</si>
  <si>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</si>
  <si>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</si>
  <si>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</si>
  <si>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</si>
  <si>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</si>
  <si>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</si>
  <si>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</si>
  <si>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</si>
  <si>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</si>
  <si>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</si>
  <si>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</si>
  <si>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</si>
  <si>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</si>
  <si>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CS (coefficient de substitution) (en tCO2/m3) scénario référence après récolte</t>
  </si>
  <si>
    <t>Type de friches</t>
  </si>
  <si>
    <t>Résineux pionniers (PM, PA, PS…)</t>
  </si>
  <si>
    <t>Reboisement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</si>
  <si>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</si>
  <si>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</si>
  <si>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</si>
  <si>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</si>
  <si>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</si>
  <si>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</si>
  <si>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</si>
  <si>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</si>
  <si>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</si>
  <si>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</si>
  <si>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</si>
  <si>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</si>
  <si>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</si>
  <si>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</si>
  <si>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</si>
  <si>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</si>
  <si>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</si>
  <si>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</si>
  <si>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</si>
  <si>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</si>
  <si>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</si>
  <si>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</si>
  <si>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</si>
  <si>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</si>
  <si>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</si>
  <si>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</si>
  <si>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</si>
  <si>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</si>
  <si>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Situation de référence</t>
  </si>
  <si>
    <t>Embroussaillement</t>
  </si>
  <si>
    <t>Culture agricole</t>
  </si>
  <si>
    <t>Nature de prairie ou pâture</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</si>
  <si>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</si>
  <si>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</si>
  <si>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</si>
  <si>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</si>
  <si>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</si>
  <si>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</si>
  <si>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</si>
  <si>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</si>
  <si>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</si>
  <si>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</si>
  <si>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</si>
  <si>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</si>
  <si>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</si>
  <si>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</si>
  <si>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</si>
  <si>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</si>
  <si>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</si>
  <si>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</si>
  <si>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</si>
  <si>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</si>
  <si>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</si>
  <si>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</si>
  <si>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</si>
  <si>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</si>
  <si>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</si>
  <si>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</si>
  <si>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</si>
  <si>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</si>
  <si>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</si>
  <si>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</si>
  <si>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REA forêt (compartiments forestiers) (en tCO2/ha) =</t>
  </si>
  <si>
    <t xml:space="preserve">REA produits (produits bois) (en tCO2/ha) = </t>
  </si>
  <si>
    <t xml:space="preserve">REE substitution (en tCO2/ha) = </t>
  </si>
  <si>
    <t>Biomasse Aérienne (n) (en tMS/ha)</t>
  </si>
  <si>
    <t>Biomasse Racinaire (n) (en tMS/ha)</t>
  </si>
  <si>
    <t>Litière (n) (en tC/ha)</t>
  </si>
  <si>
    <t>Bois Mort (n) (en tC/ha)</t>
  </si>
  <si>
    <t>S projet (n) (en tCO2/ha)</t>
  </si>
  <si>
    <t>S réf (n) (en tCO2/ha)</t>
  </si>
  <si>
    <t>Flux entrant de carbone en bois de sciage au cours de l'année n et dégradation (en tC/ha)</t>
  </si>
  <si>
    <t>Dégradation du bois de sciage déjà récoltés (en tC/ha)</t>
  </si>
  <si>
    <t>C projet Bois de sciage (n) (en tC/ha)</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</si>
  <si>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</si>
  <si>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</si>
  <si>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</si>
  <si>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</si>
  <si>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</si>
  <si>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</si>
  <si>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C projet (n) (en tC/ha)</t>
  </si>
  <si>
    <t>C réf (n) (en tC/ha)</t>
  </si>
  <si>
    <t>C projet (n) - C réf (n) (en tC/ha)</t>
  </si>
  <si>
    <t>CS*Flux projet (n) (en TCO2/ha)</t>
  </si>
  <si>
    <t>Flux projet (n) (en m3/ha)</t>
  </si>
  <si>
    <t>Flux réf (n) (en m3/ha)</t>
  </si>
  <si>
    <t>CS*Flux réf (n) (en TCO2/ha)</t>
  </si>
  <si>
    <t>CSp*Flux projet (n) - CSr*Flux réf (n) (en tCO2/ha)</t>
  </si>
  <si>
    <r>
      <t>deltaS(30) (différence de stock de C à l’année 30 entre le projet et le scénario de référence) (en</t>
    </r>
    <r>
      <rPr>
        <b/>
        <sz val="11"/>
        <color theme="1"/>
        <rFont val="Calibri"/>
        <family val="2"/>
        <scheme val="minor"/>
      </rPr>
      <t xml:space="preserve"> tCO2/ha</t>
    </r>
    <r>
      <rPr>
        <sz val="11"/>
        <color theme="1"/>
        <rFont val="Calibri"/>
        <family val="2"/>
        <scheme val="minor"/>
      </rPr>
      <t xml:space="preserve"> à 30 ans)</t>
    </r>
  </si>
  <si>
    <r>
      <t xml:space="preserve">deltaS(30) (différence de stock de C à l’année 30 entre le projet et le scénario de référence) (en </t>
    </r>
    <r>
      <rPr>
        <b/>
        <sz val="11"/>
        <color theme="1"/>
        <rFont val="Calibri"/>
        <family val="2"/>
        <scheme val="minor"/>
      </rPr>
      <t>tCO2</t>
    </r>
    <r>
      <rPr>
        <sz val="11"/>
        <color theme="1"/>
        <rFont val="Calibri"/>
        <family val="2"/>
        <scheme val="minor"/>
      </rPr>
      <t xml:space="preserve"> à 30 ans)</t>
    </r>
  </si>
  <si>
    <r>
      <t xml:space="preserve">moyenne du carbone stocké dans le projet pendant sa durée de vie (en </t>
    </r>
    <r>
      <rPr>
        <b/>
        <sz val="11"/>
        <color theme="1"/>
        <rFont val="Calibri"/>
        <family val="2"/>
        <scheme val="minor"/>
      </rPr>
      <t>tCO2/ha/an</t>
    </r>
    <r>
      <rPr>
        <sz val="11"/>
        <color theme="1"/>
        <rFont val="Calibri"/>
        <family val="2"/>
        <scheme val="minor"/>
      </rPr>
      <t xml:space="preserve">) </t>
    </r>
  </si>
  <si>
    <r>
      <t xml:space="preserve">moyenne du carbone stocké dans le projet pendant sa durée de vie (en </t>
    </r>
    <r>
      <rPr>
        <b/>
        <sz val="11"/>
        <color theme="1"/>
        <rFont val="Calibri"/>
        <family val="2"/>
        <scheme val="minor"/>
      </rPr>
      <t>tCO2/an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</si>
  <si>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tCO2/ha/an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</si>
  <si>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</si>
  <si>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tCO2/ha/an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</si>
  <si>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tCO2/an</t>
    </r>
    <r>
      <rPr>
        <sz val="11"/>
        <color theme="1"/>
        <rFont val="Calibri"/>
        <family val="2"/>
        <scheme val="minor"/>
      </rPr>
      <t xml:space="preserve">) </t>
    </r>
  </si>
  <si>
    <t>Moyenne</t>
  </si>
  <si>
    <t>Volume bois fort Bois de sciage (n) (en m3/ha)</t>
  </si>
  <si>
    <t>Volume  bois fort Panneaux de bois (n) (en m3/ha)</t>
  </si>
  <si>
    <t>Volume  bois fort Papier (n) (en m3/ha)</t>
  </si>
  <si>
    <t>Projet situé dans les GRECO de l'IGN "Méditerranée" et "Corse"</t>
  </si>
  <si>
    <t>GRECO IGN</t>
  </si>
  <si>
    <t>OUI</t>
  </si>
  <si>
    <t>NON</t>
  </si>
  <si>
    <t>Si embroussaillement de la parcelle, enfrichement par des :</t>
  </si>
  <si>
    <t>Analyse économique de l’additionnalité</t>
  </si>
  <si>
    <t>Risques généraux difficilement maîtrisables</t>
  </si>
  <si>
    <t>Projet AFB de reboisement post incendie en Dordogne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</si>
</sst>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9"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b/>
      <sz val="20"/>
      <color theme="1"/>
      <name val="Calibri"/>
      <family val="2"/>
      <scheme val="minor"/>
    </font>
  </fonts>
  <fills count="17">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99FF99"/>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5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style="medium">
        <color indexed="64"/>
      </top>
      <bottom/>
      <diagonal/>
    </border>
  </borders>
  <cellStyleXfs count="1">
    <xf numFmtId="0" fontId="0" fillId="0" borderId="0"/>
  </cellStyleXfs>
  <cellXfs count="182">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5" borderId="22" xfId="0" applyFont="1" applyFill="1" applyBorder="1" applyAlignment="1">
      <alignment vertical="center" wrapText="1"/>
    </xf>
    <xf numFmtId="0" fontId="0" fillId="7" borderId="9" xfId="0" applyFill="1" applyBorder="1" applyAlignment="1">
      <alignment horizontal="center"/>
    </xf>
    <xf numFmtId="0" fontId="0" fillId="0" borderId="20" xfId="0" applyFill="1" applyBorder="1" applyAlignment="1">
      <alignment horizontal="center" vertical="center"/>
    </xf>
    <xf numFmtId="0" fontId="0" fillId="7" borderId="11" xfId="0" applyFill="1" applyBorder="1" applyAlignment="1">
      <alignment horizontal="center" vertical="center"/>
    </xf>
    <xf numFmtId="0" fontId="0" fillId="7" borderId="26" xfId="0" applyFill="1" applyBorder="1" applyAlignment="1">
      <alignment horizontal="center" vertical="center"/>
    </xf>
    <xf numFmtId="0" fontId="0" fillId="0" borderId="27" xfId="0" applyFill="1" applyBorder="1" applyAlignment="1">
      <alignment horizontal="center" vertical="center"/>
    </xf>
    <xf numFmtId="0" fontId="0" fillId="3" borderId="25" xfId="0" applyFill="1" applyBorder="1" applyAlignment="1">
      <alignment horizontal="center" vertical="center"/>
    </xf>
    <xf numFmtId="0" fontId="0" fillId="7" borderId="7" xfId="0" applyFill="1" applyBorder="1" applyAlignment="1">
      <alignment horizontal="center" vertical="center"/>
    </xf>
    <xf numFmtId="0" fontId="0" fillId="7" borderId="28" xfId="0" applyFill="1" applyBorder="1" applyAlignment="1">
      <alignment horizontal="center" vertical="center"/>
    </xf>
    <xf numFmtId="164" fontId="0" fillId="7" borderId="23" xfId="0" applyNumberFormat="1" applyFill="1" applyBorder="1" applyAlignment="1">
      <alignment horizontal="center" vertical="center"/>
    </xf>
    <xf numFmtId="164" fontId="0" fillId="7" borderId="9" xfId="0" applyNumberFormat="1" applyFill="1" applyBorder="1" applyAlignment="1">
      <alignment horizontal="center" vertical="center"/>
    </xf>
    <xf numFmtId="164" fontId="0" fillId="7" borderId="3" xfId="0" applyNumberFormat="1" applyFill="1" applyBorder="1" applyAlignment="1">
      <alignment horizontal="center" vertical="center"/>
    </xf>
    <xf numFmtId="0" fontId="0" fillId="8" borderId="14" xfId="0" applyFill="1" applyBorder="1" applyAlignment="1">
      <alignment vertical="center" wrapText="1"/>
    </xf>
    <xf numFmtId="164" fontId="0" fillId="7" borderId="11" xfId="0" applyNumberFormat="1" applyFill="1" applyBorder="1" applyAlignment="1">
      <alignment horizontal="center" vertical="center"/>
    </xf>
    <xf numFmtId="0" fontId="4" fillId="5" borderId="4" xfId="0" applyFont="1" applyFill="1" applyBorder="1" applyAlignment="1">
      <alignment horizontal="center" vertical="center" wrapText="1"/>
    </xf>
    <xf numFmtId="0" fontId="5" fillId="5" borderId="22"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7" borderId="23"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7" borderId="9" xfId="0" applyFill="1" applyBorder="1" applyAlignment="1">
      <alignment horizontal="center" vertical="center"/>
    </xf>
    <xf numFmtId="0" fontId="0" fillId="10" borderId="6" xfId="0" applyFill="1" applyBorder="1" applyAlignment="1">
      <alignment vertical="center" wrapText="1"/>
    </xf>
    <xf numFmtId="0" fontId="4" fillId="0" borderId="33"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0" fillId="0" borderId="0" xfId="0" applyAlignment="1">
      <alignment wrapText="1"/>
    </xf>
    <xf numFmtId="0" fontId="4" fillId="2" borderId="22"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4"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30" xfId="0" applyFill="1" applyBorder="1" applyAlignment="1">
      <alignment horizontal="center" vertical="center"/>
    </xf>
    <xf numFmtId="164" fontId="0" fillId="0" borderId="7" xfId="0" applyNumberFormat="1" applyFill="1" applyBorder="1" applyAlignment="1">
      <alignment horizontal="center" vertical="center"/>
    </xf>
    <xf numFmtId="0" fontId="0" fillId="7" borderId="23" xfId="0" applyFill="1" applyBorder="1" applyAlignment="1">
      <alignment horizontal="center" vertical="center"/>
    </xf>
    <xf numFmtId="0" fontId="0" fillId="7" borderId="20" xfId="0" applyFill="1" applyBorder="1" applyAlignment="1">
      <alignment horizontal="center" vertical="center"/>
    </xf>
    <xf numFmtId="164" fontId="0" fillId="7" borderId="29" xfId="0" applyNumberFormat="1" applyFill="1" applyBorder="1" applyAlignment="1">
      <alignment horizontal="center" vertical="center"/>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9" borderId="6" xfId="0" applyFill="1" applyBorder="1" applyAlignment="1">
      <alignment vertical="center" wrapText="1"/>
    </xf>
    <xf numFmtId="0" fontId="0" fillId="11" borderId="6" xfId="0" applyFill="1" applyBorder="1" applyAlignment="1">
      <alignment vertical="center" wrapText="1"/>
    </xf>
    <xf numFmtId="0" fontId="0" fillId="12" borderId="6" xfId="0" applyFill="1" applyBorder="1" applyAlignment="1">
      <alignment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0" fillId="7" borderId="7" xfId="0" applyFont="1" applyFill="1" applyBorder="1" applyAlignment="1">
      <alignment horizontal="center" vertical="center" wrapText="1"/>
    </xf>
    <xf numFmtId="0" fontId="4" fillId="2" borderId="35" xfId="0" applyFont="1" applyFill="1" applyBorder="1" applyAlignment="1">
      <alignment horizontal="center" vertical="center"/>
    </xf>
    <xf numFmtId="0" fontId="0" fillId="4" borderId="44"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6" xfId="0" applyFill="1" applyBorder="1" applyAlignment="1">
      <alignment horizontal="center" vertical="center" wrapText="1"/>
    </xf>
    <xf numFmtId="0" fontId="1" fillId="10" borderId="33" xfId="0" applyFont="1" applyFill="1" applyBorder="1" applyAlignment="1">
      <alignment horizontal="center" vertical="center" wrapText="1"/>
    </xf>
    <xf numFmtId="0" fontId="0" fillId="4" borderId="47"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8" xfId="0" applyFill="1" applyBorder="1" applyAlignment="1">
      <alignment horizontal="center" vertical="center" wrapText="1"/>
    </xf>
    <xf numFmtId="0" fontId="1" fillId="10" borderId="49"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50"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7" xfId="0" applyFill="1" applyBorder="1" applyAlignment="1">
      <alignment horizontal="center" vertical="center" wrapText="1"/>
    </xf>
    <xf numFmtId="0" fontId="0" fillId="4" borderId="14" xfId="0" applyFill="1" applyBorder="1" applyAlignment="1">
      <alignment horizontal="center" vertical="center" wrapText="1"/>
    </xf>
    <xf numFmtId="0" fontId="4" fillId="2" borderId="33" xfId="0" applyFont="1" applyFill="1" applyBorder="1" applyAlignment="1">
      <alignment horizontal="center" vertical="center" wrapText="1"/>
    </xf>
    <xf numFmtId="0" fontId="0" fillId="4" borderId="34"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0" xfId="0" applyFill="1" applyBorder="1" applyAlignment="1">
      <alignment horizontal="center" vertical="center" wrapText="1"/>
    </xf>
    <xf numFmtId="0" fontId="0" fillId="4" borderId="41" xfId="0" applyFill="1" applyBorder="1" applyAlignment="1">
      <alignment horizontal="center" vertical="center" wrapText="1"/>
    </xf>
    <xf numFmtId="0" fontId="4" fillId="2" borderId="25"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0" fillId="7" borderId="3" xfId="0" applyNumberFormat="1" applyFill="1" applyBorder="1" applyAlignment="1">
      <alignment horizontal="center" vertical="center"/>
    </xf>
    <xf numFmtId="1" fontId="0" fillId="7" borderId="5" xfId="0" applyNumberFormat="1" applyFill="1" applyBorder="1" applyAlignment="1">
      <alignment horizontal="center" vertical="center"/>
    </xf>
    <xf numFmtId="0" fontId="0" fillId="4" borderId="31" xfId="0" applyFill="1" applyBorder="1" applyAlignment="1">
      <alignment vertical="center" wrapText="1"/>
    </xf>
    <xf numFmtId="1" fontId="0" fillId="7" borderId="9" xfId="0" applyNumberFormat="1" applyFill="1" applyBorder="1" applyAlignment="1">
      <alignment horizontal="center" vertical="center"/>
    </xf>
    <xf numFmtId="0" fontId="0" fillId="3" borderId="5" xfId="0" applyFill="1" applyBorder="1" applyAlignment="1">
      <alignment horizontal="center" vertical="center"/>
    </xf>
    <xf numFmtId="1" fontId="0" fillId="7" borderId="23" xfId="0" applyNumberFormat="1" applyFill="1" applyBorder="1" applyAlignment="1">
      <alignment horizontal="center" vertical="center"/>
    </xf>
    <xf numFmtId="0" fontId="0" fillId="0" borderId="0" xfId="0" applyBorder="1"/>
    <xf numFmtId="0" fontId="0" fillId="7" borderId="23" xfId="0" applyFill="1" applyBorder="1" applyAlignment="1">
      <alignment horizontal="center"/>
    </xf>
    <xf numFmtId="1" fontId="0" fillId="13" borderId="5" xfId="0" applyNumberFormat="1" applyFill="1" applyBorder="1" applyAlignment="1">
      <alignment horizontal="center" vertical="center"/>
    </xf>
    <xf numFmtId="1" fontId="0" fillId="13" borderId="9" xfId="0" applyNumberFormat="1" applyFill="1" applyBorder="1" applyAlignment="1">
      <alignment horizontal="center" vertical="center"/>
    </xf>
    <xf numFmtId="165" fontId="0" fillId="9" borderId="25" xfId="0" applyNumberFormat="1" applyFill="1" applyBorder="1" applyAlignment="1">
      <alignment horizontal="center" vertical="center"/>
    </xf>
    <xf numFmtId="0" fontId="4" fillId="14" borderId="6" xfId="0" applyFont="1" applyFill="1" applyBorder="1" applyAlignment="1">
      <alignment horizontal="center" vertical="center" wrapText="1"/>
    </xf>
    <xf numFmtId="0" fontId="4" fillId="14" borderId="8" xfId="0" applyFont="1" applyFill="1" applyBorder="1" applyAlignment="1">
      <alignment horizontal="center" vertical="center" wrapText="1"/>
    </xf>
    <xf numFmtId="164" fontId="0" fillId="7" borderId="7" xfId="0" applyNumberFormat="1" applyFill="1" applyBorder="1" applyAlignment="1">
      <alignment horizontal="center" vertical="center"/>
    </xf>
    <xf numFmtId="0" fontId="0" fillId="0" borderId="7" xfId="0" applyFill="1" applyBorder="1" applyAlignment="1">
      <alignment horizontal="center" vertical="center"/>
    </xf>
    <xf numFmtId="165" fontId="0" fillId="0" borderId="0" xfId="0" applyNumberFormat="1" applyFill="1" applyBorder="1" applyAlignment="1">
      <alignment horizontal="center" vertical="center"/>
    </xf>
    <xf numFmtId="0" fontId="0" fillId="0" borderId="0" xfId="0" applyFill="1" applyAlignment="1">
      <alignment wrapText="1"/>
    </xf>
    <xf numFmtId="0" fontId="0" fillId="4" borderId="8" xfId="0" applyFill="1" applyBorder="1" applyAlignment="1">
      <alignment horizontal="center" vertical="center" wrapText="1"/>
    </xf>
    <xf numFmtId="165" fontId="0" fillId="7" borderId="11" xfId="0" applyNumberFormat="1" applyFill="1" applyBorder="1" applyAlignment="1">
      <alignment horizontal="center" vertical="center"/>
    </xf>
    <xf numFmtId="0" fontId="0" fillId="15" borderId="9" xfId="0" applyFill="1" applyBorder="1" applyAlignment="1">
      <alignment horizontal="center" vertical="center" wrapText="1"/>
    </xf>
    <xf numFmtId="0" fontId="1" fillId="10" borderId="54" xfId="0" applyFont="1" applyFill="1" applyBorder="1" applyAlignment="1">
      <alignment horizontal="center" vertical="center" wrapText="1"/>
    </xf>
    <xf numFmtId="165" fontId="0" fillId="0" borderId="3" xfId="0" applyNumberFormat="1" applyBorder="1" applyAlignment="1">
      <alignment horizontal="center" vertical="center"/>
    </xf>
    <xf numFmtId="165" fontId="0" fillId="0" borderId="10" xfId="0" applyNumberFormat="1" applyBorder="1" applyAlignment="1">
      <alignment horizontal="center" vertical="center"/>
    </xf>
    <xf numFmtId="0" fontId="0" fillId="4" borderId="19" xfId="0"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4" borderId="39" xfId="0" applyFill="1" applyBorder="1" applyAlignment="1">
      <alignment horizontal="center" vertical="center" wrapText="1"/>
    </xf>
    <xf numFmtId="0" fontId="4" fillId="0" borderId="42" xfId="0" applyFont="1" applyBorder="1" applyAlignment="1">
      <alignment horizontal="center" vertical="center" wrapText="1"/>
    </xf>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1" fillId="6" borderId="14" xfId="0" applyFont="1" applyFill="1" applyBorder="1" applyAlignment="1">
      <alignment vertical="center" wrapText="1"/>
    </xf>
    <xf numFmtId="0" fontId="1" fillId="6" borderId="15"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165" fontId="0" fillId="7" borderId="10" xfId="0" applyNumberFormat="1" applyFill="1" applyBorder="1" applyAlignment="1">
      <alignment horizontal="center" vertical="center"/>
    </xf>
    <xf numFmtId="1" fontId="6" fillId="9" borderId="25" xfId="0" applyNumberFormat="1" applyFont="1" applyFill="1" applyBorder="1" applyAlignment="1">
      <alignment horizontal="center" vertical="center"/>
    </xf>
    <xf numFmtId="0" fontId="0" fillId="16" borderId="3" xfId="0" applyFill="1" applyBorder="1" applyAlignment="1">
      <alignment horizontal="center" vertical="center"/>
    </xf>
    <xf numFmtId="0" fontId="0" fillId="16" borderId="10" xfId="0" applyFill="1" applyBorder="1" applyAlignment="1">
      <alignment horizontal="center" vertical="center"/>
    </xf>
    <xf numFmtId="165" fontId="6" fillId="9" borderId="25" xfId="0" applyNumberFormat="1" applyFont="1" applyFill="1" applyBorder="1" applyAlignment="1">
      <alignment horizontal="left" vertical="center" indent="5"/>
    </xf>
    <xf numFmtId="165" fontId="0" fillId="0" borderId="3" xfId="0" applyNumberFormat="1" applyFill="1" applyBorder="1" applyAlignment="1">
      <alignment horizontal="center" vertical="center"/>
    </xf>
    <xf numFmtId="2" fontId="0" fillId="7" borderId="11" xfId="0" applyNumberFormat="1" applyFill="1" applyBorder="1" applyAlignment="1">
      <alignment horizontal="center" vertical="center"/>
    </xf>
    <xf numFmtId="165" fontId="4" fillId="9" borderId="50" xfId="0" applyNumberFormat="1" applyFont="1" applyFill="1" applyBorder="1" applyAlignment="1">
      <alignment horizontal="center" vertical="center" wrapText="1"/>
    </xf>
    <xf numFmtId="165" fontId="4" fillId="9" borderId="10" xfId="0" applyNumberFormat="1" applyFont="1" applyFill="1" applyBorder="1" applyAlignment="1">
      <alignment horizontal="center" vertical="center" wrapText="1"/>
    </xf>
    <xf numFmtId="165" fontId="4" fillId="9" borderId="37" xfId="0" applyNumberFormat="1" applyFont="1" applyFill="1" applyBorder="1" applyAlignment="1">
      <alignment horizontal="center" vertical="center" wrapText="1"/>
    </xf>
    <xf numFmtId="165" fontId="0" fillId="11" borderId="50" xfId="0" applyNumberFormat="1" applyFill="1" applyBorder="1" applyAlignment="1">
      <alignment horizontal="center" vertical="center"/>
    </xf>
    <xf numFmtId="165" fontId="0" fillId="11" borderId="37" xfId="0" applyNumberFormat="1" applyFill="1" applyBorder="1" applyAlignment="1">
      <alignment horizontal="center" vertical="center"/>
    </xf>
    <xf numFmtId="165" fontId="0" fillId="7" borderId="37" xfId="0" applyNumberFormat="1" applyFill="1" applyBorder="1" applyAlignment="1">
      <alignment horizontal="center" vertical="center"/>
    </xf>
    <xf numFmtId="0" fontId="1" fillId="0" borderId="30" xfId="0" applyFont="1" applyFill="1" applyBorder="1" applyAlignment="1">
      <alignment vertical="center" wrapText="1"/>
    </xf>
    <xf numFmtId="165" fontId="0" fillId="0" borderId="30" xfId="0" applyNumberFormat="1" applyFill="1" applyBorder="1" applyAlignment="1">
      <alignment horizontal="center" vertical="center"/>
    </xf>
    <xf numFmtId="0" fontId="0" fillId="7" borderId="37" xfId="0" applyFill="1" applyBorder="1" applyAlignment="1">
      <alignment horizontal="center" vertical="center"/>
    </xf>
    <xf numFmtId="0" fontId="0" fillId="0" borderId="11" xfId="0" applyFill="1" applyBorder="1" applyAlignment="1">
      <alignment horizontal="center" vertical="center" wrapText="1"/>
    </xf>
    <xf numFmtId="0" fontId="0" fillId="7" borderId="9" xfId="0" applyFill="1" applyBorder="1" applyAlignment="1">
      <alignment horizontal="center" vertical="center" wrapText="1"/>
    </xf>
    <xf numFmtId="0" fontId="8" fillId="0" borderId="0" xfId="0" applyFont="1" applyAlignment="1">
      <alignment horizontal="center" vertical="center" wrapText="1"/>
    </xf>
    <xf numFmtId="0" fontId="0" fillId="6" borderId="48" xfId="0" applyFill="1" applyBorder="1" applyAlignment="1">
      <alignment horizontal="center" vertical="center" wrapText="1"/>
    </xf>
    <xf numFmtId="0" fontId="0" fillId="6" borderId="52"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14" xfId="0" applyFont="1" applyFill="1" applyBorder="1" applyAlignment="1">
      <alignment horizontal="center" vertical="center" wrapText="1"/>
    </xf>
    <xf numFmtId="0" fontId="1" fillId="6" borderId="32" xfId="0"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40" xfId="0" applyFill="1" applyBorder="1" applyAlignment="1">
      <alignment horizontal="center" vertical="center" wrapText="1"/>
    </xf>
    <xf numFmtId="0" fontId="0" fillId="4" borderId="31" xfId="0" applyFill="1" applyBorder="1" applyAlignment="1">
      <alignment horizontal="center" vertical="center" wrapText="1"/>
    </xf>
    <xf numFmtId="0" fontId="4" fillId="6" borderId="12"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38"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6" borderId="53"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32" xfId="0" applyFont="1" applyFill="1" applyBorder="1" applyAlignment="1">
      <alignment horizontal="left" vertical="center" wrapText="1"/>
    </xf>
    <xf numFmtId="0" fontId="1" fillId="6" borderId="18"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1" fillId="10" borderId="42" xfId="0" applyFont="1" applyFill="1" applyBorder="1" applyAlignment="1">
      <alignment horizontal="center" vertical="center" wrapText="1"/>
    </xf>
    <xf numFmtId="0" fontId="1" fillId="10" borderId="43" xfId="0" applyFont="1" applyFill="1" applyBorder="1" applyAlignment="1">
      <alignment horizontal="center" vertical="center" wrapText="1"/>
    </xf>
  </cellXfs>
  <cellStyles count="1">
    <cellStyle name="Normal" xfId="0" builtinId="0"/>
  </cellStyles>
  <dxfs count="1">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8"/>
  <sheetViews>
    <sheetView tabSelected="1" topLeftCell="A6" zoomScale="98" workbookViewId="0">
      <selection activeCell="B6" sqref="B6"/>
    </sheetView>
  </sheetViews>
  <sheetFormatPr baseColWidth="10" defaultRowHeight="14.5" x14ac:dyDescent="0.35"/>
  <cols>
    <col min="1" max="1" width="32.08984375" style="1" customWidth="1"/>
    <col min="2" max="2" width="19.90625" customWidth="1"/>
    <col min="3" max="3" width="12.36328125" bestFit="1" customWidth="1"/>
    <col min="4" max="4" width="13.1796875" customWidth="1"/>
    <col min="5" max="31" width="12.36328125" bestFit="1" customWidth="1"/>
    <col min="32" max="32" width="13.36328125" bestFit="1" customWidth="1"/>
  </cols>
  <sheetData>
    <row r="1" spans="1:5" ht="29" customHeight="1" x14ac:dyDescent="0.35">
      <c r="A1" s="154" t="s">
        <v>225</v>
      </c>
      <c r="B1" s="154"/>
      <c r="C1" s="154"/>
      <c r="D1" s="154"/>
      <c r="E1" s="154"/>
    </row>
    <row r="4" spans="1:5" ht="15" thickBot="1" x14ac:dyDescent="0.4">
      <c r="B4" s="9"/>
    </row>
    <row r="5" spans="1:5" ht="37.5" thickBot="1" x14ac:dyDescent="0.4">
      <c r="A5" s="35" t="s">
        <v>180</v>
      </c>
      <c r="B5" s="137">
        <f>MIN(B41,B47)</f>
        <v>203.02639077470536</v>
      </c>
    </row>
    <row r="6" spans="1:5" ht="37.5" thickBot="1" x14ac:dyDescent="0.4">
      <c r="A6" s="35" t="s">
        <v>157</v>
      </c>
      <c r="B6" s="140">
        <f>B5*B10</f>
        <v>700.44104817273353</v>
      </c>
    </row>
    <row r="8" spans="1:5" ht="15" thickBot="1" x14ac:dyDescent="0.4"/>
    <row r="9" spans="1:5" ht="15" thickBot="1" x14ac:dyDescent="0.4">
      <c r="A9" s="157" t="s">
        <v>14</v>
      </c>
      <c r="B9" s="158"/>
    </row>
    <row r="10" spans="1:5" x14ac:dyDescent="0.35">
      <c r="A10" s="2" t="s">
        <v>7</v>
      </c>
      <c r="B10" s="97">
        <v>3.45</v>
      </c>
    </row>
    <row r="11" spans="1:5" x14ac:dyDescent="0.35">
      <c r="A11" s="3" t="s">
        <v>15</v>
      </c>
      <c r="B11" s="98">
        <v>33</v>
      </c>
    </row>
    <row r="12" spans="1:5" x14ac:dyDescent="0.35">
      <c r="A12" s="3" t="s">
        <v>19</v>
      </c>
      <c r="B12" s="98" t="s">
        <v>21</v>
      </c>
    </row>
    <row r="13" spans="1:5" ht="18.5" customHeight="1" x14ac:dyDescent="0.35">
      <c r="A13" s="3" t="s">
        <v>16</v>
      </c>
      <c r="B13" s="98">
        <v>33</v>
      </c>
    </row>
    <row r="14" spans="1:5" ht="18.5" customHeight="1" x14ac:dyDescent="0.35">
      <c r="A14" s="3" t="s">
        <v>89</v>
      </c>
      <c r="B14" s="98" t="s">
        <v>21</v>
      </c>
    </row>
    <row r="15" spans="1:5" x14ac:dyDescent="0.35">
      <c r="A15" s="3" t="s">
        <v>17</v>
      </c>
      <c r="B15" s="27">
        <v>30</v>
      </c>
    </row>
    <row r="16" spans="1:5" ht="29.5" thickBot="1" x14ac:dyDescent="0.4">
      <c r="A16" s="4" t="s">
        <v>218</v>
      </c>
      <c r="B16" s="118" t="s">
        <v>221</v>
      </c>
    </row>
    <row r="17" spans="1:177" ht="15" thickBot="1" x14ac:dyDescent="0.4"/>
    <row r="18" spans="1:177" s="5" customFormat="1" ht="15.5" x14ac:dyDescent="0.35">
      <c r="A18" s="130" t="s">
        <v>0</v>
      </c>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27"/>
      <c r="AK18" s="19"/>
      <c r="AL18" s="7"/>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3" t="s">
        <v>100</v>
      </c>
      <c r="B19" s="12">
        <v>0</v>
      </c>
      <c r="C19" s="12">
        <v>1</v>
      </c>
      <c r="D19" s="12">
        <v>2</v>
      </c>
      <c r="E19" s="12">
        <v>3</v>
      </c>
      <c r="F19" s="12">
        <v>4</v>
      </c>
      <c r="G19" s="12">
        <v>5</v>
      </c>
      <c r="H19" s="12">
        <v>6</v>
      </c>
      <c r="I19" s="12">
        <v>7</v>
      </c>
      <c r="J19" s="12">
        <v>8</v>
      </c>
      <c r="K19" s="12">
        <v>9</v>
      </c>
      <c r="L19" s="12">
        <v>10</v>
      </c>
      <c r="M19" s="138">
        <v>11</v>
      </c>
      <c r="N19" s="12">
        <v>12</v>
      </c>
      <c r="O19" s="12">
        <v>13</v>
      </c>
      <c r="P19" s="12">
        <v>14</v>
      </c>
      <c r="Q19" s="12">
        <v>15</v>
      </c>
      <c r="R19" s="12">
        <v>16</v>
      </c>
      <c r="S19" s="138">
        <v>17</v>
      </c>
      <c r="T19" s="12">
        <v>18</v>
      </c>
      <c r="U19" s="12">
        <v>19</v>
      </c>
      <c r="V19" s="12">
        <v>20</v>
      </c>
      <c r="W19" s="12">
        <v>21</v>
      </c>
      <c r="X19" s="138">
        <v>22</v>
      </c>
      <c r="Y19" s="12">
        <v>23</v>
      </c>
      <c r="Z19" s="12">
        <v>24</v>
      </c>
      <c r="AA19" s="12">
        <v>25</v>
      </c>
      <c r="AB19" s="12">
        <v>26</v>
      </c>
      <c r="AC19" s="12">
        <v>27</v>
      </c>
      <c r="AD19" s="12">
        <v>28</v>
      </c>
      <c r="AE19" s="12">
        <v>29</v>
      </c>
      <c r="AF19" s="13">
        <v>30</v>
      </c>
      <c r="AG19" s="12">
        <v>31</v>
      </c>
      <c r="AH19" s="13">
        <v>32</v>
      </c>
      <c r="AI19" s="139">
        <v>33</v>
      </c>
      <c r="AJ19" s="59"/>
      <c r="AK19" s="15"/>
      <c r="AL19" s="7"/>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34" t="s">
        <v>3</v>
      </c>
      <c r="B20" s="135"/>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49"/>
      <c r="AK20" s="6"/>
      <c r="AL20" s="7"/>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187</v>
      </c>
      <c r="B21" s="99">
        <f>(((B22+B24)*$B$34)+$B$39+B25+B26)*(44/12)</f>
        <v>256.66666666666663</v>
      </c>
      <c r="C21" s="99">
        <f t="shared" ref="C21:AI21" si="0">(((C22+C24)*$B$34)+$B$39+C25+C26)*(44/12)</f>
        <v>268.78662232764441</v>
      </c>
      <c r="D21" s="99">
        <f t="shared" si="0"/>
        <v>280.43544948773518</v>
      </c>
      <c r="E21" s="99">
        <f t="shared" si="0"/>
        <v>291.93212579121069</v>
      </c>
      <c r="F21" s="99">
        <f t="shared" si="0"/>
        <v>303.33501276650873</v>
      </c>
      <c r="G21" s="99">
        <f t="shared" si="0"/>
        <v>314.67056177153472</v>
      </c>
      <c r="H21" s="99">
        <f t="shared" si="0"/>
        <v>325.95386176521271</v>
      </c>
      <c r="I21" s="99">
        <f t="shared" si="0"/>
        <v>337.19464001593826</v>
      </c>
      <c r="J21" s="99">
        <f t="shared" si="0"/>
        <v>348.39967195018102</v>
      </c>
      <c r="K21" s="99">
        <f t="shared" si="0"/>
        <v>359.57393759258645</v>
      </c>
      <c r="L21" s="99">
        <f t="shared" si="0"/>
        <v>370.72124537259123</v>
      </c>
      <c r="M21" s="99">
        <f t="shared" si="0"/>
        <v>381.84459795701804</v>
      </c>
      <c r="N21" s="99">
        <f t="shared" si="0"/>
        <v>385.68751780906791</v>
      </c>
      <c r="O21" s="99">
        <f t="shared" si="0"/>
        <v>414.34482017033571</v>
      </c>
      <c r="P21" s="99">
        <f t="shared" si="0"/>
        <v>445.46938919893398</v>
      </c>
      <c r="Q21" s="99">
        <f t="shared" si="0"/>
        <v>476.47111266072739</v>
      </c>
      <c r="R21" s="99">
        <f t="shared" si="0"/>
        <v>508.65898589522357</v>
      </c>
      <c r="S21" s="99">
        <f t="shared" si="0"/>
        <v>542.03700776211679</v>
      </c>
      <c r="T21" s="99">
        <f t="shared" si="0"/>
        <v>504.66051561841857</v>
      </c>
      <c r="U21" s="99">
        <f t="shared" si="0"/>
        <v>534.2017896865591</v>
      </c>
      <c r="V21" s="99">
        <f t="shared" si="0"/>
        <v>562.38909366015469</v>
      </c>
      <c r="W21" s="99">
        <f t="shared" si="0"/>
        <v>591.79840309364761</v>
      </c>
      <c r="X21" s="99">
        <f t="shared" si="0"/>
        <v>621.15071046251592</v>
      </c>
      <c r="Y21" s="99">
        <f t="shared" si="0"/>
        <v>562.20730275079745</v>
      </c>
      <c r="Z21" s="99">
        <f t="shared" si="0"/>
        <v>586.502921776383</v>
      </c>
      <c r="AA21" s="99">
        <f t="shared" si="0"/>
        <v>610.75909752117514</v>
      </c>
      <c r="AB21" s="99">
        <f t="shared" si="0"/>
        <v>634.97903127837242</v>
      </c>
      <c r="AC21" s="99">
        <f t="shared" si="0"/>
        <v>659.16546483554407</v>
      </c>
      <c r="AD21" s="99">
        <f t="shared" si="0"/>
        <v>682.04749138889963</v>
      </c>
      <c r="AE21" s="99">
        <f t="shared" si="0"/>
        <v>704.90350835216543</v>
      </c>
      <c r="AF21" s="99">
        <f t="shared" si="0"/>
        <v>726.46458342763231</v>
      </c>
      <c r="AG21" s="99">
        <f t="shared" si="0"/>
        <v>746.78293411498817</v>
      </c>
      <c r="AH21" s="99">
        <f t="shared" si="0"/>
        <v>765.81370047725943</v>
      </c>
      <c r="AI21" s="136">
        <f t="shared" si="0"/>
        <v>784.82815386400728</v>
      </c>
      <c r="AJ21" s="150"/>
      <c r="AK21" s="114"/>
      <c r="AL21" s="7"/>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3" t="s">
        <v>183</v>
      </c>
      <c r="B22" s="99">
        <f>B23*$B$35*$C$36</f>
        <v>0</v>
      </c>
      <c r="C22" s="99">
        <f t="shared" ref="C22:AH22" si="1">C23*$B$35*$C$36</f>
        <v>4.5121818181818192</v>
      </c>
      <c r="D22" s="99">
        <f t="shared" si="1"/>
        <v>9.0243636363636384</v>
      </c>
      <c r="E22" s="99">
        <f t="shared" si="1"/>
        <v>13.536545454545456</v>
      </c>
      <c r="F22" s="99">
        <f t="shared" si="1"/>
        <v>18.048727272727277</v>
      </c>
      <c r="G22" s="99">
        <f t="shared" si="1"/>
        <v>22.560909090909092</v>
      </c>
      <c r="H22" s="99">
        <f t="shared" si="1"/>
        <v>27.073090909090912</v>
      </c>
      <c r="I22" s="99">
        <f t="shared" si="1"/>
        <v>31.585272727272731</v>
      </c>
      <c r="J22" s="99">
        <f t="shared" si="1"/>
        <v>36.097454545454553</v>
      </c>
      <c r="K22" s="99">
        <f t="shared" si="1"/>
        <v>40.609636363636362</v>
      </c>
      <c r="L22" s="99">
        <f t="shared" si="1"/>
        <v>45.121818181818185</v>
      </c>
      <c r="M22" s="99">
        <f t="shared" si="1"/>
        <v>49.634000000000007</v>
      </c>
      <c r="N22" s="99">
        <f t="shared" si="1"/>
        <v>50.830000000000005</v>
      </c>
      <c r="O22" s="99">
        <f t="shared" si="1"/>
        <v>63.388000000000005</v>
      </c>
      <c r="P22" s="99">
        <f t="shared" si="1"/>
        <v>77.14200000000001</v>
      </c>
      <c r="Q22" s="99">
        <f t="shared" si="1"/>
        <v>90.896000000000001</v>
      </c>
      <c r="R22" s="99">
        <f t="shared" si="1"/>
        <v>105.248</v>
      </c>
      <c r="S22" s="99">
        <f t="shared" si="1"/>
        <v>120.19800000000001</v>
      </c>
      <c r="T22" s="99">
        <f t="shared" si="1"/>
        <v>102.25800000000001</v>
      </c>
      <c r="U22" s="99">
        <f t="shared" si="1"/>
        <v>115.414</v>
      </c>
      <c r="V22" s="99">
        <f t="shared" si="1"/>
        <v>127.97199999999999</v>
      </c>
      <c r="W22" s="99">
        <f t="shared" si="1"/>
        <v>141.12800000000001</v>
      </c>
      <c r="X22" s="99">
        <f t="shared" si="1"/>
        <v>154.28400000000002</v>
      </c>
      <c r="Y22" s="99">
        <f t="shared" si="1"/>
        <v>126.17800000000001</v>
      </c>
      <c r="Z22" s="99">
        <f t="shared" si="1"/>
        <v>136.94200000000001</v>
      </c>
      <c r="AA22" s="99">
        <f t="shared" si="1"/>
        <v>147.70600000000002</v>
      </c>
      <c r="AB22" s="99">
        <f t="shared" si="1"/>
        <v>158.47</v>
      </c>
      <c r="AC22" s="99">
        <f t="shared" si="1"/>
        <v>169.23400000000001</v>
      </c>
      <c r="AD22" s="99">
        <f t="shared" si="1"/>
        <v>179.4</v>
      </c>
      <c r="AE22" s="99">
        <f t="shared" si="1"/>
        <v>189.56600000000003</v>
      </c>
      <c r="AF22" s="99">
        <f t="shared" si="1"/>
        <v>199.13400000000001</v>
      </c>
      <c r="AG22" s="99">
        <f t="shared" si="1"/>
        <v>208.702</v>
      </c>
      <c r="AH22" s="99">
        <f t="shared" si="1"/>
        <v>217.672</v>
      </c>
      <c r="AI22" s="99">
        <f>AI23*$B$35*$C$36</f>
        <v>226.642</v>
      </c>
      <c r="AJ22" s="150"/>
      <c r="AK22" s="114"/>
      <c r="AL22" s="7"/>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18" t="s">
        <v>13</v>
      </c>
      <c r="B23" s="120">
        <v>0</v>
      </c>
      <c r="C23" s="120">
        <f>B23+(83/11)</f>
        <v>7.5454545454545459</v>
      </c>
      <c r="D23" s="120">
        <f t="shared" ref="D23:M23" si="2">C23+(83/11)</f>
        <v>15.090909090909092</v>
      </c>
      <c r="E23" s="120">
        <f t="shared" si="2"/>
        <v>22.636363636363637</v>
      </c>
      <c r="F23" s="120">
        <f t="shared" si="2"/>
        <v>30.181818181818183</v>
      </c>
      <c r="G23" s="120">
        <f t="shared" si="2"/>
        <v>37.727272727272727</v>
      </c>
      <c r="H23" s="120">
        <f t="shared" si="2"/>
        <v>45.272727272727273</v>
      </c>
      <c r="I23" s="120">
        <f t="shared" si="2"/>
        <v>52.81818181818182</v>
      </c>
      <c r="J23" s="120">
        <f t="shared" si="2"/>
        <v>60.363636363636367</v>
      </c>
      <c r="K23" s="120">
        <f t="shared" si="2"/>
        <v>67.909090909090907</v>
      </c>
      <c r="L23" s="120">
        <f t="shared" si="2"/>
        <v>75.454545454545453</v>
      </c>
      <c r="M23" s="120">
        <f t="shared" si="2"/>
        <v>83</v>
      </c>
      <c r="N23" s="120">
        <v>85</v>
      </c>
      <c r="O23" s="120">
        <v>106</v>
      </c>
      <c r="P23" s="120">
        <v>129</v>
      </c>
      <c r="Q23" s="120">
        <v>152</v>
      </c>
      <c r="R23" s="120">
        <v>176</v>
      </c>
      <c r="S23" s="120">
        <v>201</v>
      </c>
      <c r="T23" s="120">
        <v>171</v>
      </c>
      <c r="U23" s="120">
        <v>193</v>
      </c>
      <c r="V23" s="120">
        <v>214</v>
      </c>
      <c r="W23" s="120">
        <v>236</v>
      </c>
      <c r="X23" s="120">
        <v>258</v>
      </c>
      <c r="Y23" s="120">
        <v>211</v>
      </c>
      <c r="Z23" s="120">
        <v>229</v>
      </c>
      <c r="AA23" s="120">
        <v>247</v>
      </c>
      <c r="AB23" s="120">
        <v>265</v>
      </c>
      <c r="AC23" s="120">
        <v>283</v>
      </c>
      <c r="AD23" s="120">
        <v>300</v>
      </c>
      <c r="AE23" s="120">
        <v>317</v>
      </c>
      <c r="AF23" s="121">
        <v>333</v>
      </c>
      <c r="AG23" s="120">
        <v>349</v>
      </c>
      <c r="AH23" s="121">
        <v>364</v>
      </c>
      <c r="AI23" s="121">
        <v>379</v>
      </c>
      <c r="AJ23" s="150"/>
      <c r="AK23" s="114"/>
      <c r="AL23" s="7"/>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x14ac:dyDescent="0.35">
      <c r="A24" s="3" t="s">
        <v>184</v>
      </c>
      <c r="B24" s="99">
        <v>0</v>
      </c>
      <c r="C24" s="99">
        <f>EXP(-1.0587+0.8836*LN(C22)+0.284)</f>
        <v>1.7448900126825935</v>
      </c>
      <c r="D24" s="99">
        <f t="shared" ref="D24:AI24" si="3">EXP(-1.0587+0.8836*LN(D22)+0.284)</f>
        <v>3.2192756229420225</v>
      </c>
      <c r="E24" s="99">
        <f t="shared" si="3"/>
        <v>4.6063018896903554</v>
      </c>
      <c r="F24" s="99">
        <f t="shared" si="3"/>
        <v>5.9394778244707487</v>
      </c>
      <c r="G24" s="99">
        <f t="shared" si="3"/>
        <v>7.2339908098125951</v>
      </c>
      <c r="H24" s="99">
        <f t="shared" si="3"/>
        <v>8.4985043628015848</v>
      </c>
      <c r="I24" s="99">
        <f t="shared" si="3"/>
        <v>9.738603517923103</v>
      </c>
      <c r="J24" s="99">
        <f t="shared" si="3"/>
        <v>10.958178472193246</v>
      </c>
      <c r="K24" s="99">
        <f t="shared" si="3"/>
        <v>12.160088569906112</v>
      </c>
      <c r="L24" s="99">
        <f t="shared" si="3"/>
        <v>13.346520469111406</v>
      </c>
      <c r="M24" s="99">
        <f t="shared" si="3"/>
        <v>14.519198189037462</v>
      </c>
      <c r="N24" s="99">
        <f t="shared" si="3"/>
        <v>14.827904962144258</v>
      </c>
      <c r="O24" s="99">
        <f t="shared" si="3"/>
        <v>18.022104085041249</v>
      </c>
      <c r="P24" s="99">
        <f t="shared" si="3"/>
        <v>21.436915648510755</v>
      </c>
      <c r="Q24" s="99">
        <f t="shared" si="3"/>
        <v>24.781193872187952</v>
      </c>
      <c r="R24" s="99">
        <f t="shared" si="3"/>
        <v>28.208515027560551</v>
      </c>
      <c r="S24" s="99">
        <f t="shared" si="3"/>
        <v>31.721175110625282</v>
      </c>
      <c r="T24" s="99">
        <f t="shared" si="3"/>
        <v>27.499233847895859</v>
      </c>
      <c r="U24" s="99">
        <f t="shared" si="3"/>
        <v>30.602976534547519</v>
      </c>
      <c r="V24" s="99">
        <f t="shared" si="3"/>
        <v>33.527320123852846</v>
      </c>
      <c r="W24" s="99">
        <f t="shared" si="3"/>
        <v>36.55529364228574</v>
      </c>
      <c r="X24" s="99">
        <f t="shared" si="3"/>
        <v>39.550538702560999</v>
      </c>
      <c r="Y24" s="99">
        <f t="shared" si="3"/>
        <v>33.111679410346248</v>
      </c>
      <c r="Z24" s="99">
        <f t="shared" si="3"/>
        <v>35.595562742420903</v>
      </c>
      <c r="AA24" s="99">
        <f t="shared" si="3"/>
        <v>38.056799214709841</v>
      </c>
      <c r="AB24" s="99">
        <f t="shared" si="3"/>
        <v>40.497226890293632</v>
      </c>
      <c r="AC24" s="99">
        <f t="shared" si="3"/>
        <v>42.918420001269354</v>
      </c>
      <c r="AD24" s="99">
        <f t="shared" si="3"/>
        <v>45.188671291872232</v>
      </c>
      <c r="AE24" s="99">
        <f t="shared" si="3"/>
        <v>47.44398884653836</v>
      </c>
      <c r="AF24" s="99">
        <f t="shared" si="3"/>
        <v>49.553799097205186</v>
      </c>
      <c r="AG24" s="99">
        <f t="shared" si="3"/>
        <v>51.651837769371248</v>
      </c>
      <c r="AH24" s="99">
        <f t="shared" si="3"/>
        <v>53.60859357546002</v>
      </c>
      <c r="AI24" s="136">
        <f t="shared" si="3"/>
        <v>55.555983079812862</v>
      </c>
      <c r="AJ24" s="150"/>
      <c r="AK24" s="114"/>
      <c r="AL24" s="105"/>
    </row>
    <row r="25" spans="1:177" x14ac:dyDescent="0.35">
      <c r="A25" s="3" t="s">
        <v>185</v>
      </c>
      <c r="B25" s="99">
        <f t="shared" ref="B25:AF25" si="4">(B19*(($B$38-$B$37)/30))</f>
        <v>0</v>
      </c>
      <c r="C25" s="99">
        <f t="shared" si="4"/>
        <v>0.33333333333333331</v>
      </c>
      <c r="D25" s="99">
        <f t="shared" si="4"/>
        <v>0.66666666666666663</v>
      </c>
      <c r="E25" s="99">
        <f t="shared" si="4"/>
        <v>1</v>
      </c>
      <c r="F25" s="99">
        <f t="shared" si="4"/>
        <v>1.3333333333333333</v>
      </c>
      <c r="G25" s="99">
        <f t="shared" si="4"/>
        <v>1.6666666666666665</v>
      </c>
      <c r="H25" s="99">
        <f t="shared" si="4"/>
        <v>2</v>
      </c>
      <c r="I25" s="99">
        <f t="shared" si="4"/>
        <v>2.333333333333333</v>
      </c>
      <c r="J25" s="99">
        <f t="shared" si="4"/>
        <v>2.6666666666666665</v>
      </c>
      <c r="K25" s="99">
        <f t="shared" si="4"/>
        <v>3</v>
      </c>
      <c r="L25" s="99">
        <f t="shared" si="4"/>
        <v>3.333333333333333</v>
      </c>
      <c r="M25" s="99">
        <f t="shared" si="4"/>
        <v>3.6666666666666665</v>
      </c>
      <c r="N25" s="99">
        <f t="shared" si="4"/>
        <v>4</v>
      </c>
      <c r="O25" s="99">
        <f t="shared" si="4"/>
        <v>4.333333333333333</v>
      </c>
      <c r="P25" s="99">
        <f t="shared" si="4"/>
        <v>4.6666666666666661</v>
      </c>
      <c r="Q25" s="99">
        <f t="shared" si="4"/>
        <v>5</v>
      </c>
      <c r="R25" s="99">
        <f t="shared" si="4"/>
        <v>5.333333333333333</v>
      </c>
      <c r="S25" s="99">
        <f t="shared" si="4"/>
        <v>5.6666666666666661</v>
      </c>
      <c r="T25" s="99">
        <f t="shared" si="4"/>
        <v>6</v>
      </c>
      <c r="U25" s="99">
        <f t="shared" si="4"/>
        <v>6.333333333333333</v>
      </c>
      <c r="V25" s="99">
        <f t="shared" si="4"/>
        <v>6.6666666666666661</v>
      </c>
      <c r="W25" s="99">
        <f t="shared" si="4"/>
        <v>7</v>
      </c>
      <c r="X25" s="99">
        <f t="shared" si="4"/>
        <v>7.333333333333333</v>
      </c>
      <c r="Y25" s="99">
        <f t="shared" si="4"/>
        <v>7.6666666666666661</v>
      </c>
      <c r="Z25" s="99">
        <f t="shared" si="4"/>
        <v>8</v>
      </c>
      <c r="AA25" s="99">
        <f t="shared" si="4"/>
        <v>8.3333333333333321</v>
      </c>
      <c r="AB25" s="99">
        <f t="shared" si="4"/>
        <v>8.6666666666666661</v>
      </c>
      <c r="AC25" s="99">
        <f t="shared" si="4"/>
        <v>9</v>
      </c>
      <c r="AD25" s="99">
        <f t="shared" si="4"/>
        <v>9.3333333333333321</v>
      </c>
      <c r="AE25" s="99">
        <f t="shared" si="4"/>
        <v>9.6666666666666661</v>
      </c>
      <c r="AF25" s="99">
        <f t="shared" si="4"/>
        <v>10</v>
      </c>
      <c r="AG25" s="99">
        <f>10</f>
        <v>10</v>
      </c>
      <c r="AH25" s="99">
        <f>10</f>
        <v>10</v>
      </c>
      <c r="AI25" s="136">
        <f>10</f>
        <v>10</v>
      </c>
      <c r="AJ25" s="150"/>
      <c r="AK25" s="114"/>
      <c r="AL25" s="105"/>
    </row>
    <row r="26" spans="1:177" x14ac:dyDescent="0.35">
      <c r="A26" s="3" t="s">
        <v>186</v>
      </c>
      <c r="B26" s="120"/>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1"/>
      <c r="AG26" s="120"/>
      <c r="AH26" s="121"/>
      <c r="AI26" s="121"/>
      <c r="AJ26" s="150"/>
      <c r="AK26" s="114"/>
      <c r="AL26" s="105"/>
    </row>
    <row r="27" spans="1:177" x14ac:dyDescent="0.35">
      <c r="A27" s="132" t="s">
        <v>2</v>
      </c>
      <c r="B27" s="133"/>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49"/>
      <c r="AK27" s="6"/>
      <c r="AL27" s="105"/>
    </row>
    <row r="28" spans="1:177" x14ac:dyDescent="0.35">
      <c r="A28" s="3" t="s">
        <v>188</v>
      </c>
      <c r="B28" s="99">
        <f>(((B29+B31)*$B$34)+$B$39+B32)*(44/12)</f>
        <v>256.66666666666663</v>
      </c>
      <c r="C28" s="99">
        <f t="shared" ref="C28:AE28" si="5">(((C29+C31)*$B$34)+$B$39+C32)*(44/12)</f>
        <v>259.4399830875775</v>
      </c>
      <c r="D28" s="99">
        <f t="shared" si="5"/>
        <v>262.13430142563726</v>
      </c>
      <c r="E28" s="99">
        <f t="shared" si="5"/>
        <v>264.80310734839179</v>
      </c>
      <c r="F28" s="99">
        <f t="shared" si="5"/>
        <v>267.45618682474384</v>
      </c>
      <c r="G28" s="99">
        <f t="shared" si="5"/>
        <v>270.0979751766053</v>
      </c>
      <c r="H28" s="99">
        <f t="shared" si="5"/>
        <v>272.73100249677458</v>
      </c>
      <c r="I28" s="99">
        <f t="shared" si="5"/>
        <v>275.35689983825142</v>
      </c>
      <c r="J28" s="99">
        <f t="shared" si="5"/>
        <v>277.97680329384406</v>
      </c>
      <c r="K28" s="99">
        <f t="shared" si="5"/>
        <v>280.59154790621869</v>
      </c>
      <c r="L28" s="99">
        <f t="shared" si="5"/>
        <v>283.20177226680767</v>
      </c>
      <c r="M28" s="99">
        <f t="shared" si="5"/>
        <v>285.80797985804094</v>
      </c>
      <c r="N28" s="99">
        <f t="shared" si="5"/>
        <v>288.41057736952547</v>
      </c>
      <c r="O28" s="99">
        <f t="shared" si="5"/>
        <v>291.0098998440742</v>
      </c>
      <c r="P28" s="99">
        <f t="shared" si="5"/>
        <v>293.60622785136172</v>
      </c>
      <c r="Q28" s="99">
        <f t="shared" si="5"/>
        <v>296.19979960848013</v>
      </c>
      <c r="R28" s="99">
        <f t="shared" si="5"/>
        <v>298.79081977330389</v>
      </c>
      <c r="S28" s="99">
        <f t="shared" si="5"/>
        <v>301.37946597556083</v>
      </c>
      <c r="T28" s="99">
        <f t="shared" si="5"/>
        <v>303.96589376684187</v>
      </c>
      <c r="U28" s="99">
        <f t="shared" si="5"/>
        <v>306.55024043907355</v>
      </c>
      <c r="V28" s="99">
        <f t="shared" si="5"/>
        <v>309.13262801616816</v>
      </c>
      <c r="W28" s="99">
        <f t="shared" si="5"/>
        <v>311.71316563033923</v>
      </c>
      <c r="X28" s="99">
        <f t="shared" si="5"/>
        <v>314.29195143296283</v>
      </c>
      <c r="Y28" s="99">
        <f t="shared" si="5"/>
        <v>316.869074148187</v>
      </c>
      <c r="Z28" s="99">
        <f t="shared" si="5"/>
        <v>319.4446143487246</v>
      </c>
      <c r="AA28" s="99">
        <f t="shared" si="5"/>
        <v>322.01864551302293</v>
      </c>
      <c r="AB28" s="99">
        <f t="shared" si="5"/>
        <v>324.5912349085242</v>
      </c>
      <c r="AC28" s="99">
        <f t="shared" si="5"/>
        <v>327.1624443352182</v>
      </c>
      <c r="AD28" s="99">
        <f t="shared" si="5"/>
        <v>329.73233075594197</v>
      </c>
      <c r="AE28" s="99">
        <f t="shared" si="5"/>
        <v>332.3009468341067</v>
      </c>
      <c r="AF28" s="99">
        <f>(((AF29+AF31)*$B$34)+$B$39+AF32)*(44/12)</f>
        <v>334.86834139517146</v>
      </c>
      <c r="AG28" s="99">
        <f t="shared" ref="AG28:AI28" si="6">(((AG29+AG31)*$B$34)+$B$39+AG32)*(44/12)</f>
        <v>336.21233760263635</v>
      </c>
      <c r="AH28" s="99">
        <f t="shared" si="6"/>
        <v>337.55519997009861</v>
      </c>
      <c r="AI28" s="136">
        <f t="shared" si="6"/>
        <v>338.89696799558902</v>
      </c>
      <c r="AJ28" s="150"/>
      <c r="AK28" s="114"/>
      <c r="AL28" s="105"/>
    </row>
    <row r="29" spans="1:177" x14ac:dyDescent="0.35">
      <c r="A29" s="3" t="s">
        <v>183</v>
      </c>
      <c r="B29" s="99">
        <f>B30*$C$35*$C$36</f>
        <v>0</v>
      </c>
      <c r="C29" s="99">
        <f t="shared" ref="C29:AH29" si="7">C30*$C$35*$C$36</f>
        <v>0.59800000000000009</v>
      </c>
      <c r="D29" s="99">
        <f t="shared" si="7"/>
        <v>1.1960000000000002</v>
      </c>
      <c r="E29" s="99">
        <f t="shared" si="7"/>
        <v>1.7940000000000003</v>
      </c>
      <c r="F29" s="99">
        <f t="shared" si="7"/>
        <v>2.3920000000000003</v>
      </c>
      <c r="G29" s="99">
        <f t="shared" si="7"/>
        <v>2.99</v>
      </c>
      <c r="H29" s="99">
        <f t="shared" si="7"/>
        <v>3.5880000000000005</v>
      </c>
      <c r="I29" s="99">
        <f t="shared" si="7"/>
        <v>4.1859999999999999</v>
      </c>
      <c r="J29" s="99">
        <f t="shared" si="7"/>
        <v>4.7840000000000007</v>
      </c>
      <c r="K29" s="99">
        <f t="shared" si="7"/>
        <v>5.3820000000000006</v>
      </c>
      <c r="L29" s="99">
        <f t="shared" si="7"/>
        <v>5.98</v>
      </c>
      <c r="M29" s="99">
        <f t="shared" si="7"/>
        <v>6.5780000000000003</v>
      </c>
      <c r="N29" s="99">
        <f t="shared" si="7"/>
        <v>7.176000000000001</v>
      </c>
      <c r="O29" s="99">
        <f t="shared" si="7"/>
        <v>7.7740000000000009</v>
      </c>
      <c r="P29" s="99">
        <f t="shared" si="7"/>
        <v>8.3719999999999999</v>
      </c>
      <c r="Q29" s="99">
        <f t="shared" si="7"/>
        <v>8.9700000000000006</v>
      </c>
      <c r="R29" s="99">
        <f t="shared" si="7"/>
        <v>9.5680000000000014</v>
      </c>
      <c r="S29" s="99">
        <f t="shared" si="7"/>
        <v>10.166</v>
      </c>
      <c r="T29" s="99">
        <f t="shared" si="7"/>
        <v>10.764000000000001</v>
      </c>
      <c r="U29" s="99">
        <f t="shared" si="7"/>
        <v>11.362</v>
      </c>
      <c r="V29" s="99">
        <f t="shared" si="7"/>
        <v>11.96</v>
      </c>
      <c r="W29" s="99">
        <f t="shared" si="7"/>
        <v>12.558000000000002</v>
      </c>
      <c r="X29" s="99">
        <f t="shared" si="7"/>
        <v>13.156000000000001</v>
      </c>
      <c r="Y29" s="99">
        <f t="shared" si="7"/>
        <v>13.754000000000001</v>
      </c>
      <c r="Z29" s="99">
        <f t="shared" si="7"/>
        <v>14.352000000000002</v>
      </c>
      <c r="AA29" s="99">
        <f t="shared" si="7"/>
        <v>14.950000000000001</v>
      </c>
      <c r="AB29" s="99">
        <f t="shared" si="7"/>
        <v>15.548000000000002</v>
      </c>
      <c r="AC29" s="99">
        <f t="shared" si="7"/>
        <v>16.146000000000001</v>
      </c>
      <c r="AD29" s="99">
        <f t="shared" si="7"/>
        <v>16.744</v>
      </c>
      <c r="AE29" s="99">
        <f t="shared" si="7"/>
        <v>17.342000000000002</v>
      </c>
      <c r="AF29" s="99">
        <f t="shared" si="7"/>
        <v>17.940000000000001</v>
      </c>
      <c r="AG29" s="99">
        <f t="shared" si="7"/>
        <v>18.538000000000004</v>
      </c>
      <c r="AH29" s="99">
        <f t="shared" si="7"/>
        <v>19.136000000000003</v>
      </c>
      <c r="AI29" s="99">
        <f>AI30*$C$35*$C$36</f>
        <v>19.734000000000002</v>
      </c>
      <c r="AJ29" s="150"/>
      <c r="AK29" s="114"/>
      <c r="AL29" s="105"/>
    </row>
    <row r="30" spans="1:177" ht="17" customHeight="1" x14ac:dyDescent="0.35">
      <c r="A30" s="18" t="s">
        <v>13</v>
      </c>
      <c r="B30" s="99">
        <v>0</v>
      </c>
      <c r="C30" s="99">
        <f>IF($B$16="NON",1,0.5)</f>
        <v>1</v>
      </c>
      <c r="D30" s="99">
        <f>IF($B$16="NON",C30+1,C30+0.5)</f>
        <v>2</v>
      </c>
      <c r="E30" s="99">
        <f t="shared" ref="E30:AF30" si="8">IF($B$16="NON",D30+1,D30+0.5)</f>
        <v>3</v>
      </c>
      <c r="F30" s="99">
        <f t="shared" si="8"/>
        <v>4</v>
      </c>
      <c r="G30" s="99">
        <f t="shared" si="8"/>
        <v>5</v>
      </c>
      <c r="H30" s="99">
        <f t="shared" si="8"/>
        <v>6</v>
      </c>
      <c r="I30" s="99">
        <f t="shared" si="8"/>
        <v>7</v>
      </c>
      <c r="J30" s="99">
        <f t="shared" si="8"/>
        <v>8</v>
      </c>
      <c r="K30" s="99">
        <f t="shared" si="8"/>
        <v>9</v>
      </c>
      <c r="L30" s="99">
        <f t="shared" si="8"/>
        <v>10</v>
      </c>
      <c r="M30" s="99">
        <f t="shared" si="8"/>
        <v>11</v>
      </c>
      <c r="N30" s="99">
        <f t="shared" si="8"/>
        <v>12</v>
      </c>
      <c r="O30" s="99">
        <f t="shared" si="8"/>
        <v>13</v>
      </c>
      <c r="P30" s="99">
        <f t="shared" si="8"/>
        <v>14</v>
      </c>
      <c r="Q30" s="99">
        <f t="shared" si="8"/>
        <v>15</v>
      </c>
      <c r="R30" s="99">
        <f t="shared" si="8"/>
        <v>16</v>
      </c>
      <c r="S30" s="99">
        <f t="shared" si="8"/>
        <v>17</v>
      </c>
      <c r="T30" s="99">
        <f t="shared" si="8"/>
        <v>18</v>
      </c>
      <c r="U30" s="99">
        <f t="shared" si="8"/>
        <v>19</v>
      </c>
      <c r="V30" s="99">
        <f t="shared" si="8"/>
        <v>20</v>
      </c>
      <c r="W30" s="99">
        <f t="shared" si="8"/>
        <v>21</v>
      </c>
      <c r="X30" s="99">
        <f t="shared" si="8"/>
        <v>22</v>
      </c>
      <c r="Y30" s="99">
        <f t="shared" si="8"/>
        <v>23</v>
      </c>
      <c r="Z30" s="99">
        <f t="shared" si="8"/>
        <v>24</v>
      </c>
      <c r="AA30" s="99">
        <f t="shared" si="8"/>
        <v>25</v>
      </c>
      <c r="AB30" s="99">
        <f t="shared" si="8"/>
        <v>26</v>
      </c>
      <c r="AC30" s="99">
        <f t="shared" si="8"/>
        <v>27</v>
      </c>
      <c r="AD30" s="99">
        <f t="shared" si="8"/>
        <v>28</v>
      </c>
      <c r="AE30" s="99">
        <f t="shared" si="8"/>
        <v>29</v>
      </c>
      <c r="AF30" s="99">
        <f t="shared" si="8"/>
        <v>30</v>
      </c>
      <c r="AG30" s="99">
        <f t="shared" ref="AG30" si="9">IF($B$16="NON",AF30+1,AF30+0.5)</f>
        <v>31</v>
      </c>
      <c r="AH30" s="99">
        <f t="shared" ref="AH30" si="10">IF($B$16="NON",AG30+1,AG30+0.5)</f>
        <v>32</v>
      </c>
      <c r="AI30" s="136">
        <f t="shared" ref="AI30" si="11">IF($B$16="NON",AH30+1,AH30+0.5)</f>
        <v>33</v>
      </c>
      <c r="AJ30" s="150"/>
      <c r="AK30" s="114"/>
      <c r="AL30" s="105"/>
    </row>
    <row r="31" spans="1:177" x14ac:dyDescent="0.35">
      <c r="A31" s="3" t="s">
        <v>184</v>
      </c>
      <c r="B31" s="99">
        <v>0</v>
      </c>
      <c r="C31" s="99">
        <f>EXP(-1.0587+0.8836*LN(C29)+0.284)</f>
        <v>0.29258040116091422</v>
      </c>
      <c r="D31" s="99">
        <f t="shared" ref="D31:AE31" si="12">EXP(-1.0587+0.8836*LN(D29)+0.284)</f>
        <v>0.53980305140256757</v>
      </c>
      <c r="E31" s="99">
        <f t="shared" si="12"/>
        <v>0.77237742491396744</v>
      </c>
      <c r="F31" s="99">
        <f t="shared" si="12"/>
        <v>0.99592225982103644</v>
      </c>
      <c r="G31" s="99">
        <f t="shared" si="12"/>
        <v>1.2129841524368585</v>
      </c>
      <c r="H31" s="99">
        <f t="shared" si="12"/>
        <v>1.4250157876217819</v>
      </c>
      <c r="I31" s="99">
        <f t="shared" si="12"/>
        <v>1.6329536551363955</v>
      </c>
      <c r="J31" s="99">
        <f t="shared" si="12"/>
        <v>1.8374500570715415</v>
      </c>
      <c r="K31" s="99">
        <f t="shared" si="12"/>
        <v>2.038984443761938</v>
      </c>
      <c r="L31" s="99">
        <f t="shared" si="12"/>
        <v>2.2379234705753919</v>
      </c>
      <c r="M31" s="99">
        <f t="shared" si="12"/>
        <v>2.4345562183329115</v>
      </c>
      <c r="N31" s="99">
        <f t="shared" si="12"/>
        <v>2.6291161930289695</v>
      </c>
      <c r="O31" s="99">
        <f t="shared" si="12"/>
        <v>2.8217957637427906</v>
      </c>
      <c r="P31" s="99">
        <f t="shared" si="12"/>
        <v>3.0127560231104038</v>
      </c>
      <c r="Q31" s="99">
        <f t="shared" si="12"/>
        <v>3.2021337464957651</v>
      </c>
      <c r="R31" s="99">
        <f t="shared" si="12"/>
        <v>3.3900464408124646</v>
      </c>
      <c r="S31" s="99">
        <f t="shared" si="12"/>
        <v>3.5765960944208692</v>
      </c>
      <c r="T31" s="99">
        <f t="shared" si="12"/>
        <v>3.76187201923933</v>
      </c>
      <c r="U31" s="99">
        <f t="shared" si="12"/>
        <v>3.9459530431682608</v>
      </c>
      <c r="V31" s="99">
        <f t="shared" si="12"/>
        <v>4.1289092277839252</v>
      </c>
      <c r="W31" s="99">
        <f t="shared" si="12"/>
        <v>4.3108032327306534</v>
      </c>
      <c r="X31" s="99">
        <f t="shared" si="12"/>
        <v>4.4916914128654311</v>
      </c>
      <c r="Y31" s="99">
        <f t="shared" si="12"/>
        <v>4.6716247102827966</v>
      </c>
      <c r="Z31" s="99">
        <f t="shared" si="12"/>
        <v>4.8506493868275244</v>
      </c>
      <c r="AA31" s="99">
        <f t="shared" si="12"/>
        <v>5.0288076310817473</v>
      </c>
      <c r="AB31" s="99">
        <f t="shared" si="12"/>
        <v>5.2061380655003449</v>
      </c>
      <c r="AC31" s="99">
        <f t="shared" si="12"/>
        <v>5.3826761733310189</v>
      </c>
      <c r="AD31" s="99">
        <f t="shared" si="12"/>
        <v>5.5584546605089464</v>
      </c>
      <c r="AE31" s="99">
        <f t="shared" si="12"/>
        <v>5.733503764399396</v>
      </c>
      <c r="AF31" s="99">
        <f>EXP(-1.0587+0.8836*LN(AF29)+0.284)</f>
        <v>5.907851518758747</v>
      </c>
      <c r="AG31" s="99">
        <f t="shared" ref="AG31:AI31" si="13">EXP(-1.0587+0.8836*LN(AG29)+0.284)</f>
        <v>6.0815239823749314</v>
      </c>
      <c r="AH31" s="99">
        <f t="shared" si="13"/>
        <v>6.2545454373771854</v>
      </c>
      <c r="AI31" s="136">
        <f t="shared" si="13"/>
        <v>6.4269385620606752</v>
      </c>
      <c r="AJ31" s="150"/>
      <c r="AK31" s="114"/>
      <c r="AL31" s="105"/>
    </row>
    <row r="32" spans="1:177" ht="15" thickBot="1" x14ac:dyDescent="0.4">
      <c r="A32" s="3" t="s">
        <v>185</v>
      </c>
      <c r="B32" s="99">
        <f>(B19*(($B$38-$B$37)/30))</f>
        <v>0</v>
      </c>
      <c r="C32" s="117">
        <f t="shared" ref="C32:AF32" si="14">(C19*(($B$38-$B$37)/30))</f>
        <v>0.33333333333333331</v>
      </c>
      <c r="D32" s="117">
        <f t="shared" si="14"/>
        <v>0.66666666666666663</v>
      </c>
      <c r="E32" s="117">
        <f t="shared" si="14"/>
        <v>1</v>
      </c>
      <c r="F32" s="117">
        <f t="shared" si="14"/>
        <v>1.3333333333333333</v>
      </c>
      <c r="G32" s="117">
        <f t="shared" si="14"/>
        <v>1.6666666666666665</v>
      </c>
      <c r="H32" s="117">
        <f t="shared" si="14"/>
        <v>2</v>
      </c>
      <c r="I32" s="117">
        <f t="shared" si="14"/>
        <v>2.333333333333333</v>
      </c>
      <c r="J32" s="117">
        <f t="shared" si="14"/>
        <v>2.6666666666666665</v>
      </c>
      <c r="K32" s="117">
        <f t="shared" si="14"/>
        <v>3</v>
      </c>
      <c r="L32" s="117">
        <f t="shared" si="14"/>
        <v>3.333333333333333</v>
      </c>
      <c r="M32" s="117">
        <f t="shared" si="14"/>
        <v>3.6666666666666665</v>
      </c>
      <c r="N32" s="117">
        <f t="shared" si="14"/>
        <v>4</v>
      </c>
      <c r="O32" s="117">
        <f t="shared" si="14"/>
        <v>4.333333333333333</v>
      </c>
      <c r="P32" s="117">
        <f t="shared" si="14"/>
        <v>4.6666666666666661</v>
      </c>
      <c r="Q32" s="117">
        <f t="shared" si="14"/>
        <v>5</v>
      </c>
      <c r="R32" s="117">
        <f t="shared" si="14"/>
        <v>5.333333333333333</v>
      </c>
      <c r="S32" s="117">
        <f t="shared" si="14"/>
        <v>5.6666666666666661</v>
      </c>
      <c r="T32" s="117">
        <f t="shared" si="14"/>
        <v>6</v>
      </c>
      <c r="U32" s="117">
        <f t="shared" si="14"/>
        <v>6.333333333333333</v>
      </c>
      <c r="V32" s="117">
        <f t="shared" si="14"/>
        <v>6.6666666666666661</v>
      </c>
      <c r="W32" s="117">
        <f t="shared" si="14"/>
        <v>7</v>
      </c>
      <c r="X32" s="117">
        <f t="shared" si="14"/>
        <v>7.333333333333333</v>
      </c>
      <c r="Y32" s="117">
        <f t="shared" si="14"/>
        <v>7.6666666666666661</v>
      </c>
      <c r="Z32" s="117">
        <f t="shared" si="14"/>
        <v>8</v>
      </c>
      <c r="AA32" s="117">
        <f t="shared" si="14"/>
        <v>8.3333333333333321</v>
      </c>
      <c r="AB32" s="117">
        <f t="shared" si="14"/>
        <v>8.6666666666666661</v>
      </c>
      <c r="AC32" s="117">
        <f t="shared" si="14"/>
        <v>9</v>
      </c>
      <c r="AD32" s="117">
        <f t="shared" si="14"/>
        <v>9.3333333333333321</v>
      </c>
      <c r="AE32" s="117">
        <f t="shared" si="14"/>
        <v>9.6666666666666661</v>
      </c>
      <c r="AF32" s="117">
        <f t="shared" si="14"/>
        <v>10</v>
      </c>
      <c r="AG32" s="117">
        <f>10</f>
        <v>10</v>
      </c>
      <c r="AH32" s="117">
        <f>10</f>
        <v>10</v>
      </c>
      <c r="AI32" s="148">
        <f>10</f>
        <v>10</v>
      </c>
      <c r="AJ32" s="150"/>
      <c r="AK32" s="114"/>
      <c r="AL32" s="105"/>
    </row>
    <row r="33" spans="1:32" x14ac:dyDescent="0.35">
      <c r="A33" s="159" t="s">
        <v>11</v>
      </c>
      <c r="B33" s="160"/>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row>
    <row r="34" spans="1:32" ht="29.5" thickBot="1" x14ac:dyDescent="0.4">
      <c r="A34" s="3" t="s">
        <v>4</v>
      </c>
      <c r="B34" s="27">
        <v>0.47499999999999998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x14ac:dyDescent="0.35">
      <c r="A35" s="3" t="s">
        <v>5</v>
      </c>
      <c r="B35" s="14">
        <f>IF(B12="Conifères",1.3,1.56)</f>
        <v>1.3</v>
      </c>
      <c r="C35" s="103">
        <f>IF($B$14="Conifères",1.3,1.56)</f>
        <v>1.3</v>
      </c>
      <c r="D35" s="15"/>
      <c r="E35" s="15"/>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ht="29.5" thickBot="1" x14ac:dyDescent="0.4">
      <c r="A36" s="11" t="s">
        <v>150</v>
      </c>
      <c r="B36" s="17" t="s">
        <v>62</v>
      </c>
      <c r="C36" s="151">
        <f>IF(B36="Alisier torminal",0.62,IF(B36="Arbousier",0.64,IF(B36="Aulne vert",0.42,IF(B36="Grands aulnes",0.42,IF(B36="Bouleaux",0.52,IF(B36="Cèdre de l’Atlas",0.36,IF(B36="Charme",0.61,IF(B36="Charme-houblon",0.66,IF(B36="Châtaignier",0.47,IF(B36="Chêne chevelu",0.67,IF(B36="Chêne-liège",0.7,IF(B36="Chêne pédonculé",0.54,IF(B36="Chêne pubescent",0.65,IF(B36="Chêne rouge d’Amérique",0.56,IF(B36="Chêne rouvre (sessile)",0.58,IF(B36="Chêne tauzin",0.64,IF(B36="Chêne vert",0.73,IF(B36="Chênes indifférenciés",0.56,IF(B36="Cornouiller mâle",0.74,IF(B36="Cyprès",0.4,IF(B36="Cytise aubour",0.6,IF(B36="Douglas",0.43,IF(B36="Epicéa commun",0.37,IF(B36="Epicéa de Sitka",0.36,IF(B36="Grands érables",0.51,IF(B36="Petits érables",0.56,IF(B36="Eucalyptus",0.56,IF(B36="Genévrier thurifère",0.48,IF(B36="Hêtre",0.55,IF(B36="Frênes",0.56,IF(B36="Fruitiers",0.58,IF(B36="If",0.58,IF(B36="Mélèze d’Europe",0.48,IF(B36="Mélèze du Japon",0.42,IF(B36="Merisier",0.5,IF(B36="Micocoulier",0.55,IF(B36="Mûrier",0.53,IF(B36="Noisetier",0.52,IF(B36="Noyer",0.52,IF(B36="Olivier",0.75,IF(B36="Ormes",0.52,IF(B36="Peupliers cultivés",0.35,IF(B36="Peupliers non cultivés",0.37,IF(B36="Pin d'Alep",0.45,IF(B36="Pin cembro",0.39,IF(B36="Pin à crochets",0.44,IF(B36="Pin laricio",0.46,IF(B36="Pin maritime",0.46,IF(B36="Pin mugho",0.44,IF(B36="Pin noir d'Autriche",0.46,IF(B36="Pin pignon",0.48,IF(B36="Pin sylvestre",0.44,IF(B36="Pin Weymouth",0.34,IF(B36="Platanes",0.5,IF(B36="Robinier faux acacia",0.58,IF(B36="Sapin méditerranéen",0.37,IF(B36="Sapin de Nordmann",0.37,IF(B36="Sapin pectiné",0.38,IF(B36="Sapin de Vancouver",0.36,IF(B36="Saules",0.37,IF(B36="Tamaris",0.53,IF(B36="Tilleuls",0.43,IF(B36="Tremble",0.38,IF(B36="Conifères (moyenne)",0.42,IF(B36="Feuillus (moyenne)",0.57,0)))))))))))))))))))))))))))))))))))))))))))))))))))))))))))))))))</f>
        <v>0.46</v>
      </c>
      <c r="D36" s="59"/>
      <c r="E36" s="15"/>
      <c r="F36" s="15"/>
      <c r="G36" s="15"/>
      <c r="H36" s="7"/>
      <c r="I36" s="7"/>
      <c r="J36" s="7"/>
      <c r="K36" s="7"/>
      <c r="L36" s="7"/>
      <c r="M36" s="7"/>
      <c r="N36" s="7"/>
      <c r="O36" s="7"/>
      <c r="P36" s="7"/>
      <c r="Q36" s="7"/>
      <c r="R36" s="7"/>
      <c r="S36" s="7"/>
      <c r="T36" s="7"/>
      <c r="U36" s="7"/>
      <c r="V36" s="7"/>
      <c r="W36" s="7"/>
      <c r="X36" s="7"/>
      <c r="Y36" s="7"/>
      <c r="Z36" s="7"/>
      <c r="AA36" s="7"/>
      <c r="AB36" s="7"/>
      <c r="AC36" s="7"/>
      <c r="AD36" s="7"/>
      <c r="AE36" s="7"/>
      <c r="AF36" s="7"/>
    </row>
    <row r="37" spans="1:32" ht="29" x14ac:dyDescent="0.35">
      <c r="A37" s="3" t="s">
        <v>10</v>
      </c>
      <c r="B37" s="27">
        <v>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x14ac:dyDescent="0.35">
      <c r="A38" s="3" t="s">
        <v>8</v>
      </c>
      <c r="B38" s="27">
        <v>10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ht="29" x14ac:dyDescent="0.35">
      <c r="A39" s="3" t="s">
        <v>12</v>
      </c>
      <c r="B39" s="27">
        <v>70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ht="17.5" customHeight="1" thickBot="1" x14ac:dyDescent="0.4">
      <c r="A40" s="155"/>
      <c r="B40" s="156"/>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32" ht="58" x14ac:dyDescent="0.35">
      <c r="A41" s="2" t="s">
        <v>206</v>
      </c>
      <c r="B41" s="107">
        <f>AF21-AF28</f>
        <v>391.59624203246085</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ht="58.5" thickBot="1" x14ac:dyDescent="0.4">
      <c r="A42" s="4" t="s">
        <v>207</v>
      </c>
      <c r="B42" s="108">
        <f>B41*B10</f>
        <v>1351.00703501199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ht="43.5" x14ac:dyDescent="0.35">
      <c r="A43" s="2" t="s">
        <v>208</v>
      </c>
      <c r="B43" s="100">
        <f>(1/B11)*(SUM(B21:AI21))</f>
        <v>511.84357361423486</v>
      </c>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row>
    <row r="44" spans="1:32" ht="44" thickBot="1" x14ac:dyDescent="0.4">
      <c r="A44" s="4" t="s">
        <v>209</v>
      </c>
      <c r="B44" s="102">
        <f>B43*B10</f>
        <v>1765.8603289691102</v>
      </c>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row>
    <row r="45" spans="1:32" ht="43.5" x14ac:dyDescent="0.35">
      <c r="A45" s="101" t="s">
        <v>210</v>
      </c>
      <c r="B45" s="104">
        <f>((1/B13)*(SUM(B28:AI28)))</f>
        <v>308.81718283952949</v>
      </c>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row>
    <row r="46" spans="1:32" ht="44" thickBot="1" x14ac:dyDescent="0.4">
      <c r="A46" s="4" t="s">
        <v>211</v>
      </c>
      <c r="B46" s="102">
        <f>B45*B10</f>
        <v>1065.4192807963768</v>
      </c>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row>
    <row r="47" spans="1:32" ht="72.5" x14ac:dyDescent="0.35">
      <c r="A47" s="2" t="s">
        <v>212</v>
      </c>
      <c r="B47" s="107">
        <f>B43-B45</f>
        <v>203.02639077470536</v>
      </c>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row>
    <row r="48" spans="1:32" ht="73" thickBot="1" x14ac:dyDescent="0.4">
      <c r="A48" s="4" t="s">
        <v>213</v>
      </c>
      <c r="B48" s="108">
        <f>B44-B46</f>
        <v>700.44104817273342</v>
      </c>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row>
  </sheetData>
  <sheetProtection algorithmName="SHA-512" hashValue="B+3LoLX+X98EpCL6v1qCYhGJoiI4lk8X4ODnO9tugyMH/IzvAG19dVf4K5dkvGFgoZTj3cC6NuS7gUddWBRNhQ==" saltValue="5ymWeiToprVBfAB/Adzikg==" spinCount="100000" sheet="1" objects="1" scenarios="1"/>
  <mergeCells count="4">
    <mergeCell ref="A1:E1"/>
    <mergeCell ref="A40:B40"/>
    <mergeCell ref="A9:B9"/>
    <mergeCell ref="A33:B3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showInputMessage="1" showErrorMessage="1" prompt="Information nécessaire pour le scénario de référence">
          <x14:formula1>
            <xm:f>'Listes choix'!$T$2:$T$3</xm:f>
          </x14:formula1>
          <xm:sqref>B16</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l'essence pour avoir la di pour le scénario de projet">
          <x14:formula1>
            <xm:f>'Listes choix'!$C$2:$C$66</xm:f>
          </x14:formula1>
          <xm:sqref>B36 D36</xm:sqref>
        </x14:dataValidation>
        <x14:dataValidation type="list" showInputMessage="1" showErrorMessage="1" prompt="Information nécessaire pour le calcul du stock de la Biomasse Aérienne du scénario de référence">
          <x14:formula1>
            <xm:f>'Listes choix'!$B$2:$B$3</xm:f>
          </x14:formula1>
          <xm:sqref>B14</xm:sqref>
        </x14:dataValidation>
        <x14:dataValidation type="list" allowBlank="1" showInputMessage="1" showErrorMessage="1" prompt="Choisir l'essence pour avoir la di pour le scénario de référence">
          <x14:formula1>
            <xm:f>'Listes choix'!$C$2:$C$66</xm:f>
          </x14:formula1>
          <xm:sqref>F36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52"/>
  <sheetViews>
    <sheetView zoomScale="96" workbookViewId="0">
      <selection activeCell="A15" sqref="A15:AF15"/>
    </sheetView>
  </sheetViews>
  <sheetFormatPr baseColWidth="10" defaultRowHeight="14.5" x14ac:dyDescent="0.35"/>
  <cols>
    <col min="1" max="1" width="36.81640625" style="1" customWidth="1"/>
    <col min="2" max="2" width="19.90625" customWidth="1"/>
    <col min="4" max="4" width="13.1796875" customWidth="1"/>
  </cols>
  <sheetData>
    <row r="1" spans="1:177" x14ac:dyDescent="0.35">
      <c r="D1" s="115"/>
    </row>
    <row r="4" spans="1:177" ht="16" thickBot="1" x14ac:dyDescent="0.4">
      <c r="A4" s="19"/>
      <c r="B4" s="7"/>
    </row>
    <row r="5" spans="1:177" ht="31.5" thickBot="1" x14ac:dyDescent="0.4">
      <c r="A5" s="20" t="s">
        <v>181</v>
      </c>
      <c r="B5" s="109">
        <f>(SUM(B39:AF39)/30)*(44/12)</f>
        <v>11.009296547229935</v>
      </c>
    </row>
    <row r="6" spans="1:177" ht="31.5" thickBot="1" x14ac:dyDescent="0.4">
      <c r="A6" s="20" t="s">
        <v>90</v>
      </c>
      <c r="B6" s="109">
        <f>B5*B10</f>
        <v>37.982073087943277</v>
      </c>
    </row>
    <row r="8" spans="1:177" ht="15" thickBot="1" x14ac:dyDescent="0.4"/>
    <row r="9" spans="1:177" ht="15" thickBot="1" x14ac:dyDescent="0.4">
      <c r="A9" s="157" t="s">
        <v>14</v>
      </c>
      <c r="B9" s="158"/>
    </row>
    <row r="10" spans="1:177" x14ac:dyDescent="0.35">
      <c r="A10" s="2" t="s">
        <v>7</v>
      </c>
      <c r="B10" s="97">
        <v>3.45</v>
      </c>
    </row>
    <row r="11" spans="1:177" ht="15" thickBot="1" x14ac:dyDescent="0.4">
      <c r="A11" s="4" t="s">
        <v>17</v>
      </c>
      <c r="B11" s="21">
        <v>30</v>
      </c>
    </row>
    <row r="12" spans="1:177" ht="15" thickBot="1" x14ac:dyDescent="0.4"/>
    <row r="13" spans="1:177" s="5" customFormat="1" ht="15.5" x14ac:dyDescent="0.35">
      <c r="A13" s="165" t="s">
        <v>1</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7"/>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ht="29" x14ac:dyDescent="0.35">
      <c r="A14" s="3" t="s">
        <v>162</v>
      </c>
      <c r="B14" s="12">
        <v>0</v>
      </c>
      <c r="C14" s="12">
        <v>1</v>
      </c>
      <c r="D14" s="12">
        <v>2</v>
      </c>
      <c r="E14" s="12">
        <v>3</v>
      </c>
      <c r="F14" s="12">
        <v>4</v>
      </c>
      <c r="G14" s="12">
        <v>5</v>
      </c>
      <c r="H14" s="12">
        <v>6</v>
      </c>
      <c r="I14" s="12">
        <v>7</v>
      </c>
      <c r="J14" s="12">
        <v>8</v>
      </c>
      <c r="K14" s="12">
        <v>9</v>
      </c>
      <c r="L14" s="12">
        <v>10</v>
      </c>
      <c r="M14" s="138">
        <v>11</v>
      </c>
      <c r="N14" s="12">
        <v>12</v>
      </c>
      <c r="O14" s="12">
        <v>13</v>
      </c>
      <c r="P14" s="12">
        <v>14</v>
      </c>
      <c r="Q14" s="12">
        <v>15</v>
      </c>
      <c r="R14" s="12">
        <v>16</v>
      </c>
      <c r="S14" s="138">
        <v>17</v>
      </c>
      <c r="T14" s="12">
        <v>18</v>
      </c>
      <c r="U14" s="12">
        <v>19</v>
      </c>
      <c r="V14" s="12">
        <v>20</v>
      </c>
      <c r="W14" s="12">
        <v>21</v>
      </c>
      <c r="X14" s="138">
        <v>22</v>
      </c>
      <c r="Y14" s="12">
        <v>23</v>
      </c>
      <c r="Z14" s="12">
        <v>24</v>
      </c>
      <c r="AA14" s="12">
        <v>25</v>
      </c>
      <c r="AB14" s="12">
        <v>26</v>
      </c>
      <c r="AC14" s="12">
        <v>27</v>
      </c>
      <c r="AD14" s="12">
        <v>28</v>
      </c>
      <c r="AE14" s="12">
        <v>29</v>
      </c>
      <c r="AF14" s="27">
        <v>30</v>
      </c>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s="5" customFormat="1" x14ac:dyDescent="0.35">
      <c r="A15" s="168" t="s">
        <v>3</v>
      </c>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70"/>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x14ac:dyDescent="0.35">
      <c r="A16" s="3" t="s">
        <v>198</v>
      </c>
      <c r="B16" s="12">
        <f>SUM(B17,B20,B23)</f>
        <v>0</v>
      </c>
      <c r="C16" s="12">
        <f t="shared" ref="C16:AE16" si="0">SUM(C17,C20,C23)</f>
        <v>0</v>
      </c>
      <c r="D16" s="12">
        <f t="shared" si="0"/>
        <v>0</v>
      </c>
      <c r="E16" s="12">
        <f t="shared" si="0"/>
        <v>0</v>
      </c>
      <c r="F16" s="12">
        <f t="shared" si="0"/>
        <v>0</v>
      </c>
      <c r="G16" s="12">
        <f t="shared" si="0"/>
        <v>0</v>
      </c>
      <c r="H16" s="12">
        <f t="shared" si="0"/>
        <v>0</v>
      </c>
      <c r="I16" s="12">
        <f t="shared" si="0"/>
        <v>0</v>
      </c>
      <c r="J16" s="12">
        <f t="shared" si="0"/>
        <v>0</v>
      </c>
      <c r="K16" s="12">
        <f t="shared" si="0"/>
        <v>0</v>
      </c>
      <c r="L16" s="12">
        <f t="shared" si="0"/>
        <v>0</v>
      </c>
      <c r="M16" s="12">
        <f t="shared" si="0"/>
        <v>0</v>
      </c>
      <c r="N16" s="12">
        <f t="shared" si="0"/>
        <v>3.1391655099965599</v>
      </c>
      <c r="O16" s="12">
        <f t="shared" si="0"/>
        <v>2.2197252193854946</v>
      </c>
      <c r="P16" s="12">
        <f t="shared" si="0"/>
        <v>1.5695827549982801</v>
      </c>
      <c r="Q16" s="12">
        <f t="shared" si="0"/>
        <v>1.1098626096927473</v>
      </c>
      <c r="R16" s="31">
        <f>SUM(R17,R20,R23)</f>
        <v>0.78479137749914007</v>
      </c>
      <c r="S16" s="31">
        <f>SUM(S17,S20,S23)</f>
        <v>0.55493130484637365</v>
      </c>
      <c r="T16" s="12">
        <f t="shared" si="0"/>
        <v>9.0658193126330939</v>
      </c>
      <c r="U16" s="12">
        <f t="shared" si="0"/>
        <v>6.5553588597736177</v>
      </c>
      <c r="V16" s="12">
        <f t="shared" si="0"/>
        <v>4.7773547011270745</v>
      </c>
      <c r="W16" s="12">
        <f t="shared" si="0"/>
        <v>3.5173310564653564</v>
      </c>
      <c r="X16" s="12">
        <f t="shared" si="0"/>
        <v>2.6236295549179385</v>
      </c>
      <c r="Y16" s="12">
        <f t="shared" si="0"/>
        <v>11.258025557570258</v>
      </c>
      <c r="Z16" s="12">
        <f t="shared" si="0"/>
        <v>9.3630624386021388</v>
      </c>
      <c r="AA16" s="12">
        <f t="shared" si="0"/>
        <v>7.9928756594778818</v>
      </c>
      <c r="AB16" s="12">
        <f t="shared" si="0"/>
        <v>6.994429935740639</v>
      </c>
      <c r="AC16" s="12">
        <f t="shared" si="0"/>
        <v>6.2594978257660436</v>
      </c>
      <c r="AD16" s="12">
        <f t="shared" si="0"/>
        <v>5.7115361707314847</v>
      </c>
      <c r="AE16" s="12">
        <f t="shared" si="0"/>
        <v>5.2964063278627798</v>
      </c>
      <c r="AF16" s="31">
        <f>SUM(AF17,AF20,AF23)</f>
        <v>4.9758123761806825</v>
      </c>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x14ac:dyDescent="0.35">
      <c r="A17" s="66" t="s">
        <v>191</v>
      </c>
      <c r="B17" s="12">
        <v>0</v>
      </c>
      <c r="C17" s="31">
        <f>C18+B19</f>
        <v>0</v>
      </c>
      <c r="D17" s="31">
        <f>D18+C19</f>
        <v>0</v>
      </c>
      <c r="E17" s="31">
        <f>E18+D19</f>
        <v>0</v>
      </c>
      <c r="F17" s="31">
        <f>F18+E19</f>
        <v>0</v>
      </c>
      <c r="G17" s="31">
        <f t="shared" ref="G17:AE17" si="1">G18+F19</f>
        <v>0</v>
      </c>
      <c r="H17" s="31">
        <f t="shared" si="1"/>
        <v>0</v>
      </c>
      <c r="I17" s="31">
        <f t="shared" si="1"/>
        <v>0</v>
      </c>
      <c r="J17" s="31">
        <f t="shared" si="1"/>
        <v>0</v>
      </c>
      <c r="K17" s="31">
        <f t="shared" si="1"/>
        <v>0</v>
      </c>
      <c r="L17" s="31">
        <f t="shared" si="1"/>
        <v>0</v>
      </c>
      <c r="M17" s="31">
        <f t="shared" si="1"/>
        <v>0</v>
      </c>
      <c r="N17" s="31">
        <f t="shared" si="1"/>
        <v>0</v>
      </c>
      <c r="O17" s="31">
        <f t="shared" si="1"/>
        <v>0</v>
      </c>
      <c r="P17" s="31">
        <f t="shared" si="1"/>
        <v>0</v>
      </c>
      <c r="Q17" s="31">
        <f t="shared" si="1"/>
        <v>0</v>
      </c>
      <c r="R17" s="31">
        <f t="shared" si="1"/>
        <v>0</v>
      </c>
      <c r="S17" s="31">
        <f t="shared" si="1"/>
        <v>0</v>
      </c>
      <c r="T17" s="31">
        <f t="shared" si="1"/>
        <v>0.53005897736303742</v>
      </c>
      <c r="U17" s="31">
        <f t="shared" si="1"/>
        <v>0.51966484412100078</v>
      </c>
      <c r="V17" s="31">
        <f t="shared" si="1"/>
        <v>0.5094745334920453</v>
      </c>
      <c r="W17" s="31">
        <f t="shared" si="1"/>
        <v>0.49948404863904783</v>
      </c>
      <c r="X17" s="31">
        <f t="shared" si="1"/>
        <v>0.48968947110042355</v>
      </c>
      <c r="Y17" s="31">
        <f t="shared" si="1"/>
        <v>3.8335213058357103</v>
      </c>
      <c r="Z17" s="31">
        <f t="shared" si="1"/>
        <v>3.7583482912453889</v>
      </c>
      <c r="AA17" s="31">
        <f t="shared" si="1"/>
        <v>3.684649373620172</v>
      </c>
      <c r="AB17" s="31">
        <f t="shared" si="1"/>
        <v>3.6123956468176845</v>
      </c>
      <c r="AC17" s="31">
        <f t="shared" si="1"/>
        <v>3.541558771527372</v>
      </c>
      <c r="AD17" s="31">
        <f>AD18+AC19</f>
        <v>3.472110964155275</v>
      </c>
      <c r="AE17" s="31">
        <f t="shared" si="1"/>
        <v>3.4040249859267648</v>
      </c>
      <c r="AF17" s="112">
        <f>AF18+AE19</f>
        <v>3.3372741322029698</v>
      </c>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29" x14ac:dyDescent="0.35">
      <c r="A18" s="66" t="s">
        <v>190</v>
      </c>
      <c r="B18" s="12">
        <v>0</v>
      </c>
      <c r="C18" s="31">
        <f t="shared" ref="C18:AF18" si="2">(EXP(-$C$47))*B17</f>
        <v>0</v>
      </c>
      <c r="D18" s="31">
        <f t="shared" si="2"/>
        <v>0</v>
      </c>
      <c r="E18" s="31">
        <f t="shared" si="2"/>
        <v>0</v>
      </c>
      <c r="F18" s="31">
        <f t="shared" si="2"/>
        <v>0</v>
      </c>
      <c r="G18" s="31">
        <f t="shared" si="2"/>
        <v>0</v>
      </c>
      <c r="H18" s="31">
        <f t="shared" si="2"/>
        <v>0</v>
      </c>
      <c r="I18" s="31">
        <f t="shared" si="2"/>
        <v>0</v>
      </c>
      <c r="J18" s="31">
        <f t="shared" si="2"/>
        <v>0</v>
      </c>
      <c r="K18" s="31">
        <f t="shared" si="2"/>
        <v>0</v>
      </c>
      <c r="L18" s="31">
        <f t="shared" si="2"/>
        <v>0</v>
      </c>
      <c r="M18" s="31">
        <f t="shared" si="2"/>
        <v>0</v>
      </c>
      <c r="N18" s="31">
        <f t="shared" si="2"/>
        <v>0</v>
      </c>
      <c r="O18" s="31">
        <f t="shared" si="2"/>
        <v>0</v>
      </c>
      <c r="P18" s="31">
        <f t="shared" si="2"/>
        <v>0</v>
      </c>
      <c r="Q18" s="31">
        <f t="shared" si="2"/>
        <v>0</v>
      </c>
      <c r="R18" s="31">
        <f t="shared" si="2"/>
        <v>0</v>
      </c>
      <c r="S18" s="31">
        <f t="shared" si="2"/>
        <v>0</v>
      </c>
      <c r="T18" s="31">
        <f t="shared" si="2"/>
        <v>0</v>
      </c>
      <c r="U18" s="31">
        <f t="shared" si="2"/>
        <v>0.51966484412100078</v>
      </c>
      <c r="V18" s="31">
        <f t="shared" si="2"/>
        <v>0.5094745334920453</v>
      </c>
      <c r="W18" s="31">
        <f t="shared" si="2"/>
        <v>0.49948404863904783</v>
      </c>
      <c r="X18" s="31">
        <f t="shared" si="2"/>
        <v>0.48968947110042355</v>
      </c>
      <c r="Y18" s="31">
        <f t="shared" si="2"/>
        <v>0.48008695925322931</v>
      </c>
      <c r="Z18" s="31">
        <f t="shared" si="2"/>
        <v>3.7583482912453889</v>
      </c>
      <c r="AA18" s="31">
        <f t="shared" si="2"/>
        <v>3.684649373620172</v>
      </c>
      <c r="AB18" s="31">
        <f t="shared" si="2"/>
        <v>3.6123956468176845</v>
      </c>
      <c r="AC18" s="31">
        <f t="shared" si="2"/>
        <v>3.541558771527372</v>
      </c>
      <c r="AD18" s="31">
        <f t="shared" si="2"/>
        <v>3.472110964155275</v>
      </c>
      <c r="AE18" s="31">
        <f t="shared" si="2"/>
        <v>3.4040249859267648</v>
      </c>
      <c r="AF18" s="112">
        <f t="shared" si="2"/>
        <v>3.3372741322029698</v>
      </c>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43.5" x14ac:dyDescent="0.35">
      <c r="A19" s="66" t="s">
        <v>189</v>
      </c>
      <c r="B19" s="12">
        <f t="shared" ref="B19:AF19" si="3">((1-EXP(-$C$47))/$C$47)*(B26*$C$42*$B$41)</f>
        <v>0</v>
      </c>
      <c r="C19" s="12">
        <f t="shared" si="3"/>
        <v>0</v>
      </c>
      <c r="D19" s="12">
        <f t="shared" si="3"/>
        <v>0</v>
      </c>
      <c r="E19" s="12">
        <f t="shared" si="3"/>
        <v>0</v>
      </c>
      <c r="F19" s="12">
        <f t="shared" si="3"/>
        <v>0</v>
      </c>
      <c r="G19" s="12">
        <f t="shared" si="3"/>
        <v>0</v>
      </c>
      <c r="H19" s="12">
        <f t="shared" si="3"/>
        <v>0</v>
      </c>
      <c r="I19" s="12">
        <f t="shared" si="3"/>
        <v>0</v>
      </c>
      <c r="J19" s="12">
        <f t="shared" si="3"/>
        <v>0</v>
      </c>
      <c r="K19" s="12">
        <f t="shared" si="3"/>
        <v>0</v>
      </c>
      <c r="L19" s="12">
        <f t="shared" si="3"/>
        <v>0</v>
      </c>
      <c r="M19" s="12">
        <f t="shared" si="3"/>
        <v>0</v>
      </c>
      <c r="N19" s="12">
        <f t="shared" si="3"/>
        <v>0</v>
      </c>
      <c r="O19" s="12">
        <f t="shared" si="3"/>
        <v>0</v>
      </c>
      <c r="P19" s="12">
        <f t="shared" si="3"/>
        <v>0</v>
      </c>
      <c r="Q19" s="12">
        <f t="shared" si="3"/>
        <v>0</v>
      </c>
      <c r="R19" s="12">
        <f t="shared" si="3"/>
        <v>0</v>
      </c>
      <c r="S19" s="12">
        <f>((1-EXP(-$C$47))/$C$47)*(S26*$C$42*$B$41)</f>
        <v>0.53005897736303742</v>
      </c>
      <c r="T19" s="12">
        <f t="shared" si="3"/>
        <v>0</v>
      </c>
      <c r="U19" s="12">
        <f t="shared" si="3"/>
        <v>0</v>
      </c>
      <c r="V19" s="12">
        <f t="shared" si="3"/>
        <v>0</v>
      </c>
      <c r="W19" s="12">
        <f t="shared" si="3"/>
        <v>0</v>
      </c>
      <c r="X19" s="12">
        <f t="shared" si="3"/>
        <v>3.353434346582481</v>
      </c>
      <c r="Y19" s="12">
        <f t="shared" si="3"/>
        <v>0</v>
      </c>
      <c r="Z19" s="12">
        <f t="shared" si="3"/>
        <v>0</v>
      </c>
      <c r="AA19" s="12">
        <f t="shared" si="3"/>
        <v>0</v>
      </c>
      <c r="AB19" s="12">
        <f t="shared" si="3"/>
        <v>0</v>
      </c>
      <c r="AC19" s="12">
        <f t="shared" si="3"/>
        <v>0</v>
      </c>
      <c r="AD19" s="12">
        <f t="shared" si="3"/>
        <v>0</v>
      </c>
      <c r="AE19" s="12">
        <f t="shared" si="3"/>
        <v>0</v>
      </c>
      <c r="AF19" s="27">
        <f t="shared" si="3"/>
        <v>0</v>
      </c>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x14ac:dyDescent="0.35">
      <c r="A20" s="67" t="s">
        <v>192</v>
      </c>
      <c r="B20" s="12">
        <v>0</v>
      </c>
      <c r="C20" s="31">
        <f>C21+B22</f>
        <v>0</v>
      </c>
      <c r="D20" s="31">
        <f>D21+C22</f>
        <v>0</v>
      </c>
      <c r="E20" s="31">
        <f>E21+D22</f>
        <v>0</v>
      </c>
      <c r="F20" s="31">
        <f t="shared" ref="F20:AF20" si="4">F21+E22</f>
        <v>0</v>
      </c>
      <c r="G20" s="31">
        <f t="shared" si="4"/>
        <v>0</v>
      </c>
      <c r="H20" s="31">
        <f t="shared" si="4"/>
        <v>0</v>
      </c>
      <c r="I20" s="31">
        <f t="shared" si="4"/>
        <v>0</v>
      </c>
      <c r="J20" s="31">
        <f t="shared" si="4"/>
        <v>0</v>
      </c>
      <c r="K20" s="31">
        <f t="shared" si="4"/>
        <v>0</v>
      </c>
      <c r="L20" s="31">
        <f t="shared" si="4"/>
        <v>0</v>
      </c>
      <c r="M20" s="31">
        <f t="shared" si="4"/>
        <v>0</v>
      </c>
      <c r="N20" s="31">
        <f t="shared" si="4"/>
        <v>0</v>
      </c>
      <c r="O20" s="31">
        <f t="shared" si="4"/>
        <v>0</v>
      </c>
      <c r="P20" s="31">
        <f t="shared" si="4"/>
        <v>0</v>
      </c>
      <c r="Q20" s="31">
        <f t="shared" si="4"/>
        <v>0</v>
      </c>
      <c r="R20" s="31">
        <f t="shared" si="4"/>
        <v>0</v>
      </c>
      <c r="S20" s="31">
        <f t="shared" si="4"/>
        <v>0</v>
      </c>
      <c r="T20" s="31">
        <f t="shared" si="4"/>
        <v>0</v>
      </c>
      <c r="U20" s="31">
        <f t="shared" si="4"/>
        <v>0</v>
      </c>
      <c r="V20" s="31">
        <f t="shared" si="4"/>
        <v>0</v>
      </c>
      <c r="W20" s="31">
        <f t="shared" si="4"/>
        <v>0</v>
      </c>
      <c r="X20" s="31">
        <f t="shared" si="4"/>
        <v>0</v>
      </c>
      <c r="Y20" s="31">
        <f t="shared" si="4"/>
        <v>1.3360922391205303</v>
      </c>
      <c r="Z20" s="31">
        <f t="shared" si="4"/>
        <v>1.2995567265797423</v>
      </c>
      <c r="AA20" s="31">
        <f t="shared" si="4"/>
        <v>1.2640202795507012</v>
      </c>
      <c r="AB20" s="31">
        <f t="shared" si="4"/>
        <v>1.2294555785344496</v>
      </c>
      <c r="AC20" s="31">
        <f t="shared" si="4"/>
        <v>1.1958360510851662</v>
      </c>
      <c r="AD20" s="31">
        <f t="shared" si="4"/>
        <v>1.1631358513819576</v>
      </c>
      <c r="AE20" s="31">
        <f>AE21+AD22</f>
        <v>1.131329840359262</v>
      </c>
      <c r="AF20" s="112">
        <f t="shared" si="4"/>
        <v>1.1003935663805873</v>
      </c>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 x14ac:dyDescent="0.35">
      <c r="A21" s="67" t="s">
        <v>193</v>
      </c>
      <c r="B21" s="12">
        <v>0</v>
      </c>
      <c r="C21" s="31">
        <f t="shared" ref="C21:AF21" si="5">(EXP(-$C$48))*B20</f>
        <v>0</v>
      </c>
      <c r="D21" s="31">
        <f t="shared" si="5"/>
        <v>0</v>
      </c>
      <c r="E21" s="31">
        <f t="shared" si="5"/>
        <v>0</v>
      </c>
      <c r="F21" s="31">
        <f t="shared" si="5"/>
        <v>0</v>
      </c>
      <c r="G21" s="31">
        <f t="shared" si="5"/>
        <v>0</v>
      </c>
      <c r="H21" s="31">
        <f t="shared" si="5"/>
        <v>0</v>
      </c>
      <c r="I21" s="31">
        <f t="shared" si="5"/>
        <v>0</v>
      </c>
      <c r="J21" s="31">
        <f t="shared" si="5"/>
        <v>0</v>
      </c>
      <c r="K21" s="31">
        <f t="shared" si="5"/>
        <v>0</v>
      </c>
      <c r="L21" s="31">
        <f t="shared" si="5"/>
        <v>0</v>
      </c>
      <c r="M21" s="31">
        <f t="shared" si="5"/>
        <v>0</v>
      </c>
      <c r="N21" s="31">
        <f t="shared" si="5"/>
        <v>0</v>
      </c>
      <c r="O21" s="31">
        <f t="shared" si="5"/>
        <v>0</v>
      </c>
      <c r="P21" s="31">
        <f t="shared" si="5"/>
        <v>0</v>
      </c>
      <c r="Q21" s="31">
        <f t="shared" si="5"/>
        <v>0</v>
      </c>
      <c r="R21" s="31">
        <f t="shared" si="5"/>
        <v>0</v>
      </c>
      <c r="S21" s="31">
        <f t="shared" si="5"/>
        <v>0</v>
      </c>
      <c r="T21" s="31">
        <f t="shared" si="5"/>
        <v>0</v>
      </c>
      <c r="U21" s="31">
        <f t="shared" si="5"/>
        <v>0</v>
      </c>
      <c r="V21" s="31">
        <f t="shared" si="5"/>
        <v>0</v>
      </c>
      <c r="W21" s="31">
        <f t="shared" si="5"/>
        <v>0</v>
      </c>
      <c r="X21" s="31">
        <f t="shared" si="5"/>
        <v>0</v>
      </c>
      <c r="Y21" s="31">
        <f t="shared" si="5"/>
        <v>0</v>
      </c>
      <c r="Z21" s="31">
        <f t="shared" si="5"/>
        <v>1.2995567265797423</v>
      </c>
      <c r="AA21" s="31">
        <f t="shared" si="5"/>
        <v>1.2640202795507012</v>
      </c>
      <c r="AB21" s="31">
        <f t="shared" si="5"/>
        <v>1.2294555785344496</v>
      </c>
      <c r="AC21" s="31">
        <f t="shared" si="5"/>
        <v>1.1958360510851662</v>
      </c>
      <c r="AD21" s="31">
        <f t="shared" si="5"/>
        <v>1.1631358513819576</v>
      </c>
      <c r="AE21" s="31">
        <f t="shared" si="5"/>
        <v>1.131329840359262</v>
      </c>
      <c r="AF21" s="112">
        <f t="shared" si="5"/>
        <v>1.1003935663805873</v>
      </c>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43.5" x14ac:dyDescent="0.35">
      <c r="A22" s="67" t="s">
        <v>194</v>
      </c>
      <c r="B22" s="12">
        <f t="shared" ref="B22:AF22" si="6">((1-EXP(-$C$48))/$C$48)*(B27*$C$42*$B$41)</f>
        <v>0</v>
      </c>
      <c r="C22" s="12">
        <f t="shared" si="6"/>
        <v>0</v>
      </c>
      <c r="D22" s="12">
        <f t="shared" si="6"/>
        <v>0</v>
      </c>
      <c r="E22" s="12">
        <f t="shared" si="6"/>
        <v>0</v>
      </c>
      <c r="F22" s="12">
        <f t="shared" si="6"/>
        <v>0</v>
      </c>
      <c r="G22" s="12">
        <f t="shared" si="6"/>
        <v>0</v>
      </c>
      <c r="H22" s="12">
        <f t="shared" si="6"/>
        <v>0</v>
      </c>
      <c r="I22" s="12">
        <f t="shared" si="6"/>
        <v>0</v>
      </c>
      <c r="J22" s="12">
        <f t="shared" si="6"/>
        <v>0</v>
      </c>
      <c r="K22" s="12">
        <f t="shared" si="6"/>
        <v>0</v>
      </c>
      <c r="L22" s="12">
        <f t="shared" si="6"/>
        <v>0</v>
      </c>
      <c r="M22" s="12">
        <f t="shared" si="6"/>
        <v>0</v>
      </c>
      <c r="N22" s="12">
        <f t="shared" si="6"/>
        <v>0</v>
      </c>
      <c r="O22" s="12">
        <f t="shared" si="6"/>
        <v>0</v>
      </c>
      <c r="P22" s="12">
        <f t="shared" si="6"/>
        <v>0</v>
      </c>
      <c r="Q22" s="12">
        <f t="shared" si="6"/>
        <v>0</v>
      </c>
      <c r="R22" s="12">
        <f t="shared" si="6"/>
        <v>0</v>
      </c>
      <c r="S22" s="12">
        <f t="shared" si="6"/>
        <v>0</v>
      </c>
      <c r="T22" s="12">
        <f t="shared" si="6"/>
        <v>0</v>
      </c>
      <c r="U22" s="12">
        <f t="shared" si="6"/>
        <v>0</v>
      </c>
      <c r="V22" s="12">
        <f t="shared" si="6"/>
        <v>0</v>
      </c>
      <c r="W22" s="12">
        <f t="shared" si="6"/>
        <v>0</v>
      </c>
      <c r="X22" s="12">
        <f t="shared" si="6"/>
        <v>1.3360922391205303</v>
      </c>
      <c r="Y22" s="12">
        <f t="shared" si="6"/>
        <v>0</v>
      </c>
      <c r="Z22" s="12">
        <f t="shared" si="6"/>
        <v>0</v>
      </c>
      <c r="AA22" s="12">
        <f t="shared" si="6"/>
        <v>0</v>
      </c>
      <c r="AB22" s="12">
        <f t="shared" si="6"/>
        <v>0</v>
      </c>
      <c r="AC22" s="12">
        <f t="shared" si="6"/>
        <v>0</v>
      </c>
      <c r="AD22" s="12">
        <f t="shared" si="6"/>
        <v>0</v>
      </c>
      <c r="AE22" s="12">
        <f t="shared" si="6"/>
        <v>0</v>
      </c>
      <c r="AF22" s="27">
        <f t="shared" si="6"/>
        <v>0</v>
      </c>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68" t="s">
        <v>195</v>
      </c>
      <c r="B23" s="12">
        <v>0</v>
      </c>
      <c r="C23" s="31">
        <f>C24+B25</f>
        <v>0</v>
      </c>
      <c r="D23" s="31">
        <f>D24+C25</f>
        <v>0</v>
      </c>
      <c r="E23" s="31">
        <f t="shared" ref="E23:AF23" si="7">E24+D25</f>
        <v>0</v>
      </c>
      <c r="F23" s="31">
        <f>F24+E25</f>
        <v>0</v>
      </c>
      <c r="G23" s="31">
        <f t="shared" si="7"/>
        <v>0</v>
      </c>
      <c r="H23" s="31">
        <f t="shared" si="7"/>
        <v>0</v>
      </c>
      <c r="I23" s="31">
        <f t="shared" si="7"/>
        <v>0</v>
      </c>
      <c r="J23" s="31">
        <f t="shared" si="7"/>
        <v>0</v>
      </c>
      <c r="K23" s="31">
        <f t="shared" si="7"/>
        <v>0</v>
      </c>
      <c r="L23" s="31">
        <f t="shared" si="7"/>
        <v>0</v>
      </c>
      <c r="M23" s="31">
        <f>M24+L25</f>
        <v>0</v>
      </c>
      <c r="N23" s="31">
        <f t="shared" si="7"/>
        <v>3.1391655099965599</v>
      </c>
      <c r="O23" s="31">
        <f t="shared" si="7"/>
        <v>2.2197252193854946</v>
      </c>
      <c r="P23" s="31">
        <f t="shared" si="7"/>
        <v>1.5695827549982801</v>
      </c>
      <c r="Q23" s="31">
        <f t="shared" si="7"/>
        <v>1.1098626096927473</v>
      </c>
      <c r="R23" s="31">
        <f>R24+Q25</f>
        <v>0.78479137749914007</v>
      </c>
      <c r="S23" s="31">
        <f t="shared" si="7"/>
        <v>0.55493130484637365</v>
      </c>
      <c r="T23" s="31">
        <f t="shared" si="7"/>
        <v>8.5357603352700568</v>
      </c>
      <c r="U23" s="31">
        <f t="shared" si="7"/>
        <v>6.0356940156526164</v>
      </c>
      <c r="V23" s="31">
        <f t="shared" si="7"/>
        <v>4.2678801676350293</v>
      </c>
      <c r="W23" s="31">
        <f t="shared" si="7"/>
        <v>3.0178470078263087</v>
      </c>
      <c r="X23" s="31">
        <f t="shared" si="7"/>
        <v>2.1339400838175151</v>
      </c>
      <c r="Y23" s="31">
        <f t="shared" si="7"/>
        <v>6.0884120126140182</v>
      </c>
      <c r="Z23" s="31">
        <f t="shared" si="7"/>
        <v>4.3051574207770082</v>
      </c>
      <c r="AA23" s="31">
        <f t="shared" si="7"/>
        <v>3.0442060063070095</v>
      </c>
      <c r="AB23" s="31">
        <f t="shared" si="7"/>
        <v>2.1525787103885046</v>
      </c>
      <c r="AC23" s="31">
        <f t="shared" si="7"/>
        <v>1.522103003153505</v>
      </c>
      <c r="AD23" s="31">
        <f t="shared" si="7"/>
        <v>1.0762893551942523</v>
      </c>
      <c r="AE23" s="31">
        <f t="shared" si="7"/>
        <v>0.7610515015767525</v>
      </c>
      <c r="AF23" s="112">
        <f t="shared" si="7"/>
        <v>0.53814467759712614</v>
      </c>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29" x14ac:dyDescent="0.35">
      <c r="A24" s="68" t="s">
        <v>196</v>
      </c>
      <c r="B24" s="12">
        <v>0</v>
      </c>
      <c r="C24" s="31">
        <f t="shared" ref="C24:AF24" si="8">(EXP(-$C$49))*B23</f>
        <v>0</v>
      </c>
      <c r="D24" s="31">
        <f t="shared" si="8"/>
        <v>0</v>
      </c>
      <c r="E24" s="31">
        <f t="shared" si="8"/>
        <v>0</v>
      </c>
      <c r="F24" s="31">
        <f t="shared" si="8"/>
        <v>0</v>
      </c>
      <c r="G24" s="31">
        <f t="shared" si="8"/>
        <v>0</v>
      </c>
      <c r="H24" s="31">
        <f t="shared" si="8"/>
        <v>0</v>
      </c>
      <c r="I24" s="31">
        <f t="shared" si="8"/>
        <v>0</v>
      </c>
      <c r="J24" s="31">
        <f t="shared" si="8"/>
        <v>0</v>
      </c>
      <c r="K24" s="31">
        <f t="shared" si="8"/>
        <v>0</v>
      </c>
      <c r="L24" s="31">
        <f t="shared" si="8"/>
        <v>0</v>
      </c>
      <c r="M24" s="31">
        <f t="shared" si="8"/>
        <v>0</v>
      </c>
      <c r="N24" s="31">
        <f t="shared" si="8"/>
        <v>0</v>
      </c>
      <c r="O24" s="31">
        <f t="shared" si="8"/>
        <v>2.2197252193854946</v>
      </c>
      <c r="P24" s="31">
        <f t="shared" si="8"/>
        <v>1.5695827549982801</v>
      </c>
      <c r="Q24" s="31">
        <f t="shared" si="8"/>
        <v>1.1098626096927473</v>
      </c>
      <c r="R24" s="31">
        <f t="shared" si="8"/>
        <v>0.78479137749914007</v>
      </c>
      <c r="S24" s="31">
        <f t="shared" si="8"/>
        <v>0.55493130484637365</v>
      </c>
      <c r="T24" s="31">
        <f t="shared" si="8"/>
        <v>0.39239568874957004</v>
      </c>
      <c r="U24" s="31">
        <f t="shared" si="8"/>
        <v>6.0356940156526164</v>
      </c>
      <c r="V24" s="31">
        <f t="shared" si="8"/>
        <v>4.2678801676350293</v>
      </c>
      <c r="W24" s="31">
        <f t="shared" si="8"/>
        <v>3.0178470078263087</v>
      </c>
      <c r="X24" s="31">
        <f t="shared" si="8"/>
        <v>2.1339400838175151</v>
      </c>
      <c r="Y24" s="31">
        <f t="shared" si="8"/>
        <v>1.5089235039131546</v>
      </c>
      <c r="Z24" s="31">
        <f t="shared" si="8"/>
        <v>4.3051574207770082</v>
      </c>
      <c r="AA24" s="31">
        <f t="shared" si="8"/>
        <v>3.0442060063070095</v>
      </c>
      <c r="AB24" s="31">
        <f t="shared" si="8"/>
        <v>2.1525787103885046</v>
      </c>
      <c r="AC24" s="31">
        <f t="shared" si="8"/>
        <v>1.522103003153505</v>
      </c>
      <c r="AD24" s="31">
        <f t="shared" si="8"/>
        <v>1.0762893551942523</v>
      </c>
      <c r="AE24" s="31">
        <f t="shared" si="8"/>
        <v>0.7610515015767525</v>
      </c>
      <c r="AF24" s="112">
        <f t="shared" si="8"/>
        <v>0.53814467759712614</v>
      </c>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43.5" x14ac:dyDescent="0.35">
      <c r="A25" s="68" t="s">
        <v>197</v>
      </c>
      <c r="B25" s="12">
        <f t="shared" ref="B25:AF25" si="9">((1-EXP(-$C$49))/$C$49)*(B28*$C$42*$B$41)</f>
        <v>0</v>
      </c>
      <c r="C25" s="12">
        <f t="shared" si="9"/>
        <v>0</v>
      </c>
      <c r="D25" s="12">
        <f t="shared" si="9"/>
        <v>0</v>
      </c>
      <c r="E25" s="12">
        <f t="shared" si="9"/>
        <v>0</v>
      </c>
      <c r="F25" s="12">
        <f t="shared" si="9"/>
        <v>0</v>
      </c>
      <c r="G25" s="12">
        <f t="shared" si="9"/>
        <v>0</v>
      </c>
      <c r="H25" s="12">
        <f t="shared" si="9"/>
        <v>0</v>
      </c>
      <c r="I25" s="12">
        <f t="shared" si="9"/>
        <v>0</v>
      </c>
      <c r="J25" s="12">
        <f t="shared" si="9"/>
        <v>0</v>
      </c>
      <c r="K25" s="12">
        <f t="shared" si="9"/>
        <v>0</v>
      </c>
      <c r="L25" s="12">
        <f t="shared" si="9"/>
        <v>0</v>
      </c>
      <c r="M25" s="12">
        <f>((1-EXP(-$C$49))/$C$49)*(M28*$C$42*$B$41)</f>
        <v>3.1391655099965599</v>
      </c>
      <c r="N25" s="12">
        <f t="shared" si="9"/>
        <v>0</v>
      </c>
      <c r="O25" s="12">
        <f t="shared" si="9"/>
        <v>0</v>
      </c>
      <c r="P25" s="12">
        <f t="shared" si="9"/>
        <v>0</v>
      </c>
      <c r="Q25" s="12">
        <f t="shared" si="9"/>
        <v>0</v>
      </c>
      <c r="R25" s="12">
        <f t="shared" si="9"/>
        <v>0</v>
      </c>
      <c r="S25" s="12">
        <f t="shared" si="9"/>
        <v>8.143364646520487</v>
      </c>
      <c r="T25" s="12">
        <f t="shared" si="9"/>
        <v>0</v>
      </c>
      <c r="U25" s="12">
        <f t="shared" si="9"/>
        <v>0</v>
      </c>
      <c r="V25" s="12">
        <f t="shared" si="9"/>
        <v>0</v>
      </c>
      <c r="W25" s="12">
        <f t="shared" si="9"/>
        <v>0</v>
      </c>
      <c r="X25" s="12">
        <f t="shared" si="9"/>
        <v>4.5794885087008632</v>
      </c>
      <c r="Y25" s="12">
        <f t="shared" si="9"/>
        <v>0</v>
      </c>
      <c r="Z25" s="12">
        <f t="shared" si="9"/>
        <v>0</v>
      </c>
      <c r="AA25" s="12">
        <f t="shared" si="9"/>
        <v>0</v>
      </c>
      <c r="AB25" s="12">
        <f t="shared" si="9"/>
        <v>0</v>
      </c>
      <c r="AC25" s="12">
        <f t="shared" si="9"/>
        <v>0</v>
      </c>
      <c r="AD25" s="12">
        <f t="shared" si="9"/>
        <v>0</v>
      </c>
      <c r="AE25" s="12">
        <f t="shared" si="9"/>
        <v>0</v>
      </c>
      <c r="AF25" s="27">
        <f t="shared" si="9"/>
        <v>0</v>
      </c>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32" customHeight="1" x14ac:dyDescent="0.35">
      <c r="A26" s="18" t="s">
        <v>215</v>
      </c>
      <c r="B26" s="17"/>
      <c r="C26" s="17"/>
      <c r="D26" s="17"/>
      <c r="E26" s="17"/>
      <c r="F26" s="17"/>
      <c r="G26" s="17"/>
      <c r="H26" s="17"/>
      <c r="I26" s="17"/>
      <c r="J26" s="17"/>
      <c r="K26" s="17"/>
      <c r="L26" s="17"/>
      <c r="M26" s="17"/>
      <c r="N26" s="17"/>
      <c r="O26" s="17"/>
      <c r="P26" s="17"/>
      <c r="Q26" s="17"/>
      <c r="R26" s="17"/>
      <c r="S26" s="17">
        <f>(49*0.1)/2</f>
        <v>2.4500000000000002</v>
      </c>
      <c r="T26" s="17"/>
      <c r="U26" s="17"/>
      <c r="V26" s="17"/>
      <c r="W26" s="17"/>
      <c r="X26" s="17">
        <f>(62*0.5)/2</f>
        <v>15.5</v>
      </c>
      <c r="Y26" s="17"/>
      <c r="Z26" s="17"/>
      <c r="AA26" s="17"/>
      <c r="AB26" s="17"/>
      <c r="AC26" s="17"/>
      <c r="AD26" s="17"/>
      <c r="AE26" s="17"/>
      <c r="AF26" s="113"/>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32" customHeight="1" x14ac:dyDescent="0.35">
      <c r="A27" s="18" t="s">
        <v>216</v>
      </c>
      <c r="B27" s="17"/>
      <c r="C27" s="17"/>
      <c r="D27" s="17"/>
      <c r="E27" s="17"/>
      <c r="F27" s="17"/>
      <c r="G27" s="17"/>
      <c r="H27" s="17"/>
      <c r="I27" s="17"/>
      <c r="J27" s="17"/>
      <c r="K27" s="17"/>
      <c r="L27" s="17"/>
      <c r="M27" s="17"/>
      <c r="N27" s="17"/>
      <c r="O27" s="17"/>
      <c r="P27" s="17"/>
      <c r="Q27" s="17"/>
      <c r="R27" s="17"/>
      <c r="S27" s="17"/>
      <c r="T27" s="17"/>
      <c r="U27" s="17"/>
      <c r="V27" s="17"/>
      <c r="W27" s="17"/>
      <c r="X27" s="17">
        <f>62*0.1</f>
        <v>6.2</v>
      </c>
      <c r="Y27" s="17"/>
      <c r="Z27" s="17"/>
      <c r="AA27" s="17"/>
      <c r="AB27" s="17"/>
      <c r="AC27" s="17"/>
      <c r="AD27" s="17"/>
      <c r="AE27" s="17"/>
      <c r="AF27" s="113"/>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x14ac:dyDescent="0.35">
      <c r="A28" s="18" t="s">
        <v>217</v>
      </c>
      <c r="B28" s="17"/>
      <c r="C28" s="17"/>
      <c r="D28" s="17"/>
      <c r="E28" s="17"/>
      <c r="F28" s="17"/>
      <c r="G28" s="17"/>
      <c r="H28" s="17"/>
      <c r="I28" s="17"/>
      <c r="J28" s="17"/>
      <c r="K28" s="17"/>
      <c r="L28" s="17"/>
      <c r="M28" s="17">
        <v>17</v>
      </c>
      <c r="N28" s="17"/>
      <c r="O28" s="17"/>
      <c r="P28" s="17"/>
      <c r="Q28" s="17"/>
      <c r="R28" s="17"/>
      <c r="S28" s="17">
        <f>(49*0.9)</f>
        <v>44.1</v>
      </c>
      <c r="T28" s="17"/>
      <c r="U28" s="17"/>
      <c r="V28" s="17"/>
      <c r="W28" s="17"/>
      <c r="X28" s="17">
        <f>62*0.4</f>
        <v>24.8</v>
      </c>
      <c r="Y28" s="17"/>
      <c r="Z28" s="17"/>
      <c r="AA28" s="17"/>
      <c r="AB28" s="17"/>
      <c r="AC28" s="17"/>
      <c r="AD28" s="17"/>
      <c r="AE28" s="17"/>
      <c r="AF28" s="113"/>
    </row>
    <row r="29" spans="1:177" x14ac:dyDescent="0.35">
      <c r="A29" s="171" t="s">
        <v>2</v>
      </c>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3"/>
    </row>
    <row r="30" spans="1:177" x14ac:dyDescent="0.35">
      <c r="A30" s="3" t="s">
        <v>199</v>
      </c>
      <c r="B30" s="12">
        <f>SUM(B31,B34)</f>
        <v>0</v>
      </c>
      <c r="C30" s="12">
        <f t="shared" ref="C30:AE30" si="10">SUM(C31,C34)</f>
        <v>0</v>
      </c>
      <c r="D30" s="12">
        <f t="shared" si="10"/>
        <v>0</v>
      </c>
      <c r="E30" s="12">
        <f t="shared" si="10"/>
        <v>0</v>
      </c>
      <c r="F30" s="12">
        <f t="shared" si="10"/>
        <v>0</v>
      </c>
      <c r="G30" s="12">
        <f t="shared" si="10"/>
        <v>0</v>
      </c>
      <c r="H30" s="12">
        <f t="shared" si="10"/>
        <v>0</v>
      </c>
      <c r="I30" s="12">
        <f t="shared" si="10"/>
        <v>0</v>
      </c>
      <c r="J30" s="12">
        <f t="shared" si="10"/>
        <v>0</v>
      </c>
      <c r="K30" s="12">
        <f t="shared" si="10"/>
        <v>0</v>
      </c>
      <c r="L30" s="12">
        <f t="shared" si="10"/>
        <v>0</v>
      </c>
      <c r="M30" s="12">
        <f t="shared" si="10"/>
        <v>0</v>
      </c>
      <c r="N30" s="12">
        <f t="shared" si="10"/>
        <v>0</v>
      </c>
      <c r="O30" s="12">
        <f t="shared" si="10"/>
        <v>0</v>
      </c>
      <c r="P30" s="12">
        <f t="shared" si="10"/>
        <v>0</v>
      </c>
      <c r="Q30" s="12">
        <f t="shared" si="10"/>
        <v>0</v>
      </c>
      <c r="R30" s="12">
        <f t="shared" si="10"/>
        <v>0</v>
      </c>
      <c r="S30" s="12">
        <f t="shared" si="10"/>
        <v>0</v>
      </c>
      <c r="T30" s="12">
        <f t="shared" si="10"/>
        <v>0</v>
      </c>
      <c r="U30" s="12">
        <f t="shared" si="10"/>
        <v>0</v>
      </c>
      <c r="V30" s="12">
        <f t="shared" si="10"/>
        <v>0</v>
      </c>
      <c r="W30" s="12">
        <f t="shared" si="10"/>
        <v>0</v>
      </c>
      <c r="X30" s="12">
        <f t="shared" si="10"/>
        <v>0</v>
      </c>
      <c r="Y30" s="12">
        <f t="shared" si="10"/>
        <v>0</v>
      </c>
      <c r="Z30" s="12">
        <f t="shared" si="10"/>
        <v>0</v>
      </c>
      <c r="AA30" s="12">
        <f t="shared" si="10"/>
        <v>0</v>
      </c>
      <c r="AB30" s="12">
        <f t="shared" si="10"/>
        <v>0</v>
      </c>
      <c r="AC30" s="12">
        <f t="shared" si="10"/>
        <v>0</v>
      </c>
      <c r="AD30" s="12">
        <f t="shared" si="10"/>
        <v>0</v>
      </c>
      <c r="AE30" s="12">
        <f t="shared" si="10"/>
        <v>0</v>
      </c>
      <c r="AF30" s="31">
        <f>SUM(AF31,AF34)</f>
        <v>3.6931358941135999</v>
      </c>
    </row>
    <row r="31" spans="1:177" x14ac:dyDescent="0.35">
      <c r="A31" s="67" t="s">
        <v>192</v>
      </c>
      <c r="B31" s="12">
        <v>0</v>
      </c>
      <c r="C31" s="31">
        <f>C32+B33</f>
        <v>0</v>
      </c>
      <c r="D31" s="31">
        <f>D32+C33</f>
        <v>0</v>
      </c>
      <c r="E31" s="31">
        <f t="shared" ref="E31:AE31" si="11">E32+D33</f>
        <v>0</v>
      </c>
      <c r="F31" s="31">
        <f t="shared" si="11"/>
        <v>0</v>
      </c>
      <c r="G31" s="31">
        <f t="shared" si="11"/>
        <v>0</v>
      </c>
      <c r="H31" s="31">
        <f t="shared" si="11"/>
        <v>0</v>
      </c>
      <c r="I31" s="31">
        <f t="shared" si="11"/>
        <v>0</v>
      </c>
      <c r="J31" s="31">
        <f t="shared" si="11"/>
        <v>0</v>
      </c>
      <c r="K31" s="31">
        <f t="shared" si="11"/>
        <v>0</v>
      </c>
      <c r="L31" s="31">
        <f t="shared" si="11"/>
        <v>0</v>
      </c>
      <c r="M31" s="31">
        <f t="shared" si="11"/>
        <v>0</v>
      </c>
      <c r="N31" s="31">
        <f t="shared" si="11"/>
        <v>0</v>
      </c>
      <c r="O31" s="31">
        <f t="shared" si="11"/>
        <v>0</v>
      </c>
      <c r="P31" s="31">
        <f t="shared" si="11"/>
        <v>0</v>
      </c>
      <c r="Q31" s="31">
        <f t="shared" si="11"/>
        <v>0</v>
      </c>
      <c r="R31" s="31">
        <f t="shared" si="11"/>
        <v>0</v>
      </c>
      <c r="S31" s="31">
        <f t="shared" si="11"/>
        <v>0</v>
      </c>
      <c r="T31" s="31">
        <f t="shared" si="11"/>
        <v>0</v>
      </c>
      <c r="U31" s="31">
        <f t="shared" si="11"/>
        <v>0</v>
      </c>
      <c r="V31" s="31">
        <f t="shared" si="11"/>
        <v>0</v>
      </c>
      <c r="W31" s="31">
        <f t="shared" si="11"/>
        <v>0</v>
      </c>
      <c r="X31" s="31">
        <f t="shared" si="11"/>
        <v>0</v>
      </c>
      <c r="Y31" s="31">
        <f t="shared" si="11"/>
        <v>0</v>
      </c>
      <c r="Z31" s="31">
        <f t="shared" si="11"/>
        <v>0</v>
      </c>
      <c r="AA31" s="31">
        <f t="shared" si="11"/>
        <v>0</v>
      </c>
      <c r="AB31" s="31">
        <f t="shared" si="11"/>
        <v>0</v>
      </c>
      <c r="AC31" s="31">
        <f t="shared" si="11"/>
        <v>0</v>
      </c>
      <c r="AD31" s="31">
        <f>AD32+AC33</f>
        <v>0</v>
      </c>
      <c r="AE31" s="31">
        <f t="shared" si="11"/>
        <v>0</v>
      </c>
      <c r="AF31" s="112">
        <f>AF32+AE33</f>
        <v>0</v>
      </c>
    </row>
    <row r="32" spans="1:177" ht="29" x14ac:dyDescent="0.35">
      <c r="A32" s="67" t="s">
        <v>193</v>
      </c>
      <c r="B32" s="12">
        <v>0</v>
      </c>
      <c r="C32" s="31">
        <f t="shared" ref="C32:AF32" si="12">(EXP(-$C$48))*B31</f>
        <v>0</v>
      </c>
      <c r="D32" s="31">
        <f t="shared" si="12"/>
        <v>0</v>
      </c>
      <c r="E32" s="31">
        <f t="shared" si="12"/>
        <v>0</v>
      </c>
      <c r="F32" s="31">
        <f t="shared" si="12"/>
        <v>0</v>
      </c>
      <c r="G32" s="31">
        <f t="shared" si="12"/>
        <v>0</v>
      </c>
      <c r="H32" s="31">
        <f t="shared" si="12"/>
        <v>0</v>
      </c>
      <c r="I32" s="31">
        <f t="shared" si="12"/>
        <v>0</v>
      </c>
      <c r="J32" s="31">
        <f t="shared" si="12"/>
        <v>0</v>
      </c>
      <c r="K32" s="31">
        <f t="shared" si="12"/>
        <v>0</v>
      </c>
      <c r="L32" s="31">
        <f t="shared" si="12"/>
        <v>0</v>
      </c>
      <c r="M32" s="31">
        <f t="shared" si="12"/>
        <v>0</v>
      </c>
      <c r="N32" s="31">
        <f t="shared" si="12"/>
        <v>0</v>
      </c>
      <c r="O32" s="31">
        <f t="shared" si="12"/>
        <v>0</v>
      </c>
      <c r="P32" s="31">
        <f t="shared" si="12"/>
        <v>0</v>
      </c>
      <c r="Q32" s="31">
        <f t="shared" si="12"/>
        <v>0</v>
      </c>
      <c r="R32" s="31">
        <f t="shared" si="12"/>
        <v>0</v>
      </c>
      <c r="S32" s="31">
        <f t="shared" si="12"/>
        <v>0</v>
      </c>
      <c r="T32" s="31">
        <f t="shared" si="12"/>
        <v>0</v>
      </c>
      <c r="U32" s="31">
        <f t="shared" si="12"/>
        <v>0</v>
      </c>
      <c r="V32" s="31">
        <f t="shared" si="12"/>
        <v>0</v>
      </c>
      <c r="W32" s="31">
        <f t="shared" si="12"/>
        <v>0</v>
      </c>
      <c r="X32" s="31">
        <f t="shared" si="12"/>
        <v>0</v>
      </c>
      <c r="Y32" s="31">
        <f t="shared" si="12"/>
        <v>0</v>
      </c>
      <c r="Z32" s="31">
        <f t="shared" si="12"/>
        <v>0</v>
      </c>
      <c r="AA32" s="31">
        <f t="shared" si="12"/>
        <v>0</v>
      </c>
      <c r="AB32" s="31">
        <f t="shared" si="12"/>
        <v>0</v>
      </c>
      <c r="AC32" s="31">
        <f t="shared" si="12"/>
        <v>0</v>
      </c>
      <c r="AD32" s="31">
        <f t="shared" si="12"/>
        <v>0</v>
      </c>
      <c r="AE32" s="31">
        <f t="shared" si="12"/>
        <v>0</v>
      </c>
      <c r="AF32" s="112">
        <f t="shared" si="12"/>
        <v>0</v>
      </c>
    </row>
    <row r="33" spans="1:32" ht="43.5" x14ac:dyDescent="0.35">
      <c r="A33" s="67" t="s">
        <v>194</v>
      </c>
      <c r="B33" s="12">
        <f>((1-EXP(-$C$48))/$C$48)*(B37*$E$42*$B$41)</f>
        <v>0</v>
      </c>
      <c r="C33" s="12">
        <f>((1-EXP(-$C$48))/$C$48)*(C37*$E$42*$B$41)</f>
        <v>0</v>
      </c>
      <c r="D33" s="12">
        <f>((1-EXP(-$C$48))/$C$48)*(D37*$E$42*$B$41)</f>
        <v>0</v>
      </c>
      <c r="E33" s="12">
        <f t="shared" ref="E33:AD33" si="13">((1-EXP(-$C$48))/$C$48)*(E37*$E$42*$B$41)</f>
        <v>0</v>
      </c>
      <c r="F33" s="12">
        <f t="shared" si="13"/>
        <v>0</v>
      </c>
      <c r="G33" s="12">
        <f t="shared" si="13"/>
        <v>0</v>
      </c>
      <c r="H33" s="12">
        <f t="shared" si="13"/>
        <v>0</v>
      </c>
      <c r="I33" s="12">
        <f t="shared" si="13"/>
        <v>0</v>
      </c>
      <c r="J33" s="12">
        <f t="shared" si="13"/>
        <v>0</v>
      </c>
      <c r="K33" s="12">
        <f t="shared" si="13"/>
        <v>0</v>
      </c>
      <c r="L33" s="12">
        <f t="shared" si="13"/>
        <v>0</v>
      </c>
      <c r="M33" s="12">
        <f t="shared" si="13"/>
        <v>0</v>
      </c>
      <c r="N33" s="12">
        <f t="shared" si="13"/>
        <v>0</v>
      </c>
      <c r="O33" s="12">
        <f t="shared" si="13"/>
        <v>0</v>
      </c>
      <c r="P33" s="12">
        <f t="shared" si="13"/>
        <v>0</v>
      </c>
      <c r="Q33" s="12">
        <f t="shared" si="13"/>
        <v>0</v>
      </c>
      <c r="R33" s="12">
        <f t="shared" si="13"/>
        <v>0</v>
      </c>
      <c r="S33" s="12">
        <f t="shared" si="13"/>
        <v>0</v>
      </c>
      <c r="T33" s="12">
        <f t="shared" si="13"/>
        <v>0</v>
      </c>
      <c r="U33" s="12">
        <f t="shared" si="13"/>
        <v>0</v>
      </c>
      <c r="V33" s="12">
        <f t="shared" si="13"/>
        <v>0</v>
      </c>
      <c r="W33" s="12">
        <f t="shared" si="13"/>
        <v>0</v>
      </c>
      <c r="X33" s="12">
        <f t="shared" si="13"/>
        <v>0</v>
      </c>
      <c r="Y33" s="12">
        <f t="shared" si="13"/>
        <v>0</v>
      </c>
      <c r="Z33" s="12">
        <f t="shared" si="13"/>
        <v>0</v>
      </c>
      <c r="AA33" s="12">
        <f t="shared" si="13"/>
        <v>0</v>
      </c>
      <c r="AB33" s="12">
        <f t="shared" si="13"/>
        <v>0</v>
      </c>
      <c r="AC33" s="12">
        <f t="shared" si="13"/>
        <v>0</v>
      </c>
      <c r="AD33" s="12">
        <f t="shared" si="13"/>
        <v>0</v>
      </c>
      <c r="AE33" s="12">
        <f>((1-EXP(-$C$48))/$C$48)*(AE37*$E$42*$B$41)</f>
        <v>0</v>
      </c>
      <c r="AF33" s="27">
        <f>((1-EXP(-$C$48))/$C$48)*(AF37*$E$42*$B$41)</f>
        <v>0</v>
      </c>
    </row>
    <row r="34" spans="1:32" x14ac:dyDescent="0.35">
      <c r="A34" s="68" t="s">
        <v>195</v>
      </c>
      <c r="B34" s="12">
        <v>0</v>
      </c>
      <c r="C34" s="31">
        <f>C35+B36</f>
        <v>0</v>
      </c>
      <c r="D34" s="31">
        <f>D35+C36</f>
        <v>0</v>
      </c>
      <c r="E34" s="31">
        <f t="shared" ref="E34:AF34" si="14">E35+D36</f>
        <v>0</v>
      </c>
      <c r="F34" s="31">
        <f t="shared" si="14"/>
        <v>0</v>
      </c>
      <c r="G34" s="31">
        <f t="shared" si="14"/>
        <v>0</v>
      </c>
      <c r="H34" s="31">
        <f t="shared" si="14"/>
        <v>0</v>
      </c>
      <c r="I34" s="31">
        <f t="shared" si="14"/>
        <v>0</v>
      </c>
      <c r="J34" s="31">
        <f t="shared" si="14"/>
        <v>0</v>
      </c>
      <c r="K34" s="31">
        <f t="shared" si="14"/>
        <v>0</v>
      </c>
      <c r="L34" s="31">
        <f t="shared" si="14"/>
        <v>0</v>
      </c>
      <c r="M34" s="31">
        <f t="shared" si="14"/>
        <v>0</v>
      </c>
      <c r="N34" s="31">
        <f>N35+M36</f>
        <v>0</v>
      </c>
      <c r="O34" s="31">
        <f t="shared" si="14"/>
        <v>0</v>
      </c>
      <c r="P34" s="31">
        <f t="shared" si="14"/>
        <v>0</v>
      </c>
      <c r="Q34" s="31">
        <f t="shared" si="14"/>
        <v>0</v>
      </c>
      <c r="R34" s="31">
        <f t="shared" si="14"/>
        <v>0</v>
      </c>
      <c r="S34" s="31">
        <f t="shared" si="14"/>
        <v>0</v>
      </c>
      <c r="T34" s="31">
        <f t="shared" si="14"/>
        <v>0</v>
      </c>
      <c r="U34" s="31">
        <f t="shared" si="14"/>
        <v>0</v>
      </c>
      <c r="V34" s="31">
        <f t="shared" si="14"/>
        <v>0</v>
      </c>
      <c r="W34" s="31">
        <f t="shared" si="14"/>
        <v>0</v>
      </c>
      <c r="X34" s="31">
        <f t="shared" si="14"/>
        <v>0</v>
      </c>
      <c r="Y34" s="31">
        <f t="shared" si="14"/>
        <v>0</v>
      </c>
      <c r="Z34" s="31">
        <f t="shared" si="14"/>
        <v>0</v>
      </c>
      <c r="AA34" s="31">
        <f t="shared" si="14"/>
        <v>0</v>
      </c>
      <c r="AB34" s="31">
        <f t="shared" si="14"/>
        <v>0</v>
      </c>
      <c r="AC34" s="31">
        <f t="shared" si="14"/>
        <v>0</v>
      </c>
      <c r="AD34" s="31">
        <f t="shared" si="14"/>
        <v>0</v>
      </c>
      <c r="AE34" s="31">
        <f t="shared" si="14"/>
        <v>0</v>
      </c>
      <c r="AF34" s="112">
        <f t="shared" si="14"/>
        <v>3.6931358941135999</v>
      </c>
    </row>
    <row r="35" spans="1:32" ht="29" x14ac:dyDescent="0.35">
      <c r="A35" s="68" t="s">
        <v>196</v>
      </c>
      <c r="B35" s="12">
        <v>0</v>
      </c>
      <c r="C35" s="31">
        <f t="shared" ref="C35:AF35" si="15">(EXP(-$C$49))*B34</f>
        <v>0</v>
      </c>
      <c r="D35" s="31">
        <f t="shared" si="15"/>
        <v>0</v>
      </c>
      <c r="E35" s="31">
        <f t="shared" si="15"/>
        <v>0</v>
      </c>
      <c r="F35" s="31">
        <f t="shared" si="15"/>
        <v>0</v>
      </c>
      <c r="G35" s="31">
        <f t="shared" si="15"/>
        <v>0</v>
      </c>
      <c r="H35" s="31">
        <f t="shared" si="15"/>
        <v>0</v>
      </c>
      <c r="I35" s="31">
        <f t="shared" si="15"/>
        <v>0</v>
      </c>
      <c r="J35" s="31">
        <f t="shared" si="15"/>
        <v>0</v>
      </c>
      <c r="K35" s="31">
        <f t="shared" si="15"/>
        <v>0</v>
      </c>
      <c r="L35" s="31">
        <f t="shared" si="15"/>
        <v>0</v>
      </c>
      <c r="M35" s="31">
        <f t="shared" si="15"/>
        <v>0</v>
      </c>
      <c r="N35" s="31">
        <f t="shared" si="15"/>
        <v>0</v>
      </c>
      <c r="O35" s="31">
        <f t="shared" si="15"/>
        <v>0</v>
      </c>
      <c r="P35" s="31">
        <f t="shared" si="15"/>
        <v>0</v>
      </c>
      <c r="Q35" s="31">
        <f t="shared" si="15"/>
        <v>0</v>
      </c>
      <c r="R35" s="31">
        <f t="shared" si="15"/>
        <v>0</v>
      </c>
      <c r="S35" s="31">
        <f t="shared" si="15"/>
        <v>0</v>
      </c>
      <c r="T35" s="31">
        <f t="shared" si="15"/>
        <v>0</v>
      </c>
      <c r="U35" s="31">
        <f t="shared" si="15"/>
        <v>0</v>
      </c>
      <c r="V35" s="31">
        <f t="shared" si="15"/>
        <v>0</v>
      </c>
      <c r="W35" s="31">
        <f t="shared" si="15"/>
        <v>0</v>
      </c>
      <c r="X35" s="31">
        <f t="shared" si="15"/>
        <v>0</v>
      </c>
      <c r="Y35" s="31">
        <f t="shared" si="15"/>
        <v>0</v>
      </c>
      <c r="Z35" s="31">
        <f t="shared" si="15"/>
        <v>0</v>
      </c>
      <c r="AA35" s="31">
        <f t="shared" si="15"/>
        <v>0</v>
      </c>
      <c r="AB35" s="31">
        <f t="shared" si="15"/>
        <v>0</v>
      </c>
      <c r="AC35" s="31">
        <f t="shared" si="15"/>
        <v>0</v>
      </c>
      <c r="AD35" s="31">
        <f t="shared" si="15"/>
        <v>0</v>
      </c>
      <c r="AE35" s="31">
        <f t="shared" si="15"/>
        <v>0</v>
      </c>
      <c r="AF35" s="112">
        <f t="shared" si="15"/>
        <v>0</v>
      </c>
    </row>
    <row r="36" spans="1:32" ht="43.5" x14ac:dyDescent="0.35">
      <c r="A36" s="68" t="s">
        <v>197</v>
      </c>
      <c r="B36" s="12">
        <f>((1-EXP(-$C$49))/$C$49)*(B38*$E$42*$B$41)</f>
        <v>0</v>
      </c>
      <c r="C36" s="12">
        <f>((1-EXP(-$C$49))/$C$49)*(C38*$E$42*$B$41)</f>
        <v>0</v>
      </c>
      <c r="D36" s="12">
        <f t="shared" ref="D36:AD36" si="16">((1-EXP(-$C$49))/$C$49)*(D38*$E$42*$B$41)</f>
        <v>0</v>
      </c>
      <c r="E36" s="12">
        <f t="shared" si="16"/>
        <v>0</v>
      </c>
      <c r="F36" s="12">
        <f t="shared" si="16"/>
        <v>0</v>
      </c>
      <c r="G36" s="12">
        <f t="shared" si="16"/>
        <v>0</v>
      </c>
      <c r="H36" s="12">
        <f t="shared" si="16"/>
        <v>0</v>
      </c>
      <c r="I36" s="12">
        <f t="shared" si="16"/>
        <v>0</v>
      </c>
      <c r="J36" s="12">
        <f t="shared" si="16"/>
        <v>0</v>
      </c>
      <c r="K36" s="12">
        <f t="shared" si="16"/>
        <v>0</v>
      </c>
      <c r="L36" s="12">
        <f t="shared" si="16"/>
        <v>0</v>
      </c>
      <c r="M36" s="12">
        <f t="shared" si="16"/>
        <v>0</v>
      </c>
      <c r="N36" s="12">
        <f t="shared" si="16"/>
        <v>0</v>
      </c>
      <c r="O36" s="12">
        <f t="shared" si="16"/>
        <v>0</v>
      </c>
      <c r="P36" s="12">
        <f t="shared" si="16"/>
        <v>0</v>
      </c>
      <c r="Q36" s="12">
        <f t="shared" si="16"/>
        <v>0</v>
      </c>
      <c r="R36" s="12">
        <f t="shared" si="16"/>
        <v>0</v>
      </c>
      <c r="S36" s="12">
        <f t="shared" si="16"/>
        <v>0</v>
      </c>
      <c r="T36" s="12">
        <f t="shared" si="16"/>
        <v>0</v>
      </c>
      <c r="U36" s="12">
        <f t="shared" si="16"/>
        <v>0</v>
      </c>
      <c r="V36" s="12">
        <f t="shared" si="16"/>
        <v>0</v>
      </c>
      <c r="W36" s="12">
        <f t="shared" si="16"/>
        <v>0</v>
      </c>
      <c r="X36" s="12">
        <f t="shared" si="16"/>
        <v>0</v>
      </c>
      <c r="Y36" s="12">
        <f t="shared" si="16"/>
        <v>0</v>
      </c>
      <c r="Z36" s="12">
        <f t="shared" si="16"/>
        <v>0</v>
      </c>
      <c r="AA36" s="12">
        <f t="shared" si="16"/>
        <v>0</v>
      </c>
      <c r="AB36" s="12">
        <f t="shared" si="16"/>
        <v>0</v>
      </c>
      <c r="AC36" s="12">
        <f t="shared" si="16"/>
        <v>0</v>
      </c>
      <c r="AD36" s="12">
        <f t="shared" si="16"/>
        <v>0</v>
      </c>
      <c r="AE36" s="12">
        <f>((1-EXP(-$C$49))/$C$49)*(AE38*$E$42*$B$41)</f>
        <v>3.6931358941135999</v>
      </c>
      <c r="AF36" s="27">
        <f>((1-EXP(-$C$49))/$C$49)*(AF38*$E$42*$B$41)</f>
        <v>0</v>
      </c>
    </row>
    <row r="37" spans="1:32" ht="34.5" customHeight="1" x14ac:dyDescent="0.35">
      <c r="A37" s="18" t="s">
        <v>216</v>
      </c>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13"/>
    </row>
    <row r="38" spans="1:32" x14ac:dyDescent="0.35">
      <c r="A38" s="18" t="s">
        <v>217</v>
      </c>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v>20</v>
      </c>
      <c r="AF38" s="113"/>
    </row>
    <row r="39" spans="1:32" ht="15" thickBot="1" x14ac:dyDescent="0.4">
      <c r="A39" s="32" t="s">
        <v>200</v>
      </c>
      <c r="B39" s="12">
        <f t="shared" ref="B39:AF39" si="17">B16-B30</f>
        <v>0</v>
      </c>
      <c r="C39" s="33">
        <f t="shared" si="17"/>
        <v>0</v>
      </c>
      <c r="D39" s="23">
        <f t="shared" si="17"/>
        <v>0</v>
      </c>
      <c r="E39" s="33">
        <f t="shared" si="17"/>
        <v>0</v>
      </c>
      <c r="F39" s="23">
        <f t="shared" si="17"/>
        <v>0</v>
      </c>
      <c r="G39" s="23">
        <f t="shared" si="17"/>
        <v>0</v>
      </c>
      <c r="H39" s="23">
        <f t="shared" si="17"/>
        <v>0</v>
      </c>
      <c r="I39" s="23">
        <f t="shared" si="17"/>
        <v>0</v>
      </c>
      <c r="J39" s="23">
        <f t="shared" si="17"/>
        <v>0</v>
      </c>
      <c r="K39" s="23">
        <f t="shared" si="17"/>
        <v>0</v>
      </c>
      <c r="L39" s="23">
        <f t="shared" si="17"/>
        <v>0</v>
      </c>
      <c r="M39" s="23">
        <f t="shared" si="17"/>
        <v>0</v>
      </c>
      <c r="N39" s="23">
        <f t="shared" si="17"/>
        <v>3.1391655099965599</v>
      </c>
      <c r="O39" s="23">
        <f t="shared" si="17"/>
        <v>2.2197252193854946</v>
      </c>
      <c r="P39" s="23">
        <f t="shared" si="17"/>
        <v>1.5695827549982801</v>
      </c>
      <c r="Q39" s="23">
        <f t="shared" si="17"/>
        <v>1.1098626096927473</v>
      </c>
      <c r="R39" s="23">
        <f t="shared" si="17"/>
        <v>0.78479137749914007</v>
      </c>
      <c r="S39" s="142">
        <f t="shared" si="17"/>
        <v>0.55493130484637365</v>
      </c>
      <c r="T39" s="142">
        <f t="shared" si="17"/>
        <v>9.0658193126330939</v>
      </c>
      <c r="U39" s="142">
        <f t="shared" si="17"/>
        <v>6.5553588597736177</v>
      </c>
      <c r="V39" s="142">
        <f t="shared" si="17"/>
        <v>4.7773547011270745</v>
      </c>
      <c r="W39" s="142">
        <f t="shared" si="17"/>
        <v>3.5173310564653564</v>
      </c>
      <c r="X39" s="142">
        <f t="shared" si="17"/>
        <v>2.6236295549179385</v>
      </c>
      <c r="Y39" s="142">
        <f t="shared" si="17"/>
        <v>11.258025557570258</v>
      </c>
      <c r="Z39" s="142">
        <f t="shared" si="17"/>
        <v>9.3630624386021388</v>
      </c>
      <c r="AA39" s="142">
        <f t="shared" si="17"/>
        <v>7.9928756594778818</v>
      </c>
      <c r="AB39" s="142">
        <f t="shared" si="17"/>
        <v>6.994429935740639</v>
      </c>
      <c r="AC39" s="142">
        <f t="shared" si="17"/>
        <v>6.2594978257660436</v>
      </c>
      <c r="AD39" s="142">
        <f t="shared" si="17"/>
        <v>5.7115361707314847</v>
      </c>
      <c r="AE39" s="142">
        <f t="shared" si="17"/>
        <v>5.2964063278627798</v>
      </c>
      <c r="AF39" s="41">
        <f t="shared" si="17"/>
        <v>1.2826764820670826</v>
      </c>
    </row>
    <row r="40" spans="1:32" x14ac:dyDescent="0.35">
      <c r="A40" s="159" t="s">
        <v>11</v>
      </c>
      <c r="B40" s="174"/>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row>
    <row r="41" spans="1:32" ht="29.5" thickBot="1" x14ac:dyDescent="0.4">
      <c r="A41" s="3" t="s">
        <v>4</v>
      </c>
      <c r="B41" s="27">
        <v>0.47499999999999998</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ht="29.5" thickBot="1" x14ac:dyDescent="0.4">
      <c r="A42" s="3" t="s">
        <v>6</v>
      </c>
      <c r="B42" s="22" t="s">
        <v>62</v>
      </c>
      <c r="C42" s="24">
        <f>IF(B42="Alisier torminal",0.62,IF(B42="Arbousier",0.64,IF(B42="Aulne vert",0.42,IF(B42="Grands aulnes",0.42,IF(B42="Bouleaux",0.52,IF(B42="Cèdre de l’Atlas",0.36,IF(B42="Charme",0.61,IF(B42="Charme-houblon",0.66,IF(B42="Châtaignier",0.47,IF(B42="Chêne chevelu",0.67,IF(B42="Chêne-liège",0.7,IF(B42="Chêne pédonculé",0.54,IF(B42="Chêne pubescent",0.65,IF(B42="Chêne rouge d’Amérique",0.56,IF(B42="Chêne rouvre (sessile)",0.58,IF(B42="Chêne tauzin",0.64,IF(B42="Chêne vert",0.73,IF(B42="Chênes indifférenciés",0.56,IF(B42="Cornouiller mâle",0.74,IF(B42="Cyprès",0.4,IF(B42="Cytise aubour",0.6,IF(B42="Douglas",0.43,IF(B42="Epicéa commun",0.37,IF(B42="Epicéa de Sitka",0.36,IF(B42="Grands érables",0.51,IF(B42="Petits érables",0.56,IF(B42="Eucalyptus",0.56,IF(B42="Genévrier thurifère",0.48,IF(B42="Hêtre",0.55,IF(B42="Frênes",0.56,IF(B42="Fruitiers",0.58,IF(B42="If",0.58,IF(B42="Mélèze d’Europe",0.48,IF(B42="Mélèze du Japon",0.42,IF(B42="Merisier",0.5,IF(B42="Micocoulier",0.55,IF(B42="Mûrier",0.53,IF(B42="Noisetier",0.52,IF(B42="Noyer",0.52,IF(B42="Olivier",0.75,IF(B42="Ormes",0.52,IF(B42="Peupliers cultivés",0.35,IF(B42="Peupliers non cultivés",0.37,IF(B42="Pin d'Alep",0.45,IF(B42="Pin cembro",0.39,IF(B42="Pin à crochets",0.44,IF(B42="Pin laricio",0.46,IF(B42="Pin maritime",0.46,IF(B42="Pin mugho",0.44,IF(B42="Pin noir d'Autriche",0.46,IF(B42="Pin pignon",0.48,IF(B42="Pin sylvestre",0.44,IF(B42="Pin Weymouth",0.34,IF(B42="Platanes",0.5,IF(B42="Robinier faux acacia",0.58,IF(B42="Sapin méditerranéen",0.37,IF(B42="Sapin de Nordmann",0.37,IF(B42="Sapin pectiné",0.38,IF(B42="Sapin de Vancouver",0.36,IF(B42="Saules",0.37,IF(B42="Tamaris",0.53,IF(B42="Tilleuls",0.43,IF(B42="Tremble",0.38,IF(B42="Conifères (moyenne)",0.42,IF(B42="Feuillus (moyenne)",0.57,0)))))))))))))))))))))))))))))))))))))))))))))))))))))))))))))))))</f>
        <v>0.46</v>
      </c>
      <c r="D42" s="25" t="s">
        <v>62</v>
      </c>
      <c r="E42" s="26">
        <f>IF(D42="Alisier torminal",0.62,IF(D42="Arbousier",0.64,IF(D42="Aulne vert",0.42,IF(D42="Grands aulnes",0.42,IF(D42="Bouleaux",0.52,IF(D42="Cèdre de l’Atlas",0.36,IF(D42="Charme",0.61,IF(D42="Charme-houblon",0.66,IF(D42="Châtaignier",0.47,IF(D42="Chêne chevelu",0.67,IF(D42="Chêne-liège",0.7,IF(D42="Chêne pédonculé",0.54,IF(D42="Chêne pubescent",0.65,IF(D42="Chêne rouge d’Amérique",0.56,IF(D42="Chêne rouvre (sessile)",0.58,IF(D42="Chêne tauzin",0.64,IF(D42="Chêne vert",0.73,IF(D42="Chênes indifférenciés",0.56,IF(D42="Cornouiller mâle",0.74,IF(D42="Cyprès",0.4,IF(D42="Cytise aubour",0.6,IF(D42="Douglas",0.43,IF(D42="Epicéa commun",0.37,IF(D42="Epicéa de Sitka",0.36,IF(D42="Grands érables",0.51,IF(D42="Petits érables",0.56,IF(D42="Eucalyptus",0.56,IF(D42="Genévrier thurifère",0.48,IF(D42="Hêtre",0.55,IF(D42="Frênes",0.56,IF(D42="Fruitiers",0.58,IF(D42="If",0.58,IF(D42="Mélèze d’Europe",0.48,IF(D42="Mélèze du Japon",0.42,IF(D42="Merisier",0.5,IF(D42="Micocoulier",0.55,IF(D42="Mûrier",0.53,IF(D42="Noisetier",0.52,IF(D42="Noyer",0.52,IF(D42="Olivier",0.75,IF(D42="Ormes",0.52,IF(D42="Peupliers cultivés",0.35,IF(D42="Peupliers non cultivés",0.37,IF(D42="Pin d'Alep",0.45,IF(D42="Pin cembro",0.39,IF(D42="Pin à crochets",0.44,IF(D42="Pin laricio",0.46,IF(D42="Pin maritime",0.46,IF(D42="Pin mugho",0.44,IF(D42="Pin noir d'Autriche",0.46,IF(D42="Pin pignon",0.48,IF(D42="Pin sylvestre",0.44,IF(D42="Pin Weymouth",0.34,IF(D42="Platanes",0.5,IF(D42="Robinier faux acacia",0.58,IF(D42="Sapin méditerranéen",0.37,IF(D42="Sapin de Nordmann",0.37,IF(D42="Sapin pectiné",0.38,IF(D42="Sapin de Vancouver",0.36,IF(D42="Saules",0.37,IF(D42="Tamaris",0.53,IF(D42="Tilleuls",0.43,IF(D42="Tremble",0.38,IF(D42="Conifères (moyenne)",0.42,IF(D42="Feuillus (moyenne)",0.57,0)))))))))))))))))))))))))))))))))))))))))))))))))))))))))))))))))</f>
        <v>0.46</v>
      </c>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ht="14.5" customHeight="1" x14ac:dyDescent="0.35">
      <c r="A43" s="161" t="s">
        <v>91</v>
      </c>
      <c r="B43" s="12" t="s">
        <v>94</v>
      </c>
      <c r="C43" s="27">
        <v>35</v>
      </c>
      <c r="D43" s="15"/>
      <c r="E43" s="15"/>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x14ac:dyDescent="0.35">
      <c r="A44" s="162"/>
      <c r="B44" s="12" t="s">
        <v>95</v>
      </c>
      <c r="C44" s="27">
        <v>25</v>
      </c>
      <c r="D44" s="15"/>
      <c r="E44" s="15"/>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x14ac:dyDescent="0.35">
      <c r="A45" s="162"/>
      <c r="B45" s="12" t="s">
        <v>96</v>
      </c>
      <c r="C45" s="27">
        <v>2</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x14ac:dyDescent="0.35">
      <c r="A46" s="164"/>
      <c r="B46" s="28" t="s">
        <v>151</v>
      </c>
      <c r="C46" s="61">
        <v>5</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ht="29" customHeight="1" x14ac:dyDescent="0.35">
      <c r="A47" s="161" t="s">
        <v>97</v>
      </c>
      <c r="B47" s="28" t="s">
        <v>94</v>
      </c>
      <c r="C47" s="29">
        <f>LN(2)/C43</f>
        <v>1.980420515885558E-2</v>
      </c>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row>
    <row r="48" spans="1:32" x14ac:dyDescent="0.35">
      <c r="A48" s="162"/>
      <c r="B48" s="12" t="s">
        <v>95</v>
      </c>
      <c r="C48" s="29">
        <f>LN(2)/C44</f>
        <v>2.7725887222397813E-2</v>
      </c>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row>
    <row r="49" spans="1:32" x14ac:dyDescent="0.35">
      <c r="A49" s="162"/>
      <c r="B49" s="62" t="s">
        <v>96</v>
      </c>
      <c r="C49" s="63">
        <f>LN(2)/C45</f>
        <v>0.34657359027997264</v>
      </c>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row>
    <row r="50" spans="1:32" ht="15" thickBot="1" x14ac:dyDescent="0.4">
      <c r="A50" s="163"/>
      <c r="B50" s="23" t="s">
        <v>151</v>
      </c>
      <c r="C50" s="30">
        <f>LN(2)/C46</f>
        <v>0.13862943611198905</v>
      </c>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row>
    <row r="51" spans="1:32" x14ac:dyDescent="0.35">
      <c r="A51" s="8"/>
      <c r="B51" s="11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2" x14ac:dyDescent="0.35">
      <c r="A52" s="8"/>
      <c r="B52" s="114"/>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row>
  </sheetData>
  <sheetProtection algorithmName="SHA-512" hashValue="SRIq5LDpXaNo6dHTN3nzSVdfFpRkyoTGGglIBTHoR6PUyQM5HgutO1Sc+yEAA5y/BBskaJIB6Fpezef52ashqw==" saltValue="68rjGUx5xOSk1aPVS0p8xQ==" spinCount="100000" sheet="1" objects="1" scenarios="1"/>
  <mergeCells count="7">
    <mergeCell ref="A47:A50"/>
    <mergeCell ref="A43:A46"/>
    <mergeCell ref="A9:B9"/>
    <mergeCell ref="A13:AF13"/>
    <mergeCell ref="A15:AF15"/>
    <mergeCell ref="A29:AF29"/>
    <mergeCell ref="A40:B40"/>
  </mergeCells>
  <conditionalFormatting sqref="B16:AF28 B30:AF38">
    <cfRule type="cellIs" dxfId="0" priority="2"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D42:D44</xm:sqref>
        </x14:dataValidation>
        <x14:dataValidation type="list" showInputMessage="1" showErrorMessage="1" prompt="Choisir l'essence pour avoir la di pour le scénario de projet">
          <x14:formula1>
            <xm:f>'Listes choix'!$C$2:$C$66</xm:f>
          </x14:formula1>
          <xm:sqref>B42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34"/>
  <sheetViews>
    <sheetView topLeftCell="A25" zoomScale="85" workbookViewId="0">
      <selection activeCell="L21" sqref="L21"/>
    </sheetView>
  </sheetViews>
  <sheetFormatPr baseColWidth="10" defaultRowHeight="14.5" x14ac:dyDescent="0.35"/>
  <cols>
    <col min="1" max="1" width="38.08984375" style="1" customWidth="1"/>
    <col min="2" max="2" width="27.08984375" customWidth="1"/>
    <col min="4" max="4" width="13.1796875" customWidth="1"/>
  </cols>
  <sheetData>
    <row r="4" spans="1:32" ht="16" thickBot="1" x14ac:dyDescent="0.4">
      <c r="A4" s="19"/>
      <c r="B4" s="7"/>
    </row>
    <row r="5" spans="1:32" ht="16" thickBot="1" x14ac:dyDescent="0.4">
      <c r="A5" s="20" t="s">
        <v>182</v>
      </c>
      <c r="B5" s="109">
        <f>SUM(B25:AE25)</f>
        <v>66.92</v>
      </c>
    </row>
    <row r="6" spans="1:32" ht="16" thickBot="1" x14ac:dyDescent="0.4">
      <c r="A6" s="20" t="s">
        <v>98</v>
      </c>
      <c r="B6" s="109">
        <f>B5*B10</f>
        <v>230.87400000000002</v>
      </c>
    </row>
    <row r="8" spans="1:32" ht="15" thickBot="1" x14ac:dyDescent="0.4"/>
    <row r="9" spans="1:32" ht="15" thickBot="1" x14ac:dyDescent="0.4">
      <c r="A9" s="157" t="s">
        <v>14</v>
      </c>
      <c r="B9" s="158"/>
    </row>
    <row r="10" spans="1:32" x14ac:dyDescent="0.35">
      <c r="A10" s="2" t="s">
        <v>7</v>
      </c>
      <c r="B10" s="97">
        <v>3.45</v>
      </c>
    </row>
    <row r="11" spans="1:32" x14ac:dyDescent="0.35">
      <c r="A11" s="101" t="s">
        <v>17</v>
      </c>
      <c r="B11" s="106">
        <v>30</v>
      </c>
    </row>
    <row r="12" spans="1:32" ht="43.5" x14ac:dyDescent="0.35">
      <c r="A12" s="3" t="s">
        <v>111</v>
      </c>
      <c r="B12" s="39" t="s">
        <v>113</v>
      </c>
    </row>
    <row r="13" spans="1:32" ht="29" x14ac:dyDescent="0.35">
      <c r="A13" s="3" t="s">
        <v>222</v>
      </c>
      <c r="B13" s="39" t="s">
        <v>116</v>
      </c>
    </row>
    <row r="14" spans="1:32" ht="36" customHeight="1" x14ac:dyDescent="0.35">
      <c r="A14" s="3" t="s">
        <v>163</v>
      </c>
      <c r="B14" s="27">
        <f>IF(B12="Feuillus",C31,IF(B12="Peuplier",C32,IF(B12="Résineux",C34,IF(B12="Pin maritime en gestion dynamique (3 éclaircies durant les 30 1ères années)",C33,0))))</f>
        <v>0.59</v>
      </c>
    </row>
    <row r="15" spans="1:32" ht="29.5" thickBot="1" x14ac:dyDescent="0.4">
      <c r="A15" s="4" t="s">
        <v>114</v>
      </c>
      <c r="B15" s="43">
        <f>IF(B13="Feuillus",0,IF(B13="Résineux pionniers (PM, PA, PS…)",0.43,0))</f>
        <v>0.43</v>
      </c>
    </row>
    <row r="16" spans="1:32" ht="15" thickBot="1" x14ac:dyDescent="0.4">
      <c r="AF16" s="7"/>
    </row>
    <row r="17" spans="1:177" s="5" customFormat="1" ht="15.5" x14ac:dyDescent="0.35">
      <c r="A17" s="165" t="s">
        <v>99</v>
      </c>
      <c r="B17" s="16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7"/>
      <c r="AF17" s="19"/>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x14ac:dyDescent="0.35">
      <c r="A18" s="3" t="s">
        <v>18</v>
      </c>
      <c r="B18" s="12">
        <v>1</v>
      </c>
      <c r="C18" s="12">
        <v>2</v>
      </c>
      <c r="D18" s="12">
        <v>3</v>
      </c>
      <c r="E18" s="12">
        <v>4</v>
      </c>
      <c r="F18" s="12">
        <v>5</v>
      </c>
      <c r="G18" s="12">
        <v>6</v>
      </c>
      <c r="H18" s="12">
        <v>7</v>
      </c>
      <c r="I18" s="12">
        <v>8</v>
      </c>
      <c r="J18" s="12">
        <v>9</v>
      </c>
      <c r="K18" s="12">
        <v>10</v>
      </c>
      <c r="L18" s="138">
        <v>11</v>
      </c>
      <c r="M18" s="12">
        <v>12</v>
      </c>
      <c r="N18" s="12">
        <v>13</v>
      </c>
      <c r="O18" s="12">
        <v>14</v>
      </c>
      <c r="P18" s="12">
        <v>15</v>
      </c>
      <c r="Q18" s="12">
        <v>16</v>
      </c>
      <c r="R18" s="138">
        <v>17</v>
      </c>
      <c r="S18" s="12">
        <v>18</v>
      </c>
      <c r="T18" s="12">
        <v>19</v>
      </c>
      <c r="U18" s="12">
        <v>20</v>
      </c>
      <c r="V18" s="12">
        <v>21</v>
      </c>
      <c r="W18" s="138">
        <v>22</v>
      </c>
      <c r="X18" s="12">
        <v>23</v>
      </c>
      <c r="Y18" s="12">
        <v>24</v>
      </c>
      <c r="Z18" s="12">
        <v>25</v>
      </c>
      <c r="AA18" s="12">
        <v>26</v>
      </c>
      <c r="AB18" s="12">
        <v>27</v>
      </c>
      <c r="AC18" s="12">
        <v>28</v>
      </c>
      <c r="AD18" s="12">
        <v>29</v>
      </c>
      <c r="AE18" s="27">
        <v>30</v>
      </c>
      <c r="AF18" s="15"/>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35">
      <c r="A19" s="171" t="s">
        <v>3</v>
      </c>
      <c r="B19" s="172"/>
      <c r="C19" s="172"/>
      <c r="D19" s="172"/>
      <c r="E19" s="172"/>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2"/>
      <c r="AE19" s="173"/>
      <c r="AF19" s="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70" t="s">
        <v>201</v>
      </c>
      <c r="B20" s="69">
        <f>$B$14*B21</f>
        <v>0</v>
      </c>
      <c r="C20" s="69">
        <f>$B$14*C21</f>
        <v>0</v>
      </c>
      <c r="D20" s="69">
        <f>$B$14*D21</f>
        <v>0</v>
      </c>
      <c r="E20" s="69">
        <f>$B$14*E21</f>
        <v>0</v>
      </c>
      <c r="F20" s="69">
        <f t="shared" ref="F20:AD20" si="0">$B$14*F21</f>
        <v>0</v>
      </c>
      <c r="G20" s="69">
        <f t="shared" si="0"/>
        <v>0</v>
      </c>
      <c r="H20" s="69">
        <f t="shared" si="0"/>
        <v>0</v>
      </c>
      <c r="I20" s="69">
        <f t="shared" si="0"/>
        <v>0</v>
      </c>
      <c r="J20" s="69">
        <f t="shared" si="0"/>
        <v>0</v>
      </c>
      <c r="K20" s="69">
        <f t="shared" si="0"/>
        <v>0</v>
      </c>
      <c r="L20" s="69">
        <f>$B$14*L21</f>
        <v>10.029999999999999</v>
      </c>
      <c r="M20" s="69">
        <f t="shared" si="0"/>
        <v>0</v>
      </c>
      <c r="N20" s="69">
        <f t="shared" si="0"/>
        <v>0</v>
      </c>
      <c r="O20" s="69">
        <f t="shared" si="0"/>
        <v>0</v>
      </c>
      <c r="P20" s="69">
        <f t="shared" si="0"/>
        <v>0</v>
      </c>
      <c r="Q20" s="69">
        <f t="shared" si="0"/>
        <v>0</v>
      </c>
      <c r="R20" s="69">
        <f t="shared" si="0"/>
        <v>28.91</v>
      </c>
      <c r="S20" s="69">
        <f t="shared" si="0"/>
        <v>0</v>
      </c>
      <c r="T20" s="69">
        <f t="shared" si="0"/>
        <v>0</v>
      </c>
      <c r="U20" s="69">
        <f t="shared" si="0"/>
        <v>0</v>
      </c>
      <c r="V20" s="69">
        <f t="shared" si="0"/>
        <v>0</v>
      </c>
      <c r="W20" s="69">
        <f t="shared" si="0"/>
        <v>36.58</v>
      </c>
      <c r="X20" s="69">
        <f t="shared" si="0"/>
        <v>0</v>
      </c>
      <c r="Y20" s="69">
        <f t="shared" si="0"/>
        <v>0</v>
      </c>
      <c r="Z20" s="69">
        <f t="shared" si="0"/>
        <v>0</v>
      </c>
      <c r="AA20" s="69">
        <f t="shared" si="0"/>
        <v>0</v>
      </c>
      <c r="AB20" s="69">
        <f t="shared" si="0"/>
        <v>0</v>
      </c>
      <c r="AC20" s="69">
        <f t="shared" si="0"/>
        <v>0</v>
      </c>
      <c r="AD20" s="69">
        <f t="shared" si="0"/>
        <v>0</v>
      </c>
      <c r="AE20" s="71">
        <f>$B$14*AE21</f>
        <v>0</v>
      </c>
      <c r="AF20" s="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202</v>
      </c>
      <c r="B21" s="17"/>
      <c r="C21" s="17"/>
      <c r="D21" s="38"/>
      <c r="E21" s="38"/>
      <c r="F21" s="38"/>
      <c r="G21" s="38"/>
      <c r="H21" s="38"/>
      <c r="I21" s="38"/>
      <c r="J21" s="38"/>
      <c r="K21" s="38"/>
      <c r="L21" s="38">
        <v>17</v>
      </c>
      <c r="M21" s="38"/>
      <c r="N21" s="38"/>
      <c r="O21" s="38"/>
      <c r="P21" s="38"/>
      <c r="Q21" s="141"/>
      <c r="R21" s="38">
        <v>49</v>
      </c>
      <c r="S21" s="38"/>
      <c r="T21" s="38"/>
      <c r="U21" s="38"/>
      <c r="V21" s="38"/>
      <c r="W21" s="38">
        <v>62</v>
      </c>
      <c r="X21" s="38"/>
      <c r="Y21" s="141"/>
      <c r="Z21" s="38"/>
      <c r="AA21" s="38"/>
      <c r="AB21" s="38"/>
      <c r="AC21" s="38"/>
      <c r="AD21" s="38"/>
      <c r="AE21" s="60"/>
      <c r="AF21" s="42"/>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171" t="s">
        <v>2</v>
      </c>
      <c r="B22" s="172"/>
      <c r="C22" s="172"/>
      <c r="D22" s="172"/>
      <c r="E22" s="172"/>
      <c r="F22" s="172"/>
      <c r="G22" s="172"/>
      <c r="H22" s="172"/>
      <c r="I22" s="172"/>
      <c r="J22" s="172"/>
      <c r="K22" s="172"/>
      <c r="L22" s="172"/>
      <c r="M22" s="172"/>
      <c r="N22" s="172"/>
      <c r="O22" s="172"/>
      <c r="P22" s="172"/>
      <c r="Q22" s="172"/>
      <c r="R22" s="172"/>
      <c r="S22" s="172"/>
      <c r="T22" s="172"/>
      <c r="U22" s="172"/>
      <c r="V22" s="172"/>
      <c r="W22" s="172"/>
      <c r="X22" s="172"/>
      <c r="Y22" s="172"/>
      <c r="Z22" s="172"/>
      <c r="AA22" s="172"/>
      <c r="AB22" s="172"/>
      <c r="AC22" s="172"/>
      <c r="AD22" s="172"/>
      <c r="AE22" s="173"/>
      <c r="AF22" s="6"/>
    </row>
    <row r="23" spans="1:177" x14ac:dyDescent="0.35">
      <c r="A23" s="70" t="s">
        <v>204</v>
      </c>
      <c r="B23" s="69">
        <f>$B$15*B24</f>
        <v>0</v>
      </c>
      <c r="C23" s="69">
        <f>$B$15*C24</f>
        <v>0</v>
      </c>
      <c r="D23" s="69">
        <f t="shared" ref="D23:AC23" si="1">$B$15*D24</f>
        <v>0</v>
      </c>
      <c r="E23" s="69">
        <f t="shared" si="1"/>
        <v>0</v>
      </c>
      <c r="F23" s="69">
        <f t="shared" si="1"/>
        <v>0</v>
      </c>
      <c r="G23" s="69">
        <f t="shared" si="1"/>
        <v>0</v>
      </c>
      <c r="H23" s="69">
        <f t="shared" si="1"/>
        <v>0</v>
      </c>
      <c r="I23" s="69">
        <f t="shared" si="1"/>
        <v>0</v>
      </c>
      <c r="J23" s="69">
        <f t="shared" si="1"/>
        <v>0</v>
      </c>
      <c r="K23" s="69">
        <f t="shared" si="1"/>
        <v>0</v>
      </c>
      <c r="L23" s="69">
        <f t="shared" si="1"/>
        <v>0</v>
      </c>
      <c r="M23" s="69">
        <f t="shared" si="1"/>
        <v>0</v>
      </c>
      <c r="N23" s="69">
        <f t="shared" si="1"/>
        <v>0</v>
      </c>
      <c r="O23" s="69">
        <f t="shared" si="1"/>
        <v>0</v>
      </c>
      <c r="P23" s="69">
        <f t="shared" si="1"/>
        <v>0</v>
      </c>
      <c r="Q23" s="69">
        <f t="shared" si="1"/>
        <v>0</v>
      </c>
      <c r="R23" s="69">
        <f t="shared" si="1"/>
        <v>0</v>
      </c>
      <c r="S23" s="69">
        <f t="shared" si="1"/>
        <v>0</v>
      </c>
      <c r="T23" s="69">
        <f t="shared" si="1"/>
        <v>0</v>
      </c>
      <c r="U23" s="69">
        <f t="shared" si="1"/>
        <v>0</v>
      </c>
      <c r="V23" s="69">
        <f t="shared" si="1"/>
        <v>0</v>
      </c>
      <c r="W23" s="69">
        <f t="shared" si="1"/>
        <v>0</v>
      </c>
      <c r="X23" s="69">
        <f t="shared" si="1"/>
        <v>0</v>
      </c>
      <c r="Y23" s="69">
        <f t="shared" si="1"/>
        <v>0</v>
      </c>
      <c r="Z23" s="69">
        <f t="shared" si="1"/>
        <v>0</v>
      </c>
      <c r="AA23" s="69">
        <f t="shared" si="1"/>
        <v>0</v>
      </c>
      <c r="AB23" s="69">
        <f t="shared" si="1"/>
        <v>0</v>
      </c>
      <c r="AC23" s="69">
        <f t="shared" si="1"/>
        <v>0</v>
      </c>
      <c r="AD23" s="69">
        <f>$B$15*AD24</f>
        <v>8.6</v>
      </c>
      <c r="AE23" s="71">
        <f>$B$15*AE24</f>
        <v>0</v>
      </c>
      <c r="AF23" s="6"/>
    </row>
    <row r="24" spans="1:177" x14ac:dyDescent="0.35">
      <c r="A24" s="3" t="s">
        <v>203</v>
      </c>
      <c r="B24" s="17"/>
      <c r="C24" s="17"/>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141">
        <v>20</v>
      </c>
      <c r="AE24" s="60"/>
      <c r="AF24" s="42"/>
    </row>
    <row r="25" spans="1:177" ht="29.5" thickBot="1" x14ac:dyDescent="0.4">
      <c r="A25" s="44" t="s">
        <v>205</v>
      </c>
      <c r="B25" s="12">
        <f>B20-B23</f>
        <v>0</v>
      </c>
      <c r="C25" s="23">
        <f>C20-C23</f>
        <v>0</v>
      </c>
      <c r="D25" s="23">
        <f t="shared" ref="D25:AD25" si="2">D20-D23</f>
        <v>0</v>
      </c>
      <c r="E25" s="23">
        <f t="shared" si="2"/>
        <v>0</v>
      </c>
      <c r="F25" s="23">
        <f t="shared" si="2"/>
        <v>0</v>
      </c>
      <c r="G25" s="23">
        <f t="shared" si="2"/>
        <v>0</v>
      </c>
      <c r="H25" s="23">
        <f t="shared" si="2"/>
        <v>0</v>
      </c>
      <c r="I25" s="23">
        <f t="shared" si="2"/>
        <v>0</v>
      </c>
      <c r="J25" s="23">
        <f t="shared" si="2"/>
        <v>0</v>
      </c>
      <c r="K25" s="23">
        <f t="shared" si="2"/>
        <v>0</v>
      </c>
      <c r="L25" s="23">
        <f t="shared" si="2"/>
        <v>10.029999999999999</v>
      </c>
      <c r="M25" s="23">
        <f t="shared" si="2"/>
        <v>0</v>
      </c>
      <c r="N25" s="23">
        <f t="shared" si="2"/>
        <v>0</v>
      </c>
      <c r="O25" s="23">
        <f t="shared" si="2"/>
        <v>0</v>
      </c>
      <c r="P25" s="23">
        <f t="shared" si="2"/>
        <v>0</v>
      </c>
      <c r="Q25" s="23">
        <f t="shared" si="2"/>
        <v>0</v>
      </c>
      <c r="R25" s="23">
        <f t="shared" si="2"/>
        <v>28.91</v>
      </c>
      <c r="S25" s="23">
        <f t="shared" si="2"/>
        <v>0</v>
      </c>
      <c r="T25" s="23">
        <f t="shared" si="2"/>
        <v>0</v>
      </c>
      <c r="U25" s="23">
        <f t="shared" si="2"/>
        <v>0</v>
      </c>
      <c r="V25" s="23">
        <f t="shared" si="2"/>
        <v>0</v>
      </c>
      <c r="W25" s="23">
        <f t="shared" si="2"/>
        <v>36.58</v>
      </c>
      <c r="X25" s="23">
        <f t="shared" si="2"/>
        <v>0</v>
      </c>
      <c r="Y25" s="23">
        <f t="shared" si="2"/>
        <v>0</v>
      </c>
      <c r="Z25" s="23">
        <f t="shared" si="2"/>
        <v>0</v>
      </c>
      <c r="AA25" s="23">
        <f t="shared" si="2"/>
        <v>0</v>
      </c>
      <c r="AB25" s="23">
        <f t="shared" si="2"/>
        <v>0</v>
      </c>
      <c r="AC25" s="23">
        <f t="shared" si="2"/>
        <v>0</v>
      </c>
      <c r="AD25" s="23">
        <f t="shared" si="2"/>
        <v>-8.6</v>
      </c>
      <c r="AE25" s="43">
        <f>AE20-AE23</f>
        <v>0</v>
      </c>
      <c r="AF25" s="15"/>
    </row>
    <row r="26" spans="1:177" ht="15" thickBot="1" x14ac:dyDescent="0.4">
      <c r="A26" s="159" t="s">
        <v>11</v>
      </c>
      <c r="B26" s="174"/>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row>
    <row r="27" spans="1:177" x14ac:dyDescent="0.35">
      <c r="A27" s="161" t="s">
        <v>101</v>
      </c>
      <c r="B27" s="12" t="s">
        <v>102</v>
      </c>
      <c r="C27" s="36">
        <v>1.52</v>
      </c>
      <c r="D27" s="15"/>
      <c r="E27" s="15"/>
      <c r="F27" s="7"/>
      <c r="G27" s="7"/>
      <c r="H27" s="7"/>
      <c r="I27" s="7"/>
      <c r="J27" s="7"/>
      <c r="K27" s="7"/>
      <c r="L27" s="7"/>
      <c r="M27" s="7"/>
      <c r="N27" s="7"/>
      <c r="O27" s="7"/>
      <c r="P27" s="7"/>
      <c r="Q27" s="7"/>
      <c r="R27" s="7"/>
      <c r="S27" s="7"/>
      <c r="T27" s="7"/>
      <c r="U27" s="7"/>
      <c r="V27" s="7"/>
      <c r="W27" s="7"/>
      <c r="X27" s="7"/>
      <c r="Y27" s="7"/>
      <c r="Z27" s="7"/>
      <c r="AA27" s="7"/>
      <c r="AB27" s="7"/>
      <c r="AC27" s="7"/>
      <c r="AD27" s="7"/>
      <c r="AE27" s="7"/>
      <c r="AF27" s="7"/>
    </row>
    <row r="28" spans="1:177" x14ac:dyDescent="0.35">
      <c r="A28" s="162"/>
      <c r="B28" s="12" t="s">
        <v>104</v>
      </c>
      <c r="C28" s="27">
        <v>0</v>
      </c>
      <c r="D28" s="15"/>
      <c r="E28" s="15"/>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177" x14ac:dyDescent="0.35">
      <c r="A29" s="162"/>
      <c r="B29" s="12" t="s">
        <v>105</v>
      </c>
      <c r="C29" s="27">
        <v>0.77</v>
      </c>
      <c r="D29" s="15"/>
      <c r="E29" s="15"/>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1:177" x14ac:dyDescent="0.35">
      <c r="A30" s="162"/>
      <c r="B30" s="12" t="s">
        <v>103</v>
      </c>
      <c r="C30" s="27">
        <v>0.25</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177" x14ac:dyDescent="0.35">
      <c r="A31" s="175" t="s">
        <v>106</v>
      </c>
      <c r="B31" s="28" t="s">
        <v>107</v>
      </c>
      <c r="C31" s="40">
        <v>0.25</v>
      </c>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row>
    <row r="32" spans="1:177" x14ac:dyDescent="0.35">
      <c r="A32" s="175"/>
      <c r="B32" s="28" t="s">
        <v>108</v>
      </c>
      <c r="C32" s="40">
        <v>1.03</v>
      </c>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row>
    <row r="33" spans="1:31" ht="29" x14ac:dyDescent="0.35">
      <c r="A33" s="175"/>
      <c r="B33" s="37" t="s">
        <v>109</v>
      </c>
      <c r="C33" s="40">
        <v>0.59</v>
      </c>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row>
    <row r="34" spans="1:31" ht="15" thickBot="1" x14ac:dyDescent="0.4">
      <c r="A34" s="176"/>
      <c r="B34" s="23" t="s">
        <v>110</v>
      </c>
      <c r="C34" s="41">
        <v>0.43</v>
      </c>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row>
  </sheetData>
  <sheetProtection algorithmName="SHA-512" hashValue="T+hE6JW+7OHAEiQ44UcrJDXIGHA5qJjXYZld4emytxGwemvkuXpQ4GcV/x6sOlyZOCPwhQyqmIXdgRdwYdnlow==" saltValue="/ePmUYWKtc77Q+sdjKEb5w==" spinCount="100000" sheet="1" objects="1" scenarios="1"/>
  <mergeCells count="7">
    <mergeCell ref="A31:A34"/>
    <mergeCell ref="A9:B9"/>
    <mergeCell ref="A26:B26"/>
    <mergeCell ref="A27:A30"/>
    <mergeCell ref="A17:AE17"/>
    <mergeCell ref="A19:AE19"/>
    <mergeCell ref="A22:AE22"/>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Choisir l'essence pour avoir la di pour le scénario de référence">
          <x14:formula1>
            <xm:f>'Listes choix'!$C$2:$C$66</xm:f>
          </x14:formula1>
          <xm:sqref>D27:D29</xm:sqref>
        </x14:dataValidation>
        <x14:dataValidation type="list" showInputMessage="1" showErrorMessage="1" prompt="Choisir un type de reboisement pour le calcul du CS projet">
          <x14:formula1>
            <xm:f>'Listes choix'!$G$2:$G$5</xm:f>
          </x14:formula1>
          <xm:sqref>B12</xm:sqref>
        </x14:dataValidation>
        <x14:dataValidation type="list" showInputMessage="1" showErrorMessage="1" prompt="Choisir un type de friche pour le calcul du CS référence">
          <x14:formula1>
            <xm:f>'Listes choix'!$H$2:$H$3</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zoomScale="120" workbookViewId="0">
      <selection activeCell="A23" sqref="A23"/>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row r="2" spans="1:4" ht="16" thickBot="1" x14ac:dyDescent="0.4">
      <c r="A2" s="45" t="s">
        <v>118</v>
      </c>
      <c r="B2" s="126" t="s">
        <v>117</v>
      </c>
      <c r="C2" s="128"/>
      <c r="D2" s="129"/>
    </row>
    <row r="3" spans="1:4" ht="15.5" x14ac:dyDescent="0.35">
      <c r="A3" s="34" t="s">
        <v>119</v>
      </c>
      <c r="B3" s="143">
        <f>SUM(B4,B6)</f>
        <v>738.42312126067679</v>
      </c>
      <c r="C3" s="128"/>
      <c r="D3" s="129"/>
    </row>
    <row r="4" spans="1:4" ht="15.5" x14ac:dyDescent="0.35">
      <c r="A4" s="46" t="s">
        <v>120</v>
      </c>
      <c r="B4" s="144">
        <f>REAforêtMReboisement!B6</f>
        <v>700.44104817273353</v>
      </c>
      <c r="C4" s="128"/>
      <c r="D4" s="129"/>
    </row>
    <row r="5" spans="1:4" ht="15.5" x14ac:dyDescent="0.35">
      <c r="A5" s="110" t="s">
        <v>124</v>
      </c>
      <c r="B5" s="144">
        <f>B4*(1-C15)*(1-C16)*(1-C17)*(1-C18)</f>
        <v>428.66992148171289</v>
      </c>
      <c r="C5" s="128"/>
      <c r="D5" s="129"/>
    </row>
    <row r="6" spans="1:4" ht="15.5" x14ac:dyDescent="0.35">
      <c r="A6" s="46" t="s">
        <v>121</v>
      </c>
      <c r="B6" s="144">
        <f>REAproduitsMReboisement!B6</f>
        <v>37.982073087943277</v>
      </c>
      <c r="C6" s="128"/>
      <c r="D6" s="129"/>
    </row>
    <row r="7" spans="1:4" ht="15.5" x14ac:dyDescent="0.35">
      <c r="A7" s="110" t="s">
        <v>125</v>
      </c>
      <c r="B7" s="144">
        <f>B6*(1-C15)*(1-C16)*(1-C17)*(1-C18)</f>
        <v>23.245028729821289</v>
      </c>
      <c r="C7" s="128"/>
      <c r="D7" s="129"/>
    </row>
    <row r="8" spans="1:4" ht="15.5" x14ac:dyDescent="0.35">
      <c r="A8" s="46" t="s">
        <v>122</v>
      </c>
      <c r="B8" s="144">
        <f>REEsubsMReboisement!B6</f>
        <v>230.87400000000002</v>
      </c>
      <c r="C8" s="128"/>
      <c r="D8" s="129"/>
    </row>
    <row r="9" spans="1:4" ht="16" thickBot="1" x14ac:dyDescent="0.4">
      <c r="A9" s="111" t="s">
        <v>126</v>
      </c>
      <c r="B9" s="145">
        <f>B8*(1-C15)*(1-C16)*(1-C17)*(1-C18)</f>
        <v>141.29488800000001</v>
      </c>
      <c r="C9" s="128"/>
      <c r="D9" s="129"/>
    </row>
    <row r="10" spans="1:4" ht="15.5" x14ac:dyDescent="0.35">
      <c r="A10" s="47" t="s">
        <v>123</v>
      </c>
      <c r="B10" s="146">
        <f>SUM(B3,B8)</f>
        <v>969.29712126067682</v>
      </c>
      <c r="C10" s="59"/>
      <c r="D10" s="15"/>
    </row>
    <row r="11" spans="1:4" ht="16" thickBot="1" x14ac:dyDescent="0.4">
      <c r="A11" s="48" t="s">
        <v>127</v>
      </c>
      <c r="B11" s="147">
        <f>SUM(B5,B7,B9)</f>
        <v>593.20983821153413</v>
      </c>
      <c r="C11" s="59"/>
      <c r="D11" s="15"/>
    </row>
    <row r="13" spans="1:4" ht="15" thickBot="1" x14ac:dyDescent="0.4"/>
    <row r="14" spans="1:4" ht="16" thickBot="1" x14ac:dyDescent="0.4">
      <c r="A14" s="50" t="s">
        <v>128</v>
      </c>
      <c r="B14" s="72" t="s">
        <v>129</v>
      </c>
      <c r="C14" s="96" t="s">
        <v>136</v>
      </c>
    </row>
    <row r="15" spans="1:4" x14ac:dyDescent="0.35">
      <c r="A15" s="125" t="s">
        <v>223</v>
      </c>
      <c r="B15" s="53" t="s">
        <v>179</v>
      </c>
      <c r="C15" s="55">
        <f>IF(B15="Réalisée",0,IF(B15="Pas réalisée",0.2,""))</f>
        <v>0.2</v>
      </c>
    </row>
    <row r="16" spans="1:4" x14ac:dyDescent="0.35">
      <c r="A16" s="123" t="s">
        <v>224</v>
      </c>
      <c r="B16" s="52" t="s">
        <v>133</v>
      </c>
      <c r="C16" s="56">
        <v>0.1</v>
      </c>
      <c r="D16" s="49"/>
    </row>
    <row r="17" spans="1:5" ht="29" x14ac:dyDescent="0.35">
      <c r="A17" s="122" t="s">
        <v>155</v>
      </c>
      <c r="B17" s="54" t="s">
        <v>140</v>
      </c>
      <c r="C17" s="56">
        <f>IF(B17="Départements sans risque ou risque négligeable",0,IF(B17="Départements avec risque très faible ou faible",0.05,IF(B17="Départements avec risque moyen",0.1,IF(B17="Départements avec risque fort ou très fort", 0.15,""))))</f>
        <v>0.15</v>
      </c>
      <c r="D17" s="49"/>
    </row>
    <row r="18" spans="1:5" ht="15" thickBot="1" x14ac:dyDescent="0.4">
      <c r="A18" s="124" t="s">
        <v>135</v>
      </c>
      <c r="B18" s="152" t="s">
        <v>142</v>
      </c>
      <c r="C18" s="153">
        <f>IF(B18="Démontrée",0,IF(B18="Non démontrée",0.1,""))</f>
        <v>0</v>
      </c>
    </row>
    <row r="19" spans="1:5" x14ac:dyDescent="0.35">
      <c r="A19" s="57"/>
      <c r="B19" s="15"/>
      <c r="C19" s="15"/>
      <c r="D19" s="57"/>
      <c r="E19" s="94"/>
    </row>
    <row r="20" spans="1:5" x14ac:dyDescent="0.35">
      <c r="A20" s="57"/>
      <c r="B20" s="15"/>
      <c r="C20" s="15"/>
      <c r="D20" s="57"/>
      <c r="E20" s="94"/>
    </row>
    <row r="21" spans="1:5" x14ac:dyDescent="0.35">
      <c r="A21" s="57"/>
      <c r="B21" s="15"/>
      <c r="C21" s="15"/>
      <c r="D21" s="57"/>
      <c r="E21" s="94"/>
    </row>
    <row r="22" spans="1:5" x14ac:dyDescent="0.35">
      <c r="A22" s="57"/>
      <c r="B22" s="15"/>
      <c r="C22" s="58"/>
      <c r="D22" s="57"/>
    </row>
    <row r="23" spans="1:5" x14ac:dyDescent="0.35">
      <c r="A23" s="57"/>
      <c r="B23" s="57"/>
      <c r="C23" s="57"/>
      <c r="D23" s="57"/>
    </row>
    <row r="24" spans="1:5" x14ac:dyDescent="0.35">
      <c r="A24" s="57"/>
      <c r="B24" s="57"/>
      <c r="C24" s="57"/>
      <c r="D24" s="57"/>
    </row>
    <row r="25" spans="1:5" x14ac:dyDescent="0.35">
      <c r="A25" s="57"/>
      <c r="B25" s="57"/>
      <c r="C25" s="57"/>
      <c r="D25" s="57"/>
    </row>
    <row r="26" spans="1:5" x14ac:dyDescent="0.35">
      <c r="A26" s="57"/>
      <c r="B26" s="57"/>
      <c r="C26" s="57"/>
      <c r="D26" s="57"/>
    </row>
  </sheetData>
  <sheetProtection algorithmName="SHA-512" hashValue="g5oaR562LNhEATNExmF5MwpATSB0OdwlbSu75r4FDkaGbcljQNqW2XoEPfhoqgvHybBE3eMdH146HkoaVlFdag==" saltValue="7BuARutnTMGV0GtTjc7FYg==" spinCount="100000" sheet="1" objects="1" scenarios="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49" customWidth="1"/>
    <col min="2" max="2" width="10.90625" style="49"/>
    <col min="3" max="3" width="22.08984375" style="49" customWidth="1"/>
    <col min="4" max="6" width="10.90625" style="49"/>
    <col min="7" max="7" width="14.90625" style="49" customWidth="1"/>
    <col min="8" max="8" width="16.7265625" style="49" customWidth="1"/>
    <col min="9" max="9" width="22.26953125" style="49" customWidth="1"/>
    <col min="10" max="10" width="25" style="49" customWidth="1"/>
    <col min="11" max="11" width="26.90625" style="49" customWidth="1"/>
    <col min="12" max="15" width="10.90625" style="49"/>
    <col min="16" max="16" width="13.6328125" style="49" customWidth="1"/>
    <col min="17" max="16384" width="10.90625" style="49"/>
  </cols>
  <sheetData>
    <row r="1" spans="1:20" ht="44" thickBot="1" x14ac:dyDescent="0.4">
      <c r="A1" s="76" t="s">
        <v>9</v>
      </c>
      <c r="B1" s="76" t="s">
        <v>19</v>
      </c>
      <c r="C1" s="80" t="s">
        <v>57</v>
      </c>
      <c r="D1" s="81" t="s">
        <v>22</v>
      </c>
      <c r="E1" s="80" t="s">
        <v>92</v>
      </c>
      <c r="F1" s="80" t="s">
        <v>93</v>
      </c>
      <c r="G1" s="80" t="s">
        <v>112</v>
      </c>
      <c r="H1" s="80" t="s">
        <v>115</v>
      </c>
      <c r="I1" s="89" t="s">
        <v>128</v>
      </c>
      <c r="J1" s="177" t="s">
        <v>129</v>
      </c>
      <c r="K1" s="178"/>
      <c r="L1" s="10"/>
      <c r="M1" s="10"/>
      <c r="N1" s="80" t="s">
        <v>57</v>
      </c>
      <c r="O1" s="80" t="s">
        <v>152</v>
      </c>
      <c r="P1" s="81" t="s">
        <v>155</v>
      </c>
      <c r="Q1" s="179" t="s">
        <v>165</v>
      </c>
      <c r="R1" s="180"/>
      <c r="S1" s="181"/>
      <c r="T1" s="80" t="s">
        <v>219</v>
      </c>
    </row>
    <row r="2" spans="1:20" ht="87.5" thickBot="1" x14ac:dyDescent="0.4">
      <c r="A2" s="73" t="s">
        <v>158</v>
      </c>
      <c r="B2" s="78" t="s">
        <v>21</v>
      </c>
      <c r="C2" s="82" t="s">
        <v>23</v>
      </c>
      <c r="D2" s="85">
        <v>0.62</v>
      </c>
      <c r="E2" s="82" t="s">
        <v>94</v>
      </c>
      <c r="F2" s="85">
        <v>35</v>
      </c>
      <c r="G2" s="78" t="s">
        <v>20</v>
      </c>
      <c r="H2" s="78" t="s">
        <v>20</v>
      </c>
      <c r="I2" s="82" t="s">
        <v>130</v>
      </c>
      <c r="J2" s="90" t="s">
        <v>137</v>
      </c>
      <c r="K2" s="90" t="s">
        <v>179</v>
      </c>
      <c r="L2" s="93" t="s">
        <v>137</v>
      </c>
      <c r="M2" s="92" t="s">
        <v>179</v>
      </c>
      <c r="N2" s="78" t="s">
        <v>23</v>
      </c>
      <c r="O2" s="78" t="s">
        <v>153</v>
      </c>
      <c r="P2" s="77" t="s">
        <v>156</v>
      </c>
      <c r="Q2" s="80" t="s">
        <v>164</v>
      </c>
      <c r="R2" s="80" t="s">
        <v>166</v>
      </c>
      <c r="S2" s="119" t="s">
        <v>167</v>
      </c>
      <c r="T2" s="51" t="s">
        <v>220</v>
      </c>
    </row>
    <row r="3" spans="1:20" ht="102" thickBot="1" x14ac:dyDescent="0.4">
      <c r="A3" s="74" t="s">
        <v>159</v>
      </c>
      <c r="B3" s="79" t="s">
        <v>20</v>
      </c>
      <c r="C3" s="64" t="s">
        <v>79</v>
      </c>
      <c r="D3" s="86">
        <v>0.64</v>
      </c>
      <c r="E3" s="64" t="s">
        <v>95</v>
      </c>
      <c r="F3" s="86">
        <v>25</v>
      </c>
      <c r="G3" s="88" t="s">
        <v>108</v>
      </c>
      <c r="H3" s="79" t="s">
        <v>116</v>
      </c>
      <c r="I3" s="64" t="s">
        <v>131</v>
      </c>
      <c r="J3" s="51" t="s">
        <v>143</v>
      </c>
      <c r="K3" s="83" t="s">
        <v>145</v>
      </c>
      <c r="L3" s="10"/>
      <c r="M3" s="10"/>
      <c r="N3" s="88" t="s">
        <v>24</v>
      </c>
      <c r="O3" s="88" t="s">
        <v>28</v>
      </c>
      <c r="P3" s="79" t="s">
        <v>140</v>
      </c>
      <c r="Q3" s="78" t="s">
        <v>168</v>
      </c>
      <c r="R3" s="78" t="s">
        <v>177</v>
      </c>
      <c r="S3" s="78" t="s">
        <v>171</v>
      </c>
      <c r="T3" s="51" t="s">
        <v>221</v>
      </c>
    </row>
    <row r="4" spans="1:20" ht="87.5" thickBot="1" x14ac:dyDescent="0.4">
      <c r="A4" s="74" t="s">
        <v>160</v>
      </c>
      <c r="B4" s="10"/>
      <c r="C4" s="64" t="s">
        <v>24</v>
      </c>
      <c r="D4" s="86">
        <v>0.42</v>
      </c>
      <c r="E4" s="65" t="s">
        <v>96</v>
      </c>
      <c r="F4" s="87">
        <v>2</v>
      </c>
      <c r="G4" s="74" t="s">
        <v>110</v>
      </c>
      <c r="H4" s="10"/>
      <c r="I4" s="64" t="s">
        <v>132</v>
      </c>
      <c r="J4" s="51" t="s">
        <v>133</v>
      </c>
      <c r="K4" s="83" t="s">
        <v>133</v>
      </c>
      <c r="L4" s="10"/>
      <c r="M4" s="10"/>
      <c r="N4" s="88" t="s">
        <v>80</v>
      </c>
      <c r="O4" s="75" t="s">
        <v>154</v>
      </c>
      <c r="P4" s="10"/>
      <c r="Q4" s="88" t="s">
        <v>169</v>
      </c>
      <c r="R4" s="79" t="s">
        <v>170</v>
      </c>
      <c r="S4" s="74" t="s">
        <v>172</v>
      </c>
    </row>
    <row r="5" spans="1:20" ht="87.5" thickBot="1" x14ac:dyDescent="0.4">
      <c r="A5" s="75" t="s">
        <v>161</v>
      </c>
      <c r="B5" s="10"/>
      <c r="C5" s="64" t="s">
        <v>80</v>
      </c>
      <c r="D5" s="83">
        <v>0.42</v>
      </c>
      <c r="E5" s="10"/>
      <c r="F5" s="10"/>
      <c r="G5" s="75" t="s">
        <v>113</v>
      </c>
      <c r="H5" s="10"/>
      <c r="I5" s="161" t="s">
        <v>134</v>
      </c>
      <c r="J5" s="51"/>
      <c r="K5" s="83" t="s">
        <v>144</v>
      </c>
      <c r="L5" s="10"/>
      <c r="M5" s="10"/>
      <c r="N5" s="74" t="s">
        <v>26</v>
      </c>
      <c r="O5" s="10"/>
      <c r="P5" s="10"/>
      <c r="Q5" s="75" t="s">
        <v>176</v>
      </c>
      <c r="S5" s="74" t="s">
        <v>173</v>
      </c>
    </row>
    <row r="6" spans="1:20" ht="72.5" x14ac:dyDescent="0.35">
      <c r="A6" s="10"/>
      <c r="B6" s="10"/>
      <c r="C6" s="64" t="s">
        <v>81</v>
      </c>
      <c r="D6" s="83">
        <v>0.52</v>
      </c>
      <c r="E6" s="10"/>
      <c r="F6" s="10"/>
      <c r="G6" s="10"/>
      <c r="H6" s="10"/>
      <c r="I6" s="162"/>
      <c r="J6" s="51"/>
      <c r="K6" s="83" t="s">
        <v>138</v>
      </c>
      <c r="L6" s="10"/>
      <c r="M6" s="10"/>
      <c r="N6" s="74" t="s">
        <v>27</v>
      </c>
      <c r="O6" s="10"/>
      <c r="P6" s="10"/>
      <c r="S6" s="74" t="s">
        <v>174</v>
      </c>
    </row>
    <row r="7" spans="1:20" ht="101.5" x14ac:dyDescent="0.35">
      <c r="A7" s="10"/>
      <c r="B7" s="10"/>
      <c r="C7" s="64" t="s">
        <v>25</v>
      </c>
      <c r="D7" s="83">
        <v>0.36</v>
      </c>
      <c r="E7" s="10"/>
      <c r="F7" s="10"/>
      <c r="G7" s="10"/>
      <c r="H7" s="10"/>
      <c r="I7" s="162"/>
      <c r="J7" s="51"/>
      <c r="K7" s="83" t="s">
        <v>139</v>
      </c>
      <c r="L7" s="10"/>
      <c r="M7" s="10"/>
      <c r="N7" s="74" t="s">
        <v>28</v>
      </c>
      <c r="O7" s="10"/>
      <c r="P7" s="10"/>
      <c r="S7" s="95" t="s">
        <v>175</v>
      </c>
    </row>
    <row r="8" spans="1:20" ht="29.5" thickBot="1" x14ac:dyDescent="0.4">
      <c r="A8" s="10"/>
      <c r="B8" s="10"/>
      <c r="C8" s="64" t="s">
        <v>26</v>
      </c>
      <c r="D8" s="83">
        <v>0.61</v>
      </c>
      <c r="E8" s="10"/>
      <c r="F8" s="10"/>
      <c r="G8" s="10"/>
      <c r="H8" s="10"/>
      <c r="I8" s="164"/>
      <c r="J8" s="51"/>
      <c r="K8" s="83" t="s">
        <v>140</v>
      </c>
      <c r="L8" s="10"/>
      <c r="M8" s="10"/>
      <c r="N8" s="74" t="s">
        <v>29</v>
      </c>
      <c r="O8" s="10"/>
      <c r="P8" s="10"/>
      <c r="S8" s="75" t="s">
        <v>178</v>
      </c>
    </row>
    <row r="9" spans="1:20" ht="29.5" thickBot="1" x14ac:dyDescent="0.4">
      <c r="A9" s="10"/>
      <c r="B9" s="10"/>
      <c r="C9" s="64" t="s">
        <v>27</v>
      </c>
      <c r="D9" s="83">
        <v>0.66</v>
      </c>
      <c r="E9" s="10"/>
      <c r="F9" s="10"/>
      <c r="G9" s="10"/>
      <c r="H9" s="10"/>
      <c r="I9" s="65" t="s">
        <v>135</v>
      </c>
      <c r="J9" s="91" t="s">
        <v>142</v>
      </c>
      <c r="K9" s="84" t="s">
        <v>141</v>
      </c>
      <c r="L9" s="10"/>
      <c r="M9" s="10"/>
      <c r="N9" s="74" t="s">
        <v>30</v>
      </c>
      <c r="O9" s="10"/>
      <c r="P9" s="10"/>
    </row>
    <row r="10" spans="1:20" ht="29" x14ac:dyDescent="0.35">
      <c r="A10" s="10"/>
      <c r="B10" s="10"/>
      <c r="C10" s="64" t="s">
        <v>28</v>
      </c>
      <c r="D10" s="83">
        <v>0.47</v>
      </c>
      <c r="E10" s="10"/>
      <c r="F10" s="10"/>
      <c r="G10" s="10"/>
      <c r="H10" s="10"/>
      <c r="I10" s="10"/>
      <c r="J10" s="10"/>
      <c r="K10" s="10"/>
      <c r="L10" s="10"/>
      <c r="M10" s="10"/>
      <c r="N10" s="74" t="s">
        <v>31</v>
      </c>
      <c r="O10" s="10"/>
      <c r="P10" s="10"/>
    </row>
    <row r="11" spans="1:20" ht="29" x14ac:dyDescent="0.35">
      <c r="A11" s="10"/>
      <c r="B11" s="10"/>
      <c r="C11" s="64" t="s">
        <v>29</v>
      </c>
      <c r="D11" s="83">
        <v>0.67</v>
      </c>
      <c r="E11" s="10"/>
      <c r="F11" s="10"/>
      <c r="G11" s="10"/>
      <c r="H11" s="10"/>
      <c r="I11" s="10"/>
      <c r="J11" s="10"/>
      <c r="K11" s="10"/>
      <c r="L11" s="10"/>
      <c r="M11" s="10"/>
      <c r="N11" s="74" t="s">
        <v>32</v>
      </c>
      <c r="O11" s="10"/>
      <c r="P11" s="10"/>
    </row>
    <row r="12" spans="1:20" ht="43.5" x14ac:dyDescent="0.35">
      <c r="A12" s="10"/>
      <c r="B12" s="10"/>
      <c r="C12" s="64" t="s">
        <v>30</v>
      </c>
      <c r="D12" s="83">
        <v>0.7</v>
      </c>
      <c r="E12" s="10"/>
      <c r="F12" s="10"/>
      <c r="G12" s="10"/>
      <c r="H12" s="10"/>
      <c r="I12" s="10"/>
      <c r="J12" s="10"/>
      <c r="K12" s="10"/>
      <c r="L12" s="10"/>
      <c r="M12" s="10"/>
      <c r="N12" s="74" t="s">
        <v>33</v>
      </c>
      <c r="O12" s="10"/>
      <c r="P12" s="10"/>
    </row>
    <row r="13" spans="1:20" ht="29" x14ac:dyDescent="0.35">
      <c r="A13" s="10"/>
      <c r="B13" s="10"/>
      <c r="C13" s="64" t="s">
        <v>31</v>
      </c>
      <c r="D13" s="83">
        <v>0.54</v>
      </c>
      <c r="E13" s="10"/>
      <c r="F13" s="10"/>
      <c r="G13" s="10"/>
      <c r="H13" s="10"/>
      <c r="I13" s="10"/>
      <c r="J13" s="10"/>
      <c r="K13" s="10"/>
      <c r="L13" s="10"/>
      <c r="M13" s="10"/>
      <c r="N13" s="74" t="s">
        <v>34</v>
      </c>
      <c r="O13" s="10"/>
      <c r="P13" s="10"/>
    </row>
    <row r="14" spans="1:20" x14ac:dyDescent="0.35">
      <c r="A14" s="10"/>
      <c r="B14" s="10"/>
      <c r="C14" s="64" t="s">
        <v>32</v>
      </c>
      <c r="D14" s="83">
        <v>0.65</v>
      </c>
      <c r="E14" s="10"/>
      <c r="F14" s="10"/>
      <c r="G14" s="10"/>
      <c r="H14" s="10"/>
      <c r="I14" s="10"/>
      <c r="J14" s="10"/>
      <c r="K14" s="10"/>
      <c r="L14" s="10"/>
      <c r="M14" s="10"/>
      <c r="N14" s="74" t="s">
        <v>35</v>
      </c>
      <c r="O14" s="10"/>
      <c r="P14" s="10"/>
    </row>
    <row r="15" spans="1:20" ht="43.5" x14ac:dyDescent="0.35">
      <c r="A15" s="10"/>
      <c r="B15" s="10"/>
      <c r="C15" s="64" t="s">
        <v>82</v>
      </c>
      <c r="D15" s="83">
        <v>0.56000000000000005</v>
      </c>
      <c r="E15" s="10"/>
      <c r="F15" s="10"/>
      <c r="G15" s="10"/>
      <c r="H15" s="10"/>
      <c r="I15" s="10"/>
      <c r="J15" s="10"/>
      <c r="K15" s="10"/>
      <c r="L15" s="10"/>
      <c r="M15" s="10"/>
      <c r="N15" s="74" t="s">
        <v>36</v>
      </c>
      <c r="O15" s="10"/>
      <c r="P15" s="10"/>
    </row>
    <row r="16" spans="1:20" ht="29" x14ac:dyDescent="0.35">
      <c r="A16" s="10"/>
      <c r="B16" s="10"/>
      <c r="C16" s="64" t="s">
        <v>33</v>
      </c>
      <c r="D16" s="83">
        <v>0.57999999999999996</v>
      </c>
      <c r="E16" s="10"/>
      <c r="F16" s="10"/>
      <c r="G16" s="10"/>
      <c r="H16" s="10"/>
      <c r="I16" s="10"/>
      <c r="J16" s="10"/>
      <c r="K16" s="10"/>
      <c r="L16" s="10"/>
      <c r="M16" s="10"/>
      <c r="N16" s="74" t="s">
        <v>43</v>
      </c>
      <c r="O16" s="10"/>
      <c r="P16" s="10"/>
    </row>
    <row r="17" spans="1:16" ht="29" x14ac:dyDescent="0.35">
      <c r="A17" s="10"/>
      <c r="B17" s="10"/>
      <c r="C17" s="64" t="s">
        <v>34</v>
      </c>
      <c r="D17" s="83">
        <v>0.64</v>
      </c>
      <c r="E17" s="10"/>
      <c r="F17" s="10"/>
      <c r="G17" s="10"/>
      <c r="H17" s="10"/>
      <c r="I17" s="10"/>
      <c r="J17" s="10"/>
      <c r="K17" s="10"/>
      <c r="L17" s="10"/>
      <c r="M17" s="10"/>
      <c r="N17" s="74" t="s">
        <v>44</v>
      </c>
      <c r="O17" s="10"/>
      <c r="P17" s="10"/>
    </row>
    <row r="18" spans="1:16" x14ac:dyDescent="0.35">
      <c r="A18" s="10"/>
      <c r="B18" s="10"/>
      <c r="C18" s="64" t="s">
        <v>35</v>
      </c>
      <c r="D18" s="83">
        <v>0.73</v>
      </c>
      <c r="E18" s="10"/>
      <c r="F18" s="10"/>
      <c r="G18" s="10"/>
      <c r="H18" s="10"/>
      <c r="I18" s="10"/>
      <c r="J18" s="10"/>
      <c r="K18" s="10"/>
      <c r="L18" s="10"/>
      <c r="M18" s="10"/>
      <c r="N18" s="74" t="s">
        <v>46</v>
      </c>
      <c r="O18" s="10"/>
      <c r="P18" s="10"/>
    </row>
    <row r="19" spans="1:16" x14ac:dyDescent="0.35">
      <c r="A19" s="10"/>
      <c r="B19" s="10"/>
      <c r="C19" s="64" t="s">
        <v>36</v>
      </c>
      <c r="D19" s="83">
        <v>0.56000000000000005</v>
      </c>
      <c r="E19" s="10"/>
      <c r="F19" s="10"/>
      <c r="G19" s="10"/>
      <c r="H19" s="10"/>
      <c r="I19" s="10"/>
      <c r="J19" s="10"/>
      <c r="K19" s="10"/>
      <c r="L19" s="10"/>
      <c r="M19" s="10"/>
      <c r="N19" s="74" t="s">
        <v>84</v>
      </c>
      <c r="O19" s="10"/>
      <c r="P19" s="10"/>
    </row>
    <row r="20" spans="1:16" x14ac:dyDescent="0.35">
      <c r="A20" s="10"/>
      <c r="B20" s="10"/>
      <c r="C20" s="64" t="s">
        <v>37</v>
      </c>
      <c r="D20" s="83">
        <v>0.74</v>
      </c>
      <c r="E20" s="10"/>
      <c r="F20" s="10"/>
      <c r="G20" s="10"/>
      <c r="H20" s="10"/>
      <c r="I20" s="10"/>
      <c r="J20" s="10"/>
      <c r="K20" s="10"/>
      <c r="L20" s="10"/>
      <c r="M20" s="10"/>
      <c r="N20" s="74" t="s">
        <v>87</v>
      </c>
      <c r="O20" s="10"/>
      <c r="P20" s="10"/>
    </row>
    <row r="21" spans="1:16" x14ac:dyDescent="0.35">
      <c r="A21" s="10"/>
      <c r="B21" s="10"/>
      <c r="C21" s="64" t="s">
        <v>38</v>
      </c>
      <c r="D21" s="83">
        <v>0.4</v>
      </c>
      <c r="E21" s="10"/>
      <c r="F21" s="10"/>
      <c r="G21" s="10"/>
      <c r="H21" s="10"/>
      <c r="I21" s="10"/>
      <c r="J21" s="10"/>
      <c r="K21" s="10"/>
      <c r="L21" s="10"/>
      <c r="M21" s="10"/>
      <c r="N21" s="74" t="s">
        <v>54</v>
      </c>
      <c r="O21" s="10"/>
      <c r="P21" s="10"/>
    </row>
    <row r="22" spans="1:16" x14ac:dyDescent="0.35">
      <c r="A22" s="10"/>
      <c r="B22" s="10"/>
      <c r="C22" s="64" t="s">
        <v>39</v>
      </c>
      <c r="D22" s="83">
        <v>0.6</v>
      </c>
      <c r="E22" s="10"/>
      <c r="F22" s="10"/>
      <c r="G22" s="10"/>
      <c r="H22" s="10"/>
      <c r="I22" s="10"/>
      <c r="J22" s="10"/>
      <c r="K22" s="10"/>
      <c r="L22" s="10"/>
      <c r="M22" s="10"/>
      <c r="N22" s="74" t="s">
        <v>67</v>
      </c>
      <c r="O22" s="10"/>
      <c r="P22" s="10"/>
    </row>
    <row r="23" spans="1:16" ht="29" x14ac:dyDescent="0.35">
      <c r="A23" s="10"/>
      <c r="B23" s="10"/>
      <c r="C23" s="64" t="s">
        <v>40</v>
      </c>
      <c r="D23" s="83">
        <v>0.43</v>
      </c>
      <c r="E23" s="10"/>
      <c r="F23" s="10"/>
      <c r="G23" s="10"/>
      <c r="H23" s="10"/>
      <c r="I23" s="10"/>
      <c r="J23" s="10"/>
      <c r="K23" s="10"/>
      <c r="L23" s="10"/>
      <c r="M23" s="10"/>
      <c r="N23" s="74" t="s">
        <v>88</v>
      </c>
      <c r="O23" s="10"/>
      <c r="P23" s="10"/>
    </row>
    <row r="24" spans="1:16" x14ac:dyDescent="0.35">
      <c r="A24" s="10"/>
      <c r="B24" s="10"/>
      <c r="C24" s="64" t="s">
        <v>41</v>
      </c>
      <c r="D24" s="83">
        <v>0.37</v>
      </c>
      <c r="E24" s="10"/>
      <c r="F24" s="10"/>
      <c r="G24" s="10"/>
      <c r="H24" s="10"/>
      <c r="I24" s="10"/>
      <c r="J24" s="10"/>
      <c r="K24" s="10"/>
      <c r="L24" s="10"/>
      <c r="M24" s="10"/>
      <c r="N24" s="74" t="s">
        <v>74</v>
      </c>
      <c r="O24" s="10"/>
      <c r="P24" s="10"/>
    </row>
    <row r="25" spans="1:16" ht="29.5" thickBot="1" x14ac:dyDescent="0.4">
      <c r="A25" s="10"/>
      <c r="B25" s="10"/>
      <c r="C25" s="64" t="s">
        <v>42</v>
      </c>
      <c r="D25" s="83">
        <v>0.36</v>
      </c>
      <c r="E25" s="10"/>
      <c r="F25" s="10"/>
      <c r="G25" s="10"/>
      <c r="H25" s="10"/>
      <c r="I25" s="10"/>
      <c r="J25" s="10"/>
      <c r="K25" s="10"/>
      <c r="L25" s="10"/>
      <c r="M25" s="10"/>
      <c r="N25" s="75" t="s">
        <v>77</v>
      </c>
      <c r="O25" s="10"/>
      <c r="P25" s="10"/>
    </row>
    <row r="26" spans="1:16" x14ac:dyDescent="0.35">
      <c r="A26" s="10"/>
      <c r="B26" s="10"/>
      <c r="C26" s="64" t="s">
        <v>43</v>
      </c>
      <c r="D26" s="83">
        <v>0.51</v>
      </c>
      <c r="E26" s="10"/>
      <c r="F26" s="10"/>
      <c r="G26" s="10"/>
      <c r="H26" s="10"/>
      <c r="I26" s="10"/>
      <c r="J26" s="10"/>
      <c r="K26" s="10"/>
      <c r="L26" s="10"/>
      <c r="M26" s="10"/>
      <c r="N26" s="10"/>
      <c r="O26" s="10"/>
      <c r="P26" s="10"/>
    </row>
    <row r="27" spans="1:16" x14ac:dyDescent="0.35">
      <c r="A27" s="10"/>
      <c r="B27" s="10"/>
      <c r="C27" s="64" t="s">
        <v>44</v>
      </c>
      <c r="D27" s="83">
        <v>0.56000000000000005</v>
      </c>
      <c r="E27" s="10"/>
      <c r="F27" s="10"/>
      <c r="G27" s="10"/>
      <c r="H27" s="10"/>
      <c r="I27" s="10"/>
      <c r="J27" s="10"/>
      <c r="K27" s="10"/>
      <c r="L27" s="10"/>
      <c r="M27" s="10"/>
      <c r="N27" s="10"/>
      <c r="O27" s="10"/>
      <c r="P27" s="10"/>
    </row>
    <row r="28" spans="1:16" x14ac:dyDescent="0.35">
      <c r="A28" s="10"/>
      <c r="B28" s="10"/>
      <c r="C28" s="64" t="s">
        <v>45</v>
      </c>
      <c r="D28" s="83">
        <v>0.56000000000000005</v>
      </c>
      <c r="E28" s="10"/>
      <c r="F28" s="10"/>
      <c r="G28" s="10"/>
      <c r="H28" s="10"/>
      <c r="I28" s="10"/>
      <c r="J28" s="10"/>
      <c r="K28" s="10"/>
      <c r="L28" s="10"/>
      <c r="M28" s="10"/>
      <c r="N28" s="10"/>
      <c r="O28" s="10"/>
      <c r="P28" s="10"/>
    </row>
    <row r="29" spans="1:16" x14ac:dyDescent="0.35">
      <c r="A29" s="10"/>
      <c r="B29" s="10"/>
      <c r="C29" s="64" t="s">
        <v>83</v>
      </c>
      <c r="D29" s="83">
        <v>0.48</v>
      </c>
      <c r="E29" s="10"/>
      <c r="F29" s="10"/>
      <c r="G29" s="10"/>
      <c r="H29" s="10"/>
      <c r="I29" s="10"/>
      <c r="J29" s="10"/>
      <c r="K29" s="10"/>
      <c r="L29" s="10"/>
      <c r="M29" s="10"/>
      <c r="N29" s="10"/>
      <c r="O29" s="10"/>
      <c r="P29" s="10"/>
    </row>
    <row r="30" spans="1:16" x14ac:dyDescent="0.35">
      <c r="A30" s="10"/>
      <c r="B30" s="10"/>
      <c r="C30" s="64" t="s">
        <v>46</v>
      </c>
      <c r="D30" s="83">
        <v>0.55000000000000004</v>
      </c>
      <c r="E30" s="10"/>
      <c r="F30" s="10"/>
      <c r="G30" s="10"/>
      <c r="H30" s="10"/>
      <c r="I30" s="10"/>
      <c r="J30" s="10"/>
      <c r="K30" s="10"/>
      <c r="L30" s="10"/>
      <c r="M30" s="10"/>
      <c r="N30" s="10"/>
      <c r="O30" s="10"/>
      <c r="P30" s="10"/>
    </row>
    <row r="31" spans="1:16" x14ac:dyDescent="0.35">
      <c r="A31" s="10"/>
      <c r="B31" s="10"/>
      <c r="C31" s="64" t="s">
        <v>84</v>
      </c>
      <c r="D31" s="83">
        <v>0.56000000000000005</v>
      </c>
      <c r="E31" s="10"/>
      <c r="F31" s="10"/>
      <c r="G31" s="10"/>
      <c r="H31" s="10"/>
      <c r="I31" s="10"/>
      <c r="J31" s="10"/>
      <c r="K31" s="10"/>
      <c r="L31" s="10"/>
      <c r="M31" s="10"/>
      <c r="N31" s="10"/>
      <c r="O31" s="10"/>
      <c r="P31" s="10"/>
    </row>
    <row r="32" spans="1:16" x14ac:dyDescent="0.35">
      <c r="A32" s="10"/>
      <c r="B32" s="10"/>
      <c r="C32" s="64" t="s">
        <v>47</v>
      </c>
      <c r="D32" s="83">
        <v>0.57999999999999996</v>
      </c>
      <c r="E32" s="10"/>
      <c r="F32" s="10"/>
      <c r="G32" s="10"/>
      <c r="H32" s="10"/>
      <c r="I32" s="10"/>
      <c r="J32" s="10"/>
      <c r="K32" s="10"/>
      <c r="L32" s="10"/>
      <c r="M32" s="10"/>
      <c r="N32" s="10"/>
      <c r="O32" s="10"/>
      <c r="P32" s="10"/>
    </row>
    <row r="33" spans="1:16" x14ac:dyDescent="0.35">
      <c r="A33" s="10"/>
      <c r="B33" s="10"/>
      <c r="C33" s="64" t="s">
        <v>48</v>
      </c>
      <c r="D33" s="83">
        <v>0.57999999999999996</v>
      </c>
      <c r="E33" s="10"/>
      <c r="F33" s="10"/>
      <c r="G33" s="10"/>
      <c r="H33" s="10"/>
      <c r="I33" s="10"/>
      <c r="J33" s="10"/>
      <c r="K33" s="10"/>
      <c r="L33" s="10"/>
      <c r="M33" s="10"/>
      <c r="N33" s="10"/>
      <c r="O33" s="10"/>
      <c r="P33" s="10"/>
    </row>
    <row r="34" spans="1:16" x14ac:dyDescent="0.35">
      <c r="A34" s="10"/>
      <c r="B34" s="10"/>
      <c r="C34" s="64" t="s">
        <v>49</v>
      </c>
      <c r="D34" s="83">
        <v>0.48</v>
      </c>
      <c r="E34" s="10"/>
      <c r="F34" s="10"/>
      <c r="G34" s="10"/>
      <c r="H34" s="10"/>
      <c r="I34" s="10"/>
      <c r="J34" s="10"/>
      <c r="K34" s="10"/>
      <c r="L34" s="10"/>
      <c r="M34" s="10"/>
      <c r="N34" s="10"/>
      <c r="O34" s="10"/>
      <c r="P34" s="10"/>
    </row>
    <row r="35" spans="1:16" x14ac:dyDescent="0.35">
      <c r="A35" s="10"/>
      <c r="B35" s="10"/>
      <c r="C35" s="64" t="s">
        <v>50</v>
      </c>
      <c r="D35" s="83">
        <v>0.42</v>
      </c>
      <c r="E35" s="10"/>
      <c r="F35" s="10"/>
      <c r="G35" s="10"/>
      <c r="H35" s="10"/>
      <c r="I35" s="10"/>
      <c r="J35" s="10"/>
      <c r="K35" s="10"/>
      <c r="L35" s="10"/>
      <c r="M35" s="10"/>
      <c r="N35" s="10"/>
      <c r="O35" s="10"/>
      <c r="P35" s="10"/>
    </row>
    <row r="36" spans="1:16" x14ac:dyDescent="0.35">
      <c r="A36" s="10"/>
      <c r="B36" s="10"/>
      <c r="C36" s="64" t="s">
        <v>85</v>
      </c>
      <c r="D36" s="83">
        <v>0.5</v>
      </c>
      <c r="E36" s="10"/>
      <c r="F36" s="10"/>
      <c r="G36" s="10"/>
      <c r="H36" s="10"/>
      <c r="I36" s="10"/>
      <c r="J36" s="10"/>
      <c r="K36" s="10"/>
      <c r="L36" s="10"/>
      <c r="M36" s="10"/>
      <c r="N36" s="10"/>
      <c r="O36" s="10"/>
      <c r="P36" s="10"/>
    </row>
    <row r="37" spans="1:16" x14ac:dyDescent="0.35">
      <c r="A37" s="10"/>
      <c r="B37" s="10"/>
      <c r="C37" s="64" t="s">
        <v>51</v>
      </c>
      <c r="D37" s="83">
        <v>0.55000000000000004</v>
      </c>
      <c r="E37" s="10"/>
      <c r="F37" s="10"/>
      <c r="G37" s="10"/>
      <c r="H37" s="10"/>
      <c r="I37" s="10"/>
      <c r="J37" s="10"/>
      <c r="K37" s="10"/>
      <c r="L37" s="10"/>
      <c r="M37" s="10"/>
      <c r="N37" s="10"/>
      <c r="O37" s="10"/>
      <c r="P37" s="10"/>
    </row>
    <row r="38" spans="1:16" x14ac:dyDescent="0.35">
      <c r="A38" s="10"/>
      <c r="B38" s="10"/>
      <c r="C38" s="64" t="s">
        <v>86</v>
      </c>
      <c r="D38" s="83">
        <v>0.53</v>
      </c>
      <c r="E38" s="10"/>
      <c r="F38" s="10"/>
      <c r="G38" s="10"/>
      <c r="H38" s="10"/>
      <c r="I38" s="10"/>
      <c r="J38" s="10"/>
      <c r="K38" s="10"/>
      <c r="L38" s="10"/>
      <c r="M38" s="10"/>
      <c r="N38" s="10"/>
      <c r="O38" s="10"/>
      <c r="P38" s="10"/>
    </row>
    <row r="39" spans="1:16" x14ac:dyDescent="0.35">
      <c r="A39" s="10"/>
      <c r="B39" s="10"/>
      <c r="C39" s="64" t="s">
        <v>87</v>
      </c>
      <c r="D39" s="83">
        <v>0.52</v>
      </c>
      <c r="E39" s="10"/>
      <c r="F39" s="10"/>
      <c r="G39" s="10"/>
      <c r="H39" s="10"/>
      <c r="I39" s="10"/>
      <c r="J39" s="10"/>
      <c r="K39" s="10"/>
      <c r="L39" s="10"/>
      <c r="M39" s="10"/>
      <c r="N39" s="10"/>
      <c r="O39" s="10"/>
      <c r="P39" s="10"/>
    </row>
    <row r="40" spans="1:16" x14ac:dyDescent="0.35">
      <c r="A40" s="10"/>
      <c r="B40" s="10"/>
      <c r="C40" s="64" t="s">
        <v>52</v>
      </c>
      <c r="D40" s="83">
        <v>0.52</v>
      </c>
      <c r="E40" s="10"/>
      <c r="F40" s="10"/>
      <c r="G40" s="10"/>
      <c r="H40" s="10"/>
      <c r="I40" s="10"/>
      <c r="J40" s="10"/>
      <c r="K40" s="10"/>
      <c r="L40" s="10"/>
      <c r="M40" s="10"/>
      <c r="N40" s="10"/>
      <c r="O40" s="10"/>
      <c r="P40" s="10"/>
    </row>
    <row r="41" spans="1:16" x14ac:dyDescent="0.35">
      <c r="A41" s="10"/>
      <c r="B41" s="10"/>
      <c r="C41" s="64" t="s">
        <v>53</v>
      </c>
      <c r="D41" s="83">
        <v>0.75</v>
      </c>
      <c r="E41" s="10"/>
      <c r="F41" s="10"/>
      <c r="G41" s="10"/>
      <c r="H41" s="10"/>
      <c r="I41" s="10"/>
      <c r="J41" s="10"/>
      <c r="K41" s="10"/>
      <c r="L41" s="10"/>
      <c r="M41" s="10"/>
      <c r="N41" s="10"/>
      <c r="O41" s="10"/>
      <c r="P41" s="10"/>
    </row>
    <row r="42" spans="1:16" x14ac:dyDescent="0.35">
      <c r="A42" s="10"/>
      <c r="B42" s="10"/>
      <c r="C42" s="64" t="s">
        <v>54</v>
      </c>
      <c r="D42" s="83">
        <v>0.52</v>
      </c>
      <c r="E42" s="10"/>
      <c r="F42" s="10"/>
      <c r="G42" s="10"/>
      <c r="H42" s="10"/>
      <c r="I42" s="10"/>
      <c r="J42" s="10"/>
      <c r="K42" s="10"/>
      <c r="L42" s="10"/>
      <c r="M42" s="10"/>
      <c r="N42" s="10"/>
      <c r="O42" s="10"/>
      <c r="P42" s="10"/>
    </row>
    <row r="43" spans="1:16" x14ac:dyDescent="0.35">
      <c r="A43" s="10"/>
      <c r="B43" s="10"/>
      <c r="C43" s="64" t="s">
        <v>55</v>
      </c>
      <c r="D43" s="83">
        <v>0.35</v>
      </c>
      <c r="E43" s="10"/>
      <c r="F43" s="10"/>
      <c r="G43" s="10"/>
      <c r="H43" s="10"/>
      <c r="I43" s="10"/>
      <c r="J43" s="10"/>
      <c r="K43" s="10"/>
      <c r="L43" s="10"/>
      <c r="M43" s="10"/>
      <c r="N43" s="10"/>
      <c r="O43" s="10"/>
      <c r="P43" s="10"/>
    </row>
    <row r="44" spans="1:16" x14ac:dyDescent="0.35">
      <c r="A44" s="10"/>
      <c r="B44" s="10"/>
      <c r="C44" s="64" t="s">
        <v>56</v>
      </c>
      <c r="D44" s="83">
        <v>0.37</v>
      </c>
      <c r="E44" s="10"/>
      <c r="F44" s="10"/>
      <c r="G44" s="10"/>
      <c r="H44" s="10"/>
      <c r="I44" s="10"/>
      <c r="J44" s="10"/>
      <c r="K44" s="10"/>
      <c r="L44" s="10"/>
      <c r="M44" s="10"/>
      <c r="N44" s="10"/>
      <c r="O44" s="10"/>
      <c r="P44" s="10"/>
    </row>
    <row r="45" spans="1:16" x14ac:dyDescent="0.35">
      <c r="A45" s="10"/>
      <c r="B45" s="10"/>
      <c r="C45" s="64" t="s">
        <v>58</v>
      </c>
      <c r="D45" s="83">
        <v>0.45</v>
      </c>
      <c r="E45" s="10"/>
      <c r="F45" s="10"/>
      <c r="G45" s="10"/>
      <c r="H45" s="10"/>
      <c r="I45" s="10"/>
      <c r="J45" s="10"/>
      <c r="K45" s="10"/>
      <c r="L45" s="10"/>
      <c r="M45" s="10"/>
      <c r="N45" s="10"/>
      <c r="O45" s="10"/>
      <c r="P45" s="10"/>
    </row>
    <row r="46" spans="1:16" x14ac:dyDescent="0.35">
      <c r="A46" s="10"/>
      <c r="B46" s="10"/>
      <c r="C46" s="64" t="s">
        <v>59</v>
      </c>
      <c r="D46" s="83">
        <v>0.39</v>
      </c>
      <c r="E46" s="10"/>
      <c r="F46" s="10"/>
      <c r="G46" s="10"/>
      <c r="H46" s="10"/>
      <c r="I46" s="10"/>
      <c r="J46" s="10"/>
      <c r="K46" s="10"/>
      <c r="L46" s="10"/>
      <c r="M46" s="10"/>
      <c r="N46" s="10"/>
      <c r="O46" s="10"/>
      <c r="P46" s="10"/>
    </row>
    <row r="47" spans="1:16" x14ac:dyDescent="0.35">
      <c r="A47" s="10"/>
      <c r="B47" s="10"/>
      <c r="C47" s="64" t="s">
        <v>60</v>
      </c>
      <c r="D47" s="83">
        <v>0.44</v>
      </c>
      <c r="E47" s="10"/>
      <c r="F47" s="10"/>
      <c r="G47" s="10"/>
      <c r="H47" s="10"/>
      <c r="I47" s="10"/>
      <c r="J47" s="10"/>
      <c r="K47" s="10"/>
      <c r="L47" s="10"/>
      <c r="M47" s="10"/>
      <c r="N47" s="10"/>
      <c r="O47" s="10"/>
      <c r="P47" s="10"/>
    </row>
    <row r="48" spans="1:16" x14ac:dyDescent="0.35">
      <c r="A48" s="10"/>
      <c r="B48" s="10"/>
      <c r="C48" s="64" t="s">
        <v>61</v>
      </c>
      <c r="D48" s="83">
        <v>0.46</v>
      </c>
      <c r="E48" s="10"/>
      <c r="F48" s="10"/>
      <c r="G48" s="10"/>
      <c r="H48" s="10"/>
      <c r="I48" s="10"/>
      <c r="J48" s="10"/>
      <c r="K48" s="10"/>
      <c r="L48" s="10"/>
      <c r="M48" s="10"/>
      <c r="N48" s="10"/>
      <c r="O48" s="10"/>
      <c r="P48" s="10"/>
    </row>
    <row r="49" spans="1:16" x14ac:dyDescent="0.35">
      <c r="A49" s="10"/>
      <c r="B49" s="10"/>
      <c r="C49" s="64" t="s">
        <v>62</v>
      </c>
      <c r="D49" s="83">
        <v>0.46</v>
      </c>
      <c r="E49" s="10"/>
      <c r="F49" s="10"/>
      <c r="G49" s="10"/>
      <c r="H49" s="10"/>
      <c r="I49" s="10"/>
      <c r="J49" s="10"/>
      <c r="K49" s="10"/>
      <c r="L49" s="10"/>
      <c r="M49" s="10"/>
      <c r="N49" s="10"/>
      <c r="O49" s="10"/>
      <c r="P49" s="10"/>
    </row>
    <row r="50" spans="1:16" x14ac:dyDescent="0.35">
      <c r="A50" s="10"/>
      <c r="B50" s="10"/>
      <c r="C50" s="64" t="s">
        <v>63</v>
      </c>
      <c r="D50" s="83">
        <v>0.44</v>
      </c>
      <c r="E50" s="10"/>
      <c r="F50" s="10"/>
      <c r="G50" s="10"/>
      <c r="H50" s="10"/>
      <c r="I50" s="10"/>
      <c r="J50" s="10"/>
      <c r="K50" s="10"/>
      <c r="L50" s="10"/>
      <c r="M50" s="10"/>
      <c r="N50" s="10"/>
      <c r="O50" s="10"/>
      <c r="P50" s="10"/>
    </row>
    <row r="51" spans="1:16" x14ac:dyDescent="0.35">
      <c r="A51" s="10"/>
      <c r="B51" s="10"/>
      <c r="C51" s="64" t="s">
        <v>64</v>
      </c>
      <c r="D51" s="83">
        <v>0.46</v>
      </c>
      <c r="E51" s="10"/>
      <c r="F51" s="10"/>
      <c r="G51" s="10"/>
      <c r="H51" s="10"/>
      <c r="I51" s="10"/>
      <c r="J51" s="10"/>
      <c r="K51" s="10"/>
      <c r="L51" s="10"/>
      <c r="M51" s="10"/>
      <c r="N51" s="10"/>
      <c r="O51" s="10"/>
      <c r="P51" s="10"/>
    </row>
    <row r="52" spans="1:16" x14ac:dyDescent="0.35">
      <c r="A52" s="10"/>
      <c r="B52" s="10"/>
      <c r="C52" s="64" t="s">
        <v>78</v>
      </c>
      <c r="D52" s="83">
        <v>0.48</v>
      </c>
      <c r="E52" s="10"/>
      <c r="F52" s="10"/>
      <c r="G52" s="10"/>
      <c r="H52" s="10"/>
      <c r="I52" s="10"/>
      <c r="J52" s="10"/>
      <c r="K52" s="10"/>
      <c r="L52" s="10"/>
      <c r="M52" s="10"/>
      <c r="N52" s="10"/>
      <c r="O52" s="10"/>
      <c r="P52" s="10"/>
    </row>
    <row r="53" spans="1:16" x14ac:dyDescent="0.35">
      <c r="A53" s="10"/>
      <c r="B53" s="10"/>
      <c r="C53" s="64" t="s">
        <v>65</v>
      </c>
      <c r="D53" s="83">
        <v>0.44</v>
      </c>
      <c r="E53" s="10"/>
      <c r="F53" s="10"/>
      <c r="G53" s="10"/>
      <c r="H53" s="10"/>
      <c r="I53" s="10"/>
      <c r="J53" s="10"/>
      <c r="K53" s="10"/>
      <c r="L53" s="10"/>
      <c r="M53" s="10"/>
      <c r="N53" s="10"/>
      <c r="O53" s="10"/>
      <c r="P53" s="10"/>
    </row>
    <row r="54" spans="1:16" x14ac:dyDescent="0.35">
      <c r="A54" s="10"/>
      <c r="B54" s="10"/>
      <c r="C54" s="64" t="s">
        <v>66</v>
      </c>
      <c r="D54" s="83">
        <v>0.34</v>
      </c>
      <c r="E54" s="10"/>
      <c r="F54" s="10"/>
      <c r="G54" s="10"/>
      <c r="H54" s="10"/>
      <c r="I54" s="10"/>
      <c r="J54" s="10"/>
      <c r="K54" s="10"/>
      <c r="L54" s="10"/>
      <c r="M54" s="10"/>
      <c r="N54" s="10"/>
      <c r="O54" s="10"/>
      <c r="P54" s="10"/>
    </row>
    <row r="55" spans="1:16" x14ac:dyDescent="0.35">
      <c r="A55" s="10"/>
      <c r="B55" s="10"/>
      <c r="C55" s="64" t="s">
        <v>67</v>
      </c>
      <c r="D55" s="83">
        <v>0.5</v>
      </c>
      <c r="E55" s="10"/>
      <c r="F55" s="10"/>
      <c r="G55" s="10"/>
      <c r="H55" s="10"/>
      <c r="I55" s="10"/>
      <c r="J55" s="10"/>
      <c r="K55" s="10"/>
      <c r="L55" s="10"/>
      <c r="M55" s="10"/>
      <c r="N55" s="10"/>
      <c r="O55" s="10"/>
      <c r="P55" s="10"/>
    </row>
    <row r="56" spans="1:16" x14ac:dyDescent="0.35">
      <c r="A56" s="10"/>
      <c r="B56" s="10"/>
      <c r="C56" s="64" t="s">
        <v>88</v>
      </c>
      <c r="D56" s="83">
        <v>0.57999999999999996</v>
      </c>
      <c r="E56" s="10"/>
      <c r="F56" s="10"/>
      <c r="G56" s="10"/>
      <c r="H56" s="10"/>
      <c r="I56" s="10"/>
      <c r="J56" s="10"/>
      <c r="K56" s="10"/>
      <c r="L56" s="10"/>
      <c r="M56" s="10"/>
      <c r="N56" s="10"/>
      <c r="O56" s="10"/>
      <c r="P56" s="10"/>
    </row>
    <row r="57" spans="1:16" x14ac:dyDescent="0.35">
      <c r="A57" s="10"/>
      <c r="B57" s="10"/>
      <c r="C57" s="64" t="s">
        <v>68</v>
      </c>
      <c r="D57" s="83">
        <v>0.37</v>
      </c>
      <c r="E57" s="10"/>
      <c r="F57" s="10"/>
      <c r="G57" s="10"/>
      <c r="H57" s="10"/>
      <c r="I57" s="10"/>
      <c r="J57" s="10"/>
      <c r="K57" s="10"/>
      <c r="L57" s="10"/>
      <c r="M57" s="10"/>
      <c r="N57" s="10"/>
      <c r="O57" s="10"/>
      <c r="P57" s="10"/>
    </row>
    <row r="58" spans="1:16" x14ac:dyDescent="0.35">
      <c r="A58" s="10"/>
      <c r="B58" s="10"/>
      <c r="C58" s="64" t="s">
        <v>69</v>
      </c>
      <c r="D58" s="83">
        <v>0.37</v>
      </c>
      <c r="E58" s="10"/>
      <c r="F58" s="10"/>
      <c r="G58" s="10"/>
      <c r="H58" s="10"/>
      <c r="I58" s="10"/>
      <c r="J58" s="10"/>
      <c r="K58" s="10"/>
      <c r="L58" s="10"/>
      <c r="M58" s="10"/>
      <c r="N58" s="10"/>
      <c r="O58" s="10"/>
      <c r="P58" s="10"/>
    </row>
    <row r="59" spans="1:16" x14ac:dyDescent="0.35">
      <c r="A59" s="10"/>
      <c r="B59" s="10"/>
      <c r="C59" s="64" t="s">
        <v>70</v>
      </c>
      <c r="D59" s="83">
        <v>0.38</v>
      </c>
      <c r="E59" s="10"/>
      <c r="F59" s="10"/>
      <c r="G59" s="10"/>
      <c r="H59" s="10"/>
      <c r="I59" s="10"/>
      <c r="J59" s="10"/>
      <c r="K59" s="10"/>
      <c r="L59" s="10"/>
      <c r="M59" s="10"/>
      <c r="N59" s="10"/>
      <c r="O59" s="10"/>
      <c r="P59" s="10"/>
    </row>
    <row r="60" spans="1:16" x14ac:dyDescent="0.35">
      <c r="A60" s="10"/>
      <c r="B60" s="10"/>
      <c r="C60" s="64" t="s">
        <v>71</v>
      </c>
      <c r="D60" s="83">
        <v>0.36</v>
      </c>
      <c r="E60" s="10"/>
      <c r="F60" s="10"/>
      <c r="G60" s="10"/>
      <c r="H60" s="10"/>
      <c r="I60" s="10"/>
      <c r="J60" s="10"/>
      <c r="K60" s="10"/>
      <c r="L60" s="10"/>
      <c r="M60" s="10"/>
      <c r="N60" s="10"/>
      <c r="O60" s="10"/>
      <c r="P60" s="10"/>
    </row>
    <row r="61" spans="1:16" x14ac:dyDescent="0.35">
      <c r="A61" s="10"/>
      <c r="B61" s="10"/>
      <c r="C61" s="64" t="s">
        <v>72</v>
      </c>
      <c r="D61" s="83">
        <v>0.37</v>
      </c>
      <c r="E61" s="10"/>
      <c r="F61" s="10"/>
      <c r="G61" s="10"/>
      <c r="H61" s="10"/>
      <c r="I61" s="10"/>
      <c r="J61" s="10"/>
      <c r="K61" s="10"/>
      <c r="L61" s="10"/>
      <c r="M61" s="10"/>
      <c r="N61" s="10"/>
      <c r="O61" s="10"/>
      <c r="P61" s="10"/>
    </row>
    <row r="62" spans="1:16" x14ac:dyDescent="0.35">
      <c r="A62" s="10"/>
      <c r="B62" s="10"/>
      <c r="C62" s="64" t="s">
        <v>73</v>
      </c>
      <c r="D62" s="83">
        <v>0.53</v>
      </c>
      <c r="E62" s="10"/>
      <c r="F62" s="10"/>
      <c r="G62" s="10"/>
      <c r="H62" s="10"/>
      <c r="I62" s="10"/>
      <c r="J62" s="10"/>
      <c r="K62" s="10"/>
      <c r="L62" s="10"/>
      <c r="M62" s="10"/>
      <c r="N62" s="10"/>
      <c r="O62" s="10"/>
      <c r="P62" s="10"/>
    </row>
    <row r="63" spans="1:16" x14ac:dyDescent="0.35">
      <c r="A63" s="10"/>
      <c r="B63" s="10"/>
      <c r="C63" s="64" t="s">
        <v>74</v>
      </c>
      <c r="D63" s="83">
        <v>0.43</v>
      </c>
      <c r="E63" s="10"/>
      <c r="F63" s="10"/>
      <c r="G63" s="10"/>
      <c r="H63" s="10"/>
      <c r="I63" s="10"/>
      <c r="J63" s="10"/>
      <c r="K63" s="10"/>
      <c r="L63" s="10"/>
      <c r="M63" s="10"/>
      <c r="N63" s="10"/>
      <c r="O63" s="10"/>
      <c r="P63" s="10"/>
    </row>
    <row r="64" spans="1:16" x14ac:dyDescent="0.35">
      <c r="A64" s="10"/>
      <c r="B64" s="10"/>
      <c r="C64" s="64" t="s">
        <v>75</v>
      </c>
      <c r="D64" s="83">
        <v>0.38</v>
      </c>
      <c r="E64" s="10"/>
      <c r="F64" s="10"/>
      <c r="G64" s="10"/>
      <c r="H64" s="10"/>
      <c r="I64" s="10"/>
      <c r="J64" s="10"/>
      <c r="K64" s="10"/>
      <c r="L64" s="10"/>
      <c r="M64" s="10"/>
      <c r="N64" s="10"/>
      <c r="O64" s="10"/>
      <c r="P64" s="10"/>
    </row>
    <row r="65" spans="1:16" x14ac:dyDescent="0.35">
      <c r="A65" s="10"/>
      <c r="B65" s="10"/>
      <c r="C65" s="64" t="s">
        <v>76</v>
      </c>
      <c r="D65" s="83">
        <v>0.42</v>
      </c>
      <c r="E65" s="10"/>
      <c r="F65" s="10"/>
      <c r="G65" s="10"/>
      <c r="H65" s="10"/>
      <c r="I65" s="10"/>
      <c r="J65" s="10"/>
      <c r="K65" s="10"/>
      <c r="L65" s="10"/>
      <c r="M65" s="10"/>
      <c r="N65" s="10"/>
      <c r="O65" s="10"/>
      <c r="P65" s="10"/>
    </row>
    <row r="66" spans="1:16" ht="15" thickBot="1" x14ac:dyDescent="0.4">
      <c r="A66" s="10"/>
      <c r="B66" s="10"/>
      <c r="C66" s="65" t="s">
        <v>77</v>
      </c>
      <c r="D66" s="84">
        <v>0.56999999999999995</v>
      </c>
      <c r="E66" s="10"/>
      <c r="F66" s="10"/>
      <c r="G66" s="10"/>
      <c r="H66" s="10"/>
      <c r="I66" s="10"/>
      <c r="J66" s="10"/>
      <c r="K66" s="10"/>
      <c r="L66" s="10"/>
      <c r="M66" s="10"/>
      <c r="N66" s="10"/>
      <c r="O66" s="10"/>
      <c r="P66" s="10"/>
    </row>
    <row r="67" spans="1:16" ht="15" thickBot="1" x14ac:dyDescent="0.4">
      <c r="A67" s="10"/>
      <c r="B67" s="10"/>
      <c r="C67" s="116" t="s">
        <v>214</v>
      </c>
      <c r="D67" s="84">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80" t="s">
        <v>146</v>
      </c>
      <c r="B70" s="10"/>
      <c r="C70" s="10"/>
      <c r="D70" s="10"/>
      <c r="E70" s="10"/>
      <c r="F70" s="10"/>
      <c r="G70" s="10"/>
      <c r="H70" s="10"/>
      <c r="I70" s="10"/>
      <c r="J70" s="10"/>
      <c r="K70" s="10"/>
      <c r="L70" s="10"/>
      <c r="M70" s="10"/>
      <c r="N70" s="10"/>
      <c r="O70" s="10"/>
      <c r="P70" s="10"/>
    </row>
    <row r="71" spans="1:16" x14ac:dyDescent="0.35">
      <c r="A71" s="77" t="s">
        <v>147</v>
      </c>
      <c r="B71" s="10"/>
      <c r="C71" s="10"/>
      <c r="D71" s="10"/>
      <c r="E71" s="10"/>
      <c r="F71" s="10"/>
      <c r="G71" s="10"/>
      <c r="H71" s="10"/>
      <c r="I71" s="10"/>
      <c r="J71" s="10"/>
      <c r="K71" s="10"/>
      <c r="L71" s="10"/>
      <c r="M71" s="10"/>
      <c r="N71" s="10"/>
      <c r="O71" s="10"/>
      <c r="P71" s="10"/>
    </row>
    <row r="72" spans="1:16" x14ac:dyDescent="0.35">
      <c r="A72" s="74" t="s">
        <v>148</v>
      </c>
      <c r="B72" s="10"/>
      <c r="C72" s="10"/>
      <c r="D72" s="10"/>
      <c r="E72" s="10"/>
      <c r="F72" s="10"/>
      <c r="G72" s="10"/>
      <c r="H72" s="10"/>
      <c r="I72" s="10"/>
      <c r="J72" s="10"/>
      <c r="K72" s="10"/>
      <c r="L72" s="10"/>
      <c r="M72" s="10"/>
      <c r="N72" s="10"/>
      <c r="O72" s="10"/>
      <c r="P72" s="10"/>
    </row>
    <row r="73" spans="1:16" ht="29.5" thickBot="1" x14ac:dyDescent="0.4">
      <c r="A73" s="75" t="s">
        <v>149</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REAforêtMReboisement</vt:lpstr>
      <vt:lpstr>REAproduitsMReboisement</vt:lpstr>
      <vt:lpstr>REEsubsMReboisement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2021-07-29T15:00:52Z</dcterms:modified>
</cp:coreProperties>
</file>